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showInkAnnotation="0" autoCompressPictures="0" defaultThemeVersion="166925"/>
  <mc:AlternateContent xmlns:mc="http://schemas.openxmlformats.org/markup-compatibility/2006">
    <mc:Choice Requires="x15">
      <x15ac:absPath xmlns:x15ac="http://schemas.microsoft.com/office/spreadsheetml/2010/11/ac" url="https://nolhga.sharepoint.com/sites/financial/InsolvencyData/insolv report/insolv report/indus report/2025/"/>
    </mc:Choice>
  </mc:AlternateContent>
  <xr:revisionPtr revIDLastSave="27" documentId="8_{B63197DA-9A29-474E-9CDD-F91EF97F8AF8}" xr6:coauthVersionLast="47" xr6:coauthVersionMax="47" xr10:uidLastSave="{895BACDB-330A-4064-AF9E-A1A0D9D79BE5}"/>
  <bookViews>
    <workbookView xWindow="-108" yWindow="-108" windowWidth="30936" windowHeight="16776" firstSheet="100" activeTab="102" xr2:uid="{00000000-000D-0000-FFFF-FFFF00000000}"/>
  </bookViews>
  <sheets>
    <sheet name="AF&amp;L" sheetId="1" r:id="rId1"/>
    <sheet name="Alabama Life" sheetId="2" r:id="rId2"/>
    <sheet name="American Chambers" sheetId="3" r:id="rId3"/>
    <sheet name="American Community" sheetId="4" r:id="rId4"/>
    <sheet name="American Educators" sheetId="5" r:id="rId5"/>
    <sheet name="American Integrity" sheetId="6" r:id="rId6"/>
    <sheet name="Amer Life Asr" sheetId="7" r:id="rId7"/>
    <sheet name="American Medical" sheetId="8" r:id="rId8"/>
    <sheet name="American Network" sheetId="9" r:id="rId9"/>
    <sheet name="Amer Std Life Acc" sheetId="10" r:id="rId10"/>
    <sheet name="AmerWstrn" sheetId="11" r:id="rId11"/>
    <sheet name="AMS Life" sheetId="12" r:id="rId12"/>
    <sheet name="Andrew Jackson" sheetId="13" r:id="rId13"/>
    <sheet name="Bankers Commercial" sheetId="14" r:id="rId14"/>
    <sheet name="Bankers Life" sheetId="15" r:id="rId15"/>
    <sheet name="Benicorp" sheetId="16" r:id="rId16"/>
    <sheet name="Booker T Washington" sheetId="17" r:id="rId17"/>
    <sheet name="Centennial" sheetId="18" r:id="rId18"/>
    <sheet name="Coastal States" sheetId="19" r:id="rId19"/>
    <sheet name="CO Bankers" sheetId="20" r:id="rId20"/>
    <sheet name="Colorado Health" sheetId="21" r:id="rId21"/>
    <sheet name="Compass (dbs Meritus)" sheetId="22" r:id="rId22"/>
    <sheet name="Confed Life &amp; Annty (CLIAC)" sheetId="23" r:id="rId23"/>
    <sheet name="Confed Life (CLIC)" sheetId="24" r:id="rId24"/>
    <sheet name="Consolidated National" sheetId="25" r:id="rId25"/>
    <sheet name="Consumers Choice" sheetId="26" r:id="rId26"/>
    <sheet name="Consumers Mutual" sheetId="27" r:id="rId27"/>
    <sheet name="Consumers United" sheetId="28" r:id="rId28"/>
    <sheet name="CoOportunity" sheetId="29" r:id="rId29"/>
    <sheet name="Coordinated Hlth" sheetId="30" r:id="rId30"/>
    <sheet name="Corporate Life" sheetId="31" r:id="rId31"/>
    <sheet name="Diamond Benefits" sheetId="32" r:id="rId32"/>
    <sheet name="EBL Life" sheetId="33" r:id="rId33"/>
    <sheet name="Executive Life" sheetId="34" r:id="rId34"/>
    <sheet name="ELNY" sheetId="35" r:id="rId35"/>
    <sheet name="Family Guaranty" sheetId="36" r:id="rId36"/>
    <sheet name="Fidelity Bankers" sheetId="37" r:id="rId37"/>
    <sheet name="Fidelity Mutual" sheetId="38" r:id="rId38"/>
    <sheet name="First Capital" sheetId="39" r:id="rId39"/>
    <sheet name="First Natl" sheetId="40" r:id="rId40"/>
    <sheet name="First Natl (Thrnr)" sheetId="41" r:id="rId41"/>
    <sheet name="Franklin American" sheetId="42" r:id="rId42"/>
    <sheet name="Franklin Protective" sheetId="43" r:id="rId43"/>
    <sheet name="Freelancers CO-OP" sheetId="44" r:id="rId44"/>
    <sheet name="Freestone" sheetId="45" r:id="rId45"/>
    <sheet name="George Washington" sheetId="46" r:id="rId46"/>
    <sheet name="Golden State" sheetId="47" r:id="rId47"/>
    <sheet name="Guarantee Security" sheetId="48" r:id="rId48"/>
    <sheet name="HealthyCT" sheetId="49" r:id="rId49"/>
    <sheet name="Imerica" sheetId="50" r:id="rId50"/>
    <sheet name="Inter-American" sheetId="51" r:id="rId51"/>
    <sheet name="International Fin" sheetId="52" r:id="rId52"/>
    <sheet name="Investment Life of America" sheetId="53" r:id="rId53"/>
    <sheet name="Investors Equity" sheetId="54" r:id="rId54"/>
    <sheet name="Kentucky Central" sheetId="55" r:id="rId55"/>
    <sheet name="Land of Lincoln" sheetId="56" r:id="rId56"/>
    <sheet name="Legion" sheetId="57" r:id="rId57"/>
    <sheet name="Life Health America" sheetId="58" r:id="rId58"/>
    <sheet name="Lincoln Memorial" sheetId="59" r:id="rId59"/>
    <sheet name="London Pac" sheetId="60" r:id="rId60"/>
    <sheet name="Lumbermens" sheetId="61" r:id="rId61"/>
    <sheet name="Medical Savings" sheetId="62" r:id="rId62"/>
    <sheet name="Memorial Service" sheetId="63" r:id="rId63"/>
    <sheet name="Midcontinent" sheetId="64" r:id="rId64"/>
    <sheet name="Midwest Life" sheetId="65" r:id="rId65"/>
    <sheet name="Monarch Life" sheetId="66" r:id="rId66"/>
    <sheet name="Mutual Benefit" sheetId="67" r:id="rId67"/>
    <sheet name="Mutual Security" sheetId="68" r:id="rId68"/>
    <sheet name="National Affiliated" sheetId="69" r:id="rId69"/>
    <sheet name="Natl American" sheetId="70" r:id="rId70"/>
    <sheet name="National Heritage" sheetId="71" r:id="rId71"/>
    <sheet name="National States" sheetId="72" r:id="rId72"/>
    <sheet name="New Jersey Life" sheetId="73" r:id="rId73"/>
    <sheet name="North Carolina Mutual" sheetId="74" r:id="rId74"/>
    <sheet name="NNIC" sheetId="75" r:id="rId75"/>
    <sheet name="Old Colony Life" sheetId="76" r:id="rId76"/>
    <sheet name="Old Faithful" sheetId="77" r:id="rId77"/>
    <sheet name="Pacific Standard" sheetId="78" r:id="rId78"/>
    <sheet name="Pavonia Life" sheetId="79" r:id="rId79"/>
    <sheet name="Pen  Treaty" sheetId="80" r:id="rId80"/>
    <sheet name="Red Rock" sheetId="81" r:id="rId81"/>
    <sheet name="Reliance" sheetId="82" r:id="rId82"/>
    <sheet name="SeeChange" sheetId="83" r:id="rId83"/>
    <sheet name="Senior American" sheetId="84" r:id="rId84"/>
    <sheet name="Settlers" sheetId="85" r:id="rId85"/>
    <sheet name="Shenandoah" sheetId="86" r:id="rId86"/>
    <sheet name="Southland National Life" sheetId="87" r:id="rId87"/>
    <sheet name="Standard Life IN" sheetId="88" r:id="rId88"/>
    <sheet name="States General" sheetId="89" r:id="rId89"/>
    <sheet name="Statesman" sheetId="90" r:id="rId90"/>
    <sheet name="Summit National" sheetId="91" r:id="rId91"/>
    <sheet name="Supreme" sheetId="92" r:id="rId92"/>
    <sheet name="Time" sheetId="93" r:id="rId93"/>
    <sheet name="Underwriters" sheetId="94" r:id="rId94"/>
    <sheet name="Unison" sheetId="95" r:id="rId95"/>
    <sheet name="United Republic" sheetId="96" r:id="rId96"/>
    <sheet name="Universal Health Care" sheetId="97" r:id="rId97"/>
    <sheet name="Universal Life" sheetId="98" r:id="rId98"/>
    <sheet name="Universe" sheetId="99" r:id="rId99"/>
    <sheet name="Villanova" sheetId="100" r:id="rId100"/>
    <sheet name="Summary" sheetId="101" r:id="rId101"/>
    <sheet name="Pre-Liquidation Summary" sheetId="102" r:id="rId102"/>
    <sheet name="Open Summary" sheetId="103" r:id="rId103"/>
    <sheet name="Closed Summary" sheetId="104" r:id="rId104"/>
    <sheet name="Estate Closed Summary" sheetId="105" r:id="rId105"/>
    <sheet name="Released from Oversight Summary" sheetId="106" r:id="rId106"/>
    <sheet name="Total Summary" sheetId="107" r:id="rId107"/>
    <sheet name="Assessable Premiums" sheetId="108" r:id="rId108"/>
  </sheets>
  <externalReferences>
    <externalReference r:id="rId109"/>
  </externalReferences>
  <definedNames>
    <definedName name="ADD_FINANCIAL" localSheetId="0">'AF&amp;L'!$J$10:$J$16</definedName>
    <definedName name="ADD_FINANCIAL" localSheetId="1">'Alabama Life'!$J$10:$J$16</definedName>
    <definedName name="ADD_FINANCIAL" localSheetId="6">'Amer Life Asr'!$J$10:$J$16</definedName>
    <definedName name="ADD_FINANCIAL" localSheetId="9">'Amer Std Life Acc'!$J$10:$J$16</definedName>
    <definedName name="ADD_FINANCIAL" localSheetId="2">'American Chambers'!$J$10:$J$16</definedName>
    <definedName name="ADD_FINANCIAL" localSheetId="3">'American Community'!$J$10:$J$16</definedName>
    <definedName name="ADD_FINANCIAL" localSheetId="4">'American Educators'!$J$10:$J$16</definedName>
    <definedName name="ADD_FINANCIAL" localSheetId="5">'American Integrity'!$J$10:$J$16</definedName>
    <definedName name="ADD_FINANCIAL" localSheetId="7">'American Medical'!$J$10:$J$16</definedName>
    <definedName name="ADD_FINANCIAL" localSheetId="8">'American Network'!$J$10:$J$16</definedName>
    <definedName name="ADD_FINANCIAL" localSheetId="10">AmerWstrn!$J$10:$J$16</definedName>
    <definedName name="ADD_FINANCIAL" localSheetId="11">'AMS Life'!$J$10:$J$16</definedName>
    <definedName name="ADD_FINANCIAL" localSheetId="12">'Andrew Jackson'!$J$10:$J$16</definedName>
    <definedName name="ADD_FINANCIAL" localSheetId="13">'Bankers Commercial'!$J$10:$J$16</definedName>
    <definedName name="ADD_FINANCIAL" localSheetId="14">'Bankers Life'!$J$10:$J$16</definedName>
    <definedName name="ADD_FINANCIAL" localSheetId="15">Benicorp!$J$10:$J$16</definedName>
    <definedName name="ADD_FINANCIAL" localSheetId="16">'Booker T Washington'!$J$10:$J$16</definedName>
    <definedName name="ADD_FINANCIAL" localSheetId="17">Centennial!$J$10:$J$16</definedName>
    <definedName name="ADD_FINANCIAL" localSheetId="19">'CO Bankers'!$J$10:$J$16</definedName>
    <definedName name="ADD_FINANCIAL" localSheetId="18">'Coastal States'!$J$10:$J$16</definedName>
    <definedName name="ADD_FINANCIAL" localSheetId="20">'Colorado Health'!$J$10:$J$16</definedName>
    <definedName name="ADD_FINANCIAL" localSheetId="21">'Compass (dbs Meritus)'!$J$10:$J$16</definedName>
    <definedName name="ADD_FINANCIAL" localSheetId="22">'Confed Life &amp; Annty (CLIAC)'!$J$10:$J$16</definedName>
    <definedName name="ADD_FINANCIAL" localSheetId="23">'Confed Life (CLIC)'!$J$10:$J$16</definedName>
    <definedName name="ADD_FINANCIAL" localSheetId="24">'Consolidated National'!$J$10:$J$16</definedName>
    <definedName name="ADD_FINANCIAL" localSheetId="25">'Consumers Choice'!$J$10:$J$16</definedName>
    <definedName name="ADD_FINANCIAL" localSheetId="26">'Consumers Mutual'!$J$10:$J$16</definedName>
    <definedName name="ADD_FINANCIAL" localSheetId="27">'Consumers United'!$J$10:$J$16</definedName>
    <definedName name="ADD_FINANCIAL" localSheetId="28">CoOportunity!$J$10:$J$16</definedName>
    <definedName name="ADD_FINANCIAL" localSheetId="29">'Coordinated Hlth'!$J$10:$J$16</definedName>
    <definedName name="ADD_FINANCIAL" localSheetId="30">'Corporate Life'!$J$10:$J$16</definedName>
    <definedName name="ADD_FINANCIAL" localSheetId="31">'Diamond Benefits'!$J$10:$J$16</definedName>
    <definedName name="ADD_FINANCIAL" localSheetId="32">'EBL Life'!$J$10:$J$16</definedName>
    <definedName name="ADD_FINANCIAL" localSheetId="34">ELNY!$J$10:$J$16</definedName>
    <definedName name="ADD_FINANCIAL" localSheetId="33">'Executive Life'!$J$10:$J$16</definedName>
    <definedName name="ADD_FINANCIAL" localSheetId="35">'Family Guaranty'!$J$10:$J$16</definedName>
    <definedName name="ADD_FINANCIAL" localSheetId="36">'Fidelity Bankers'!$J$10:$J$16</definedName>
    <definedName name="ADD_FINANCIAL" localSheetId="37">'Fidelity Mutual'!$J$10:$J$16</definedName>
    <definedName name="ADD_FINANCIAL" localSheetId="38">'First Capital'!$J$10:$J$16</definedName>
    <definedName name="ADD_FINANCIAL" localSheetId="39">'First Natl'!$J$10:$J$16</definedName>
    <definedName name="ADD_FINANCIAL" localSheetId="40">'First Natl (Thrnr)'!$J$10:$J$16</definedName>
    <definedName name="ADD_FINANCIAL" localSheetId="41">'Franklin American'!$J$10:$J$16</definedName>
    <definedName name="ADD_FINANCIAL" localSheetId="42">'Franklin Protective'!$J$10:$J$16</definedName>
    <definedName name="ADD_FINANCIAL" localSheetId="43">'Freelancers CO-OP'!$J$10:$J$16</definedName>
    <definedName name="ADD_FINANCIAL" localSheetId="44">Freestone!$J$10:$J$16</definedName>
    <definedName name="ADD_FINANCIAL" localSheetId="45">'George Washington'!$J$10:$J$16</definedName>
    <definedName name="ADD_FINANCIAL" localSheetId="46">'Golden State'!$J$10:$J$16</definedName>
    <definedName name="ADD_FINANCIAL" localSheetId="47">'Guarantee Security'!$J$10:$J$16</definedName>
    <definedName name="ADD_FINANCIAL" localSheetId="48">HealthyCT!$J$10:$J$16</definedName>
    <definedName name="ADD_FINANCIAL" localSheetId="49">Imerica!$J$10:$J$16</definedName>
    <definedName name="ADD_FINANCIAL" localSheetId="50">'Inter-American'!$J$10:$J$16</definedName>
    <definedName name="ADD_FINANCIAL" localSheetId="51">'International Fin'!$J$10:$J$16</definedName>
    <definedName name="ADD_FINANCIAL" localSheetId="52">'Investment Life of America'!$J$10:$J$16</definedName>
    <definedName name="ADD_FINANCIAL" localSheetId="53">'Investors Equity'!$J$10:$J$16</definedName>
    <definedName name="ADD_FINANCIAL" localSheetId="54">'Kentucky Central'!$J$10:$J$16</definedName>
    <definedName name="ADD_FINANCIAL" localSheetId="55">'Land of Lincoln'!$J$10:$J$16</definedName>
    <definedName name="ADD_FINANCIAL" localSheetId="56">Legion!$J$10:$J$16</definedName>
    <definedName name="ADD_FINANCIAL" localSheetId="57">'Life Health America'!$J$10:$J$16</definedName>
    <definedName name="ADD_FINANCIAL" localSheetId="58">'Lincoln Memorial'!$J$10:$J$16</definedName>
    <definedName name="ADD_FINANCIAL" localSheetId="59">'London Pac'!$J$10:$J$16</definedName>
    <definedName name="ADD_FINANCIAL" localSheetId="60">Lumbermens!$J$10:$J$16</definedName>
    <definedName name="ADD_FINANCIAL" localSheetId="61">'Medical Savings'!$J$10:$J$16</definedName>
    <definedName name="ADD_FINANCIAL" localSheetId="62">'Memorial Service'!$J$10:$J$16</definedName>
    <definedName name="ADD_FINANCIAL" localSheetId="63">Midcontinent!$J$10:$J$16</definedName>
    <definedName name="ADD_FINANCIAL" localSheetId="64">'Midwest Life'!$J$10:$J$16</definedName>
    <definedName name="ADD_FINANCIAL" localSheetId="65">'Monarch Life'!$J$10:$J$16</definedName>
    <definedName name="ADD_FINANCIAL" localSheetId="66">'Mutual Benefit'!$J$10:$J$16</definedName>
    <definedName name="ADD_FINANCIAL" localSheetId="67">'Mutual Security'!$J$10:$J$16</definedName>
    <definedName name="ADD_FINANCIAL" localSheetId="68">'National Affiliated'!$J$10:$J$16</definedName>
    <definedName name="ADD_FINANCIAL" localSheetId="70">'National Heritage'!$J$10:$J$16</definedName>
    <definedName name="ADD_FINANCIAL" localSheetId="71">'National States'!$J$10:$J$16</definedName>
    <definedName name="ADD_FINANCIAL" localSheetId="69">'Natl American'!$J$10:$J$16</definedName>
    <definedName name="ADD_FINANCIAL" localSheetId="72">'New Jersey Life'!$J$10:$J$16</definedName>
    <definedName name="ADD_FINANCIAL" localSheetId="74">NNIC!$J$10:$J$16</definedName>
    <definedName name="ADD_FINANCIAL" localSheetId="73">'North Carolina Mutual'!$J$10:$J$16</definedName>
    <definedName name="ADD_FINANCIAL" localSheetId="75">'Old Colony Life'!$J$10:$J$16</definedName>
    <definedName name="ADD_FINANCIAL" localSheetId="76">'Old Faithful'!$J$10:$J$16</definedName>
    <definedName name="ADD_FINANCIAL" localSheetId="77">'Pacific Standard'!$J$10:$J$16</definedName>
    <definedName name="ADD_FINANCIAL" localSheetId="78">'Pavonia Life'!$J$10:$J$16</definedName>
    <definedName name="ADD_FINANCIAL" localSheetId="79">'Pen  Treaty'!$J$10:$J$16</definedName>
    <definedName name="ADD_FINANCIAL" localSheetId="80">'Red Rock'!$J$10:$J$16</definedName>
    <definedName name="ADD_FINANCIAL" localSheetId="81">Reliance!$J$10:$J$16</definedName>
    <definedName name="ADD_FINANCIAL" localSheetId="82">SeeChange!$J$10:$J$16</definedName>
    <definedName name="ADD_FINANCIAL" localSheetId="83">'Senior American'!$J$10:$J$16</definedName>
    <definedName name="ADD_FINANCIAL" localSheetId="84">Settlers!$J$10:$J$16</definedName>
    <definedName name="ADD_FINANCIAL" localSheetId="85">Shenandoah!$J$10:$J$16</definedName>
    <definedName name="ADD_FINANCIAL" localSheetId="86">'Southland National Life'!$J$10:$J$16</definedName>
    <definedName name="ADD_FINANCIAL" localSheetId="87">'Standard Life IN'!$J$10:$J$16</definedName>
    <definedName name="ADD_FINANCIAL" localSheetId="88">'States General'!$J$10:$J$16</definedName>
    <definedName name="ADD_FINANCIAL" localSheetId="89">Statesman!$J$10:$J$16</definedName>
    <definedName name="ADD_FINANCIAL" localSheetId="90">'Summit National'!$J$10:$J$16</definedName>
    <definedName name="ADD_FINANCIAL" localSheetId="91">Supreme!$J$10:$J$16</definedName>
    <definedName name="ADD_FINANCIAL" localSheetId="92">Time!$J$10:$J$16</definedName>
    <definedName name="ADD_FINANCIAL" localSheetId="93">Underwriters!$J$10:$J$16</definedName>
    <definedName name="ADD_FINANCIAL" localSheetId="94">Unison!$J$10:$J$16</definedName>
    <definedName name="ADD_FINANCIAL" localSheetId="95">'United Republic'!$J$10:$J$16</definedName>
    <definedName name="ADD_FINANCIAL" localSheetId="96">'Universal Health Care'!$J$10:$J$16</definedName>
    <definedName name="ADD_FINANCIAL" localSheetId="97">'Universal Life'!$J$10:$J$16</definedName>
    <definedName name="ADD_FINANCIAL" localSheetId="98">Universe!$J$10:$J$16</definedName>
    <definedName name="ADD_FINANCIAL" localSheetId="99">Villanova!$J$10:$J$16</definedName>
    <definedName name="AK_FINANCIAL" localSheetId="0">'AF&amp;L'!$B$7:$F$7</definedName>
    <definedName name="AK_FINANCIAL" localSheetId="1">'Alabama Life'!$B$7:$F$7</definedName>
    <definedName name="AK_FINANCIAL" localSheetId="6">'Amer Life Asr'!$B$7:$F$7</definedName>
    <definedName name="AK_FINANCIAL" localSheetId="9">'Amer Std Life Acc'!$B$7:$F$7</definedName>
    <definedName name="AK_FINANCIAL" localSheetId="2">'American Chambers'!$B$7:$F$7</definedName>
    <definedName name="AK_FINANCIAL" localSheetId="3">'American Community'!$B$7:$F$7</definedName>
    <definedName name="AK_FINANCIAL" localSheetId="4">'American Educators'!$B$7:$F$7</definedName>
    <definedName name="AK_FINANCIAL" localSheetId="5">'American Integrity'!$B$7:$F$7</definedName>
    <definedName name="AK_FINANCIAL" localSheetId="7">'American Medical'!$B$7:$F$7</definedName>
    <definedName name="AK_FINANCIAL" localSheetId="8">'American Network'!$B$7:$F$7</definedName>
    <definedName name="AK_FINANCIAL" localSheetId="10">AmerWstrn!$B$7:$F$7</definedName>
    <definedName name="AK_FINANCIAL" localSheetId="11">'AMS Life'!$B$7:$F$7</definedName>
    <definedName name="AK_FINANCIAL" localSheetId="12">'Andrew Jackson'!$B$7:$F$7</definedName>
    <definedName name="AK_FINANCIAL" localSheetId="13">'Bankers Commercial'!$B$7:$F$7</definedName>
    <definedName name="AK_FINANCIAL" localSheetId="14">'Bankers Life'!$B$7:$F$7</definedName>
    <definedName name="AK_FINANCIAL" localSheetId="15">Benicorp!$B$7:$F$7</definedName>
    <definedName name="AK_FINANCIAL" localSheetId="16">'Booker T Washington'!$B$7:$F$7</definedName>
    <definedName name="AK_FINANCIAL" localSheetId="17">Centennial!$B$7:$F$7</definedName>
    <definedName name="AK_FINANCIAL" localSheetId="19">'CO Bankers'!$B$7:$F$7</definedName>
    <definedName name="AK_FINANCIAL" localSheetId="18">'Coastal States'!$B$7:$F$7</definedName>
    <definedName name="AK_FINANCIAL" localSheetId="20">'Colorado Health'!$B$7:$F$7</definedName>
    <definedName name="AK_FINANCIAL" localSheetId="21">'Compass (dbs Meritus)'!$B$7:$F$7</definedName>
    <definedName name="AK_FINANCIAL" localSheetId="22">'Confed Life &amp; Annty (CLIAC)'!$B$7:$F$7</definedName>
    <definedName name="AK_FINANCIAL" localSheetId="23">'Confed Life (CLIC)'!$B$7:$F$7</definedName>
    <definedName name="AK_FINANCIAL" localSheetId="24">'Consolidated National'!$B$7:$F$7</definedName>
    <definedName name="AK_FINANCIAL" localSheetId="25">'Consumers Choice'!$B$7:$F$7</definedName>
    <definedName name="AK_FINANCIAL" localSheetId="26">'Consumers Mutual'!$B$7:$F$7</definedName>
    <definedName name="AK_FINANCIAL" localSheetId="27">'Consumers United'!$B$7:$F$7</definedName>
    <definedName name="AK_FINANCIAL" localSheetId="28">CoOportunity!$B$7:$F$7</definedName>
    <definedName name="AK_FINANCIAL" localSheetId="29">'Coordinated Hlth'!$B$7:$F$7</definedName>
    <definedName name="AK_FINANCIAL" localSheetId="30">'Corporate Life'!$B$7:$F$7</definedName>
    <definedName name="AK_FINANCIAL" localSheetId="31">'Diamond Benefits'!$B$7:$F$7</definedName>
    <definedName name="AK_FINANCIAL" localSheetId="32">'EBL Life'!$B$7:$F$7</definedName>
    <definedName name="AK_FINANCIAL" localSheetId="34">ELNY!$B$7:$F$7</definedName>
    <definedName name="AK_FINANCIAL" localSheetId="33">'Executive Life'!$B$7:$F$7</definedName>
    <definedName name="AK_FINANCIAL" localSheetId="35">'Family Guaranty'!$B$7:$F$7</definedName>
    <definedName name="AK_FINANCIAL" localSheetId="36">'Fidelity Bankers'!$B$7:$F$7</definedName>
    <definedName name="AK_FINANCIAL" localSheetId="37">'Fidelity Mutual'!$B$7:$F$7</definedName>
    <definedName name="AK_FINANCIAL" localSheetId="38">'First Capital'!$B$7:$F$7</definedName>
    <definedName name="AK_FINANCIAL" localSheetId="39">'First Natl'!$B$7:$F$7</definedName>
    <definedName name="AK_FINANCIAL" localSheetId="40">'First Natl (Thrnr)'!$B$7:$F$7</definedName>
    <definedName name="AK_FINANCIAL" localSheetId="41">'Franklin American'!$B$7:$F$7</definedName>
    <definedName name="AK_FINANCIAL" localSheetId="42">'Franklin Protective'!$B$7:$F$7</definedName>
    <definedName name="AK_FINANCIAL" localSheetId="43">'Freelancers CO-OP'!$B$7:$F$7</definedName>
    <definedName name="AK_FINANCIAL" localSheetId="44">Freestone!$B$7:$F$7</definedName>
    <definedName name="AK_FINANCIAL" localSheetId="45">'George Washington'!$B$7:$F$7</definedName>
    <definedName name="AK_FINANCIAL" localSheetId="46">'Golden State'!$B$7:$F$7</definedName>
    <definedName name="AK_FINANCIAL" localSheetId="47">'Guarantee Security'!$B$7:$F$7</definedName>
    <definedName name="AK_FINANCIAL" localSheetId="48">HealthyCT!$B$7:$F$7</definedName>
    <definedName name="AK_FINANCIAL" localSheetId="49">Imerica!$B$7:$F$7</definedName>
    <definedName name="AK_FINANCIAL" localSheetId="50">'Inter-American'!$B$7:$F$7</definedName>
    <definedName name="AK_FINANCIAL" localSheetId="51">'International Fin'!$B$7:$F$7</definedName>
    <definedName name="AK_FINANCIAL" localSheetId="52">'Investment Life of America'!$B$7:$F$7</definedName>
    <definedName name="AK_FINANCIAL" localSheetId="53">'Investors Equity'!$B$7:$F$7</definedName>
    <definedName name="AK_FINANCIAL" localSheetId="54">'Kentucky Central'!$B$7:$F$7</definedName>
    <definedName name="AK_FINANCIAL" localSheetId="55">'Land of Lincoln'!$B$7:$F$7</definedName>
    <definedName name="AK_FINANCIAL" localSheetId="56">Legion!$B$7:$F$7</definedName>
    <definedName name="AK_FINANCIAL" localSheetId="57">'Life Health America'!$B$7:$F$7</definedName>
    <definedName name="AK_FINANCIAL" localSheetId="58">'Lincoln Memorial'!$B$7:$F$7</definedName>
    <definedName name="AK_FINANCIAL" localSheetId="59">'London Pac'!$B$7:$F$7</definedName>
    <definedName name="AK_FINANCIAL" localSheetId="60">Lumbermens!$B$7:$F$7</definedName>
    <definedName name="AK_FINANCIAL" localSheetId="61">'Medical Savings'!$B$7:$F$7</definedName>
    <definedName name="AK_FINANCIAL" localSheetId="62">'Memorial Service'!$B$7:$F$7</definedName>
    <definedName name="AK_FINANCIAL" localSheetId="63">Midcontinent!$B$7:$F$7</definedName>
    <definedName name="AK_FINANCIAL" localSheetId="64">'Midwest Life'!$B$7:$F$7</definedName>
    <definedName name="AK_FINANCIAL" localSheetId="65">'Monarch Life'!$B$7:$F$7</definedName>
    <definedName name="AK_FINANCIAL" localSheetId="66">'Mutual Benefit'!$B$7:$F$7</definedName>
    <definedName name="AK_FINANCIAL" localSheetId="67">'Mutual Security'!$B$7:$F$7</definedName>
    <definedName name="AK_FINANCIAL" localSheetId="68">'National Affiliated'!$B$7:$F$7</definedName>
    <definedName name="AK_FINANCIAL" localSheetId="70">'National Heritage'!$B$7:$F$7</definedName>
    <definedName name="AK_FINANCIAL" localSheetId="71">'National States'!$B$7:$F$7</definedName>
    <definedName name="AK_FINANCIAL" localSheetId="69">'Natl American'!$B$7:$F$7</definedName>
    <definedName name="AK_FINANCIAL" localSheetId="72">'New Jersey Life'!$B$7:$F$7</definedName>
    <definedName name="AK_FINANCIAL" localSheetId="74">NNIC!$B$7:$F$7</definedName>
    <definedName name="AK_FINANCIAL" localSheetId="73">'North Carolina Mutual'!$B$7:$F$7</definedName>
    <definedName name="AK_FINANCIAL" localSheetId="75">'Old Colony Life'!$B$7:$F$7</definedName>
    <definedName name="AK_FINANCIAL" localSheetId="76">'Old Faithful'!$B$7:$F$7</definedName>
    <definedName name="AK_FINANCIAL" localSheetId="77">'Pacific Standard'!$B$7:$F$7</definedName>
    <definedName name="AK_FINANCIAL" localSheetId="78">'Pavonia Life'!$B$7:$F$7</definedName>
    <definedName name="AK_FINANCIAL" localSheetId="79">'Pen  Treaty'!$B$7:$F$7</definedName>
    <definedName name="AK_FINANCIAL" localSheetId="80">'Red Rock'!$B$7:$F$7</definedName>
    <definedName name="AK_FINANCIAL" localSheetId="81">Reliance!$B$7:$F$7</definedName>
    <definedName name="AK_FINANCIAL" localSheetId="82">SeeChange!$B$7:$F$7</definedName>
    <definedName name="AK_FINANCIAL" localSheetId="83">'Senior American'!$B$7:$F$7</definedName>
    <definedName name="AK_FINANCIAL" localSheetId="84">Settlers!$B$7:$F$7</definedName>
    <definedName name="AK_FINANCIAL" localSheetId="85">Shenandoah!$B$7:$F$7</definedName>
    <definedName name="AK_FINANCIAL" localSheetId="86">'Southland National Life'!$B$7:$F$7</definedName>
    <definedName name="AK_FINANCIAL" localSheetId="87">'Standard Life IN'!$B$7:$F$7</definedName>
    <definedName name="AK_FINANCIAL" localSheetId="88">'States General'!$B$7:$F$7</definedName>
    <definedName name="AK_FINANCIAL" localSheetId="89">Statesman!$B$7:$F$7</definedName>
    <definedName name="AK_FINANCIAL" localSheetId="90">'Summit National'!$B$7:$F$7</definedName>
    <definedName name="AK_FINANCIAL" localSheetId="91">Supreme!$B$7:$F$7</definedName>
    <definedName name="AK_FINANCIAL" localSheetId="92">Time!$B$7:$F$7</definedName>
    <definedName name="AK_FINANCIAL" localSheetId="106">'Total Summary'!$B$7:$F$7</definedName>
    <definedName name="AK_FINANCIAL" localSheetId="93">Underwriters!$B$7:$F$7</definedName>
    <definedName name="AK_FINANCIAL" localSheetId="94">Unison!$B$7:$F$7</definedName>
    <definedName name="AK_FINANCIAL" localSheetId="95">'United Republic'!$B$7:$F$7</definedName>
    <definedName name="AK_FINANCIAL" localSheetId="96">'Universal Health Care'!$B$7:$F$7</definedName>
    <definedName name="AK_FINANCIAL" localSheetId="97">'Universal Life'!$B$7:$F$7</definedName>
    <definedName name="AK_FINANCIAL" localSheetId="98">Universe!$B$7:$F$7</definedName>
    <definedName name="AK_FINANCIAL" localSheetId="99">Villanova!$B$7:$F$7</definedName>
    <definedName name="AL_FINANCIAL" localSheetId="0">'AF&amp;L'!$B$6:$F$6</definedName>
    <definedName name="AL_FINANCIAL" localSheetId="1">'Alabama Life'!$B$6:$F$6</definedName>
    <definedName name="AL_FINANCIAL" localSheetId="6">'Amer Life Asr'!$B$6:$F$6</definedName>
    <definedName name="AL_FINANCIAL" localSheetId="9">'Amer Std Life Acc'!$B$6:$F$6</definedName>
    <definedName name="AL_FINANCIAL" localSheetId="2">'American Chambers'!$B$6:$F$6</definedName>
    <definedName name="AL_FINANCIAL" localSheetId="3">'American Community'!$B$6:$F$6</definedName>
    <definedName name="AL_FINANCIAL" localSheetId="4">'American Educators'!$B$6:$F$6</definedName>
    <definedName name="AL_FINANCIAL" localSheetId="5">'American Integrity'!$B$6:$F$6</definedName>
    <definedName name="AL_FINANCIAL" localSheetId="7">'American Medical'!$B$6:$F$6</definedName>
    <definedName name="AL_FINANCIAL" localSheetId="8">'American Network'!$B$6:$F$6</definedName>
    <definedName name="AL_FINANCIAL" localSheetId="10">AmerWstrn!$B$6:$F$6</definedName>
    <definedName name="AL_FINANCIAL" localSheetId="11">'AMS Life'!$B$6:$F$6</definedName>
    <definedName name="AL_FINANCIAL" localSheetId="12">'Andrew Jackson'!$B$6:$F$6</definedName>
    <definedName name="AL_FINANCIAL" localSheetId="13">'Bankers Commercial'!$B$6:$F$6</definedName>
    <definedName name="AL_FINANCIAL" localSheetId="14">'Bankers Life'!$B$6:$F$6</definedName>
    <definedName name="AL_FINANCIAL" localSheetId="15">Benicorp!$B$6:$F$6</definedName>
    <definedName name="AL_FINANCIAL" localSheetId="16">'Booker T Washington'!$B$6:$F$6</definedName>
    <definedName name="AL_FINANCIAL" localSheetId="17">Centennial!$B$6:$F$6</definedName>
    <definedName name="AL_FINANCIAL" localSheetId="19">'CO Bankers'!$B$6:$F$6</definedName>
    <definedName name="AL_FINANCIAL" localSheetId="18">'Coastal States'!$B$6:$F$6</definedName>
    <definedName name="AL_FINANCIAL" localSheetId="20">'Colorado Health'!$B$6:$F$6</definedName>
    <definedName name="AL_FINANCIAL" localSheetId="21">'Compass (dbs Meritus)'!$B$6:$F$6</definedName>
    <definedName name="AL_FINANCIAL" localSheetId="22">'Confed Life &amp; Annty (CLIAC)'!$B$6:$F$6</definedName>
    <definedName name="AL_FINANCIAL" localSheetId="23">'Confed Life (CLIC)'!$B$6:$F$6</definedName>
    <definedName name="AL_FINANCIAL" localSheetId="24">'Consolidated National'!$B$6:$F$6</definedName>
    <definedName name="AL_FINANCIAL" localSheetId="25">'Consumers Choice'!$B$6:$F$6</definedName>
    <definedName name="AL_FINANCIAL" localSheetId="26">'Consumers Mutual'!$B$6:$F$6</definedName>
    <definedName name="AL_FINANCIAL" localSheetId="27">'Consumers United'!$B$6:$F$6</definedName>
    <definedName name="AL_FINANCIAL" localSheetId="28">CoOportunity!$B$6:$F$6</definedName>
    <definedName name="AL_FINANCIAL" localSheetId="29">'Coordinated Hlth'!$B$6:$F$6</definedName>
    <definedName name="AL_FINANCIAL" localSheetId="30">'Corporate Life'!$B$6:$F$6</definedName>
    <definedName name="AL_FINANCIAL" localSheetId="31">'Diamond Benefits'!$B$6:$F$6</definedName>
    <definedName name="AL_FINANCIAL" localSheetId="32">'EBL Life'!$B$6:$F$6</definedName>
    <definedName name="AL_FINANCIAL" localSheetId="34">ELNY!$B$6:$F$6</definedName>
    <definedName name="AL_FINANCIAL" localSheetId="33">'Executive Life'!$B$6:$F$6</definedName>
    <definedName name="AL_FINANCIAL" localSheetId="35">'Family Guaranty'!$B$6:$F$6</definedName>
    <definedName name="AL_FINANCIAL" localSheetId="36">'Fidelity Bankers'!$B$6:$F$6</definedName>
    <definedName name="AL_FINANCIAL" localSheetId="37">'Fidelity Mutual'!$B$6:$F$6</definedName>
    <definedName name="AL_FINANCIAL" localSheetId="38">'First Capital'!$B$6:$F$6</definedName>
    <definedName name="AL_FINANCIAL" localSheetId="39">'First Natl'!$B$6:$F$6</definedName>
    <definedName name="AL_FINANCIAL" localSheetId="40">'First Natl (Thrnr)'!$B$6:$F$6</definedName>
    <definedName name="AL_FINANCIAL" localSheetId="41">'Franklin American'!$B$6:$F$6</definedName>
    <definedName name="AL_FINANCIAL" localSheetId="42">'Franklin Protective'!$B$6:$F$6</definedName>
    <definedName name="AL_FINANCIAL" localSheetId="43">'Freelancers CO-OP'!$B$6:$F$6</definedName>
    <definedName name="AL_FINANCIAL" localSheetId="44">Freestone!$B$6:$F$6</definedName>
    <definedName name="AL_FINANCIAL" localSheetId="45">'George Washington'!$B$6:$F$6</definedName>
    <definedName name="AL_FINANCIAL" localSheetId="46">'Golden State'!$B$6:$F$6</definedName>
    <definedName name="AL_FINANCIAL" localSheetId="47">'Guarantee Security'!$B$6:$F$6</definedName>
    <definedName name="AL_FINANCIAL" localSheetId="48">HealthyCT!$B$6:$F$6</definedName>
    <definedName name="AL_FINANCIAL" localSheetId="49">Imerica!$B$6:$F$6</definedName>
    <definedName name="AL_FINANCIAL" localSheetId="50">'Inter-American'!$B$6:$F$6</definedName>
    <definedName name="AL_FINANCIAL" localSheetId="51">'International Fin'!$B$6:$F$6</definedName>
    <definedName name="AL_FINANCIAL" localSheetId="52">'Investment Life of America'!$B$6:$F$6</definedName>
    <definedName name="AL_FINANCIAL" localSheetId="53">'Investors Equity'!$B$6:$F$6</definedName>
    <definedName name="AL_FINANCIAL" localSheetId="54">'Kentucky Central'!$B$6:$F$6</definedName>
    <definedName name="AL_FINANCIAL" localSheetId="55">'Land of Lincoln'!$B$6:$F$6</definedName>
    <definedName name="AL_FINANCIAL" localSheetId="56">Legion!$B$6:$F$6</definedName>
    <definedName name="AL_FINANCIAL" localSheetId="57">'Life Health America'!$B$6:$F$6</definedName>
    <definedName name="AL_FINANCIAL" localSheetId="58">'Lincoln Memorial'!$B$6:$F$6</definedName>
    <definedName name="AL_FINANCIAL" localSheetId="59">'London Pac'!$B$6:$F$6</definedName>
    <definedName name="AL_FINANCIAL" localSheetId="60">Lumbermens!$B$6:$F$6</definedName>
    <definedName name="AL_FINANCIAL" localSheetId="61">'Medical Savings'!$B$6:$F$6</definedName>
    <definedName name="AL_FINANCIAL" localSheetId="62">'Memorial Service'!$B$6:$F$6</definedName>
    <definedName name="AL_FINANCIAL" localSheetId="63">Midcontinent!$B$6:$F$6</definedName>
    <definedName name="AL_FINANCIAL" localSheetId="64">'Midwest Life'!$B$6:$F$6</definedName>
    <definedName name="AL_FINANCIAL" localSheetId="65">'Monarch Life'!$B$6:$F$6</definedName>
    <definedName name="AL_FINANCIAL" localSheetId="66">'Mutual Benefit'!$B$6:$F$6</definedName>
    <definedName name="AL_FINANCIAL" localSheetId="67">'Mutual Security'!$B$6:$F$6</definedName>
    <definedName name="AL_FINANCIAL" localSheetId="68">'National Affiliated'!$B$6:$F$6</definedName>
    <definedName name="AL_FINANCIAL" localSheetId="70">'National Heritage'!$B$6:$F$6</definedName>
    <definedName name="AL_FINANCIAL" localSheetId="71">'National States'!$B$6:$F$6</definedName>
    <definedName name="AL_FINANCIAL" localSheetId="69">'Natl American'!$B$6:$F$6</definedName>
    <definedName name="AL_FINANCIAL" localSheetId="72">'New Jersey Life'!$B$6:$F$6</definedName>
    <definedName name="AL_FINANCIAL" localSheetId="74">NNIC!$B$6:$F$6</definedName>
    <definedName name="AL_FINANCIAL" localSheetId="73">'North Carolina Mutual'!$B$6:$F$6</definedName>
    <definedName name="AL_FINANCIAL" localSheetId="75">'Old Colony Life'!$B$6:$F$6</definedName>
    <definedName name="AL_FINANCIAL" localSheetId="76">'Old Faithful'!$B$6:$F$6</definedName>
    <definedName name="AL_FINANCIAL" localSheetId="77">'Pacific Standard'!$B$6:$F$6</definedName>
    <definedName name="AL_FINANCIAL" localSheetId="78">'Pavonia Life'!$B$6:$F$6</definedName>
    <definedName name="AL_FINANCIAL" localSheetId="79">'Pen  Treaty'!$B$6:$F$6</definedName>
    <definedName name="AL_FINANCIAL" localSheetId="80">'Red Rock'!$B$6:$F$6</definedName>
    <definedName name="AL_FINANCIAL" localSheetId="81">Reliance!$B$6:$F$6</definedName>
    <definedName name="AL_FINANCIAL" localSheetId="82">SeeChange!$B$6:$F$6</definedName>
    <definedName name="AL_FINANCIAL" localSheetId="83">'Senior American'!$B$6:$F$6</definedName>
    <definedName name="AL_FINANCIAL" localSheetId="84">Settlers!$B$6:$F$6</definedName>
    <definedName name="AL_FINANCIAL" localSheetId="85">Shenandoah!$B$6:$F$6</definedName>
    <definedName name="AL_FINANCIAL" localSheetId="86">'Southland National Life'!$B$6:$F$6</definedName>
    <definedName name="AL_FINANCIAL" localSheetId="87">'Standard Life IN'!$B$6:$F$6</definedName>
    <definedName name="AL_FINANCIAL" localSheetId="88">'States General'!$B$6:$F$6</definedName>
    <definedName name="AL_FINANCIAL" localSheetId="89">Statesman!$B$6:$F$6</definedName>
    <definedName name="AL_FINANCIAL" localSheetId="90">'Summit National'!$B$6:$F$6</definedName>
    <definedName name="AL_FINANCIAL" localSheetId="91">Supreme!$B$6:$F$6</definedName>
    <definedName name="AL_FINANCIAL" localSheetId="92">Time!$B$6:$F$6</definedName>
    <definedName name="AL_FINANCIAL" localSheetId="106">'Total Summary'!$B$6:$F$6</definedName>
    <definedName name="AL_FINANCIAL" localSheetId="93">Underwriters!$B$6:$F$6</definedName>
    <definedName name="AL_FINANCIAL" localSheetId="94">Unison!$B$6:$F$6</definedName>
    <definedName name="AL_FINANCIAL" localSheetId="95">'United Republic'!$B$6:$F$6</definedName>
    <definedName name="AL_FINANCIAL" localSheetId="96">'Universal Health Care'!$B$6:$F$6</definedName>
    <definedName name="AL_FINANCIAL" localSheetId="97">'Universal Life'!$B$6:$F$6</definedName>
    <definedName name="AL_FINANCIAL" localSheetId="98">Universe!$B$6:$F$6</definedName>
    <definedName name="AL_FINANCIAL" localSheetId="99">Villanova!$B$6:$F$6</definedName>
    <definedName name="ALL_BLOCKS" localSheetId="0">'AF&amp;L'!$G$6:$G$59</definedName>
    <definedName name="ALL_BLOCKS" localSheetId="1">'Alabama Life'!$G$6:$G$59</definedName>
    <definedName name="ALL_BLOCKS" localSheetId="6">'Amer Life Asr'!$G$6:$G$59</definedName>
    <definedName name="ALL_BLOCKS" localSheetId="9">'Amer Std Life Acc'!$G$6:$G$59</definedName>
    <definedName name="ALL_BLOCKS" localSheetId="2">'American Chambers'!$G$6:$G$59</definedName>
    <definedName name="ALL_BLOCKS" localSheetId="3">'American Community'!$G$6:$G$59</definedName>
    <definedName name="ALL_BLOCKS" localSheetId="4">'American Educators'!$G$6:$G$59</definedName>
    <definedName name="ALL_BLOCKS" localSheetId="5">'American Integrity'!$G$6:$G$59</definedName>
    <definedName name="ALL_BLOCKS" localSheetId="7">'American Medical'!$G$6:$G$59</definedName>
    <definedName name="ALL_BLOCKS" localSheetId="8">'American Network'!$G$6:$G$59</definedName>
    <definedName name="ALL_BLOCKS" localSheetId="10">AmerWstrn!$G$6:$G$59</definedName>
    <definedName name="ALL_BLOCKS" localSheetId="11">'AMS Life'!$G$6:$G$59</definedName>
    <definedName name="ALL_BLOCKS" localSheetId="12">'Andrew Jackson'!$G$6:$G$59</definedName>
    <definedName name="ALL_BLOCKS" localSheetId="13">'Bankers Commercial'!$G$6:$G$59</definedName>
    <definedName name="ALL_BLOCKS" localSheetId="14">'Bankers Life'!$G$6:$G$59</definedName>
    <definedName name="ALL_BLOCKS" localSheetId="15">Benicorp!$G$6:$G$59</definedName>
    <definedName name="ALL_BLOCKS" localSheetId="16">'Booker T Washington'!$G$6:$G$59</definedName>
    <definedName name="ALL_BLOCKS" localSheetId="17">Centennial!$G$6:$G$59</definedName>
    <definedName name="ALL_BLOCKS" localSheetId="19">'CO Bankers'!$G$6:$G$59</definedName>
    <definedName name="ALL_BLOCKS" localSheetId="18">'Coastal States'!$G$6:$G$59</definedName>
    <definedName name="ALL_BLOCKS" localSheetId="20">'Colorado Health'!$G$6:$G$59</definedName>
    <definedName name="ALL_BLOCKS" localSheetId="21">'Compass (dbs Meritus)'!$G$6:$G$59</definedName>
    <definedName name="ALL_BLOCKS" localSheetId="22">'Confed Life &amp; Annty (CLIAC)'!$G$6:$G$59</definedName>
    <definedName name="ALL_BLOCKS" localSheetId="23">'Confed Life (CLIC)'!$G$6:$G$59</definedName>
    <definedName name="ALL_BLOCKS" localSheetId="24">'Consolidated National'!$G$6:$G$59</definedName>
    <definedName name="ALL_BLOCKS" localSheetId="25">'Consumers Choice'!$G$6:$G$59</definedName>
    <definedName name="ALL_BLOCKS" localSheetId="26">'Consumers Mutual'!$G$6:$G$59</definedName>
    <definedName name="ALL_BLOCKS" localSheetId="27">'Consumers United'!$G$6:$G$59</definedName>
    <definedName name="ALL_BLOCKS" localSheetId="28">CoOportunity!$G$6:$G$59</definedName>
    <definedName name="ALL_BLOCKS" localSheetId="29">'Coordinated Hlth'!$G$6:$G$59</definedName>
    <definedName name="ALL_BLOCKS" localSheetId="30">'Corporate Life'!$G$6:$G$59</definedName>
    <definedName name="ALL_BLOCKS" localSheetId="31">'Diamond Benefits'!$G$6:$G$59</definedName>
    <definedName name="ALL_BLOCKS" localSheetId="32">'EBL Life'!$G$6:$G$59</definedName>
    <definedName name="ALL_BLOCKS" localSheetId="34">ELNY!$G$6:$G$59</definedName>
    <definedName name="ALL_BLOCKS" localSheetId="33">'Executive Life'!$G$6:$G$59</definedName>
    <definedName name="ALL_BLOCKS" localSheetId="35">'Family Guaranty'!$G$6:$G$59</definedName>
    <definedName name="ALL_BLOCKS" localSheetId="36">'Fidelity Bankers'!$G$6:$G$59</definedName>
    <definedName name="ALL_BLOCKS" localSheetId="37">'Fidelity Mutual'!$G$6:$G$59</definedName>
    <definedName name="ALL_BLOCKS" localSheetId="38">'First Capital'!$G$6:$G$59</definedName>
    <definedName name="ALL_BLOCKS" localSheetId="39">'First Natl'!$G$6:$G$59</definedName>
    <definedName name="ALL_BLOCKS" localSheetId="40">'First Natl (Thrnr)'!$G$6:$G$59</definedName>
    <definedName name="ALL_BLOCKS" localSheetId="41">'Franklin American'!$G$6:$G$59</definedName>
    <definedName name="ALL_BLOCKS" localSheetId="42">'Franklin Protective'!$G$6:$G$59</definedName>
    <definedName name="ALL_BLOCKS" localSheetId="43">'Freelancers CO-OP'!$G$6:$G$59</definedName>
    <definedName name="ALL_BLOCKS" localSheetId="44">Freestone!$G$6:$G$59</definedName>
    <definedName name="ALL_BLOCKS" localSheetId="45">'George Washington'!$G$6:$G$59</definedName>
    <definedName name="ALL_BLOCKS" localSheetId="46">'Golden State'!$G$6:$G$59</definedName>
    <definedName name="ALL_BLOCKS" localSheetId="47">'Guarantee Security'!$G$6:$G$59</definedName>
    <definedName name="ALL_BLOCKS" localSheetId="48">HealthyCT!$G$6:$G$59</definedName>
    <definedName name="ALL_BLOCKS" localSheetId="49">Imerica!$G$6:$G$59</definedName>
    <definedName name="ALL_BLOCKS" localSheetId="50">'Inter-American'!$G$6:$G$59</definedName>
    <definedName name="ALL_BLOCKS" localSheetId="51">'International Fin'!$G$6:$G$59</definedName>
    <definedName name="ALL_BLOCKS" localSheetId="52">'Investment Life of America'!$G$6:$G$59</definedName>
    <definedName name="ALL_BLOCKS" localSheetId="53">'Investors Equity'!$G$6:$G$59</definedName>
    <definedName name="ALL_BLOCKS" localSheetId="54">'Kentucky Central'!$G$6:$G$59</definedName>
    <definedName name="ALL_BLOCKS" localSheetId="55">'Land of Lincoln'!$G$6:$G$59</definedName>
    <definedName name="ALL_BLOCKS" localSheetId="56">Legion!$G$6:$G$59</definedName>
    <definedName name="ALL_BLOCKS" localSheetId="57">'Life Health America'!$G$6:$G$59</definedName>
    <definedName name="ALL_BLOCKS" localSheetId="58">'Lincoln Memorial'!$G$6:$G$59</definedName>
    <definedName name="ALL_BLOCKS" localSheetId="59">'London Pac'!$G$6:$G$59</definedName>
    <definedName name="ALL_BLOCKS" localSheetId="60">Lumbermens!$G$6:$G$59</definedName>
    <definedName name="ALL_BLOCKS" localSheetId="61">'Medical Savings'!$G$6:$G$59</definedName>
    <definedName name="ALL_BLOCKS" localSheetId="62">'Memorial Service'!$G$6:$G$59</definedName>
    <definedName name="ALL_BLOCKS" localSheetId="63">Midcontinent!$G$6:$G$59</definedName>
    <definedName name="ALL_BLOCKS" localSheetId="64">'Midwest Life'!$G$6:$G$59</definedName>
    <definedName name="ALL_BLOCKS" localSheetId="65">'Monarch Life'!$G$6:$G$59</definedName>
    <definedName name="ALL_BLOCKS" localSheetId="66">'Mutual Benefit'!$G$6:$G$59</definedName>
    <definedName name="ALL_BLOCKS" localSheetId="67">'Mutual Security'!$G$6:$G$59</definedName>
    <definedName name="ALL_BLOCKS" localSheetId="68">'National Affiliated'!$G$6:$G$59</definedName>
    <definedName name="ALL_BLOCKS" localSheetId="70">'National Heritage'!$G$6:$G$59</definedName>
    <definedName name="ALL_BLOCKS" localSheetId="71">'National States'!$G$6:$G$59</definedName>
    <definedName name="ALL_BLOCKS" localSheetId="69">'Natl American'!$G$6:$G$59</definedName>
    <definedName name="ALL_BLOCKS" localSheetId="72">'New Jersey Life'!$G$6:$G$59</definedName>
    <definedName name="ALL_BLOCKS" localSheetId="74">NNIC!$G$6:$G$59</definedName>
    <definedName name="ALL_BLOCKS" localSheetId="73">'North Carolina Mutual'!$G$6:$G$59</definedName>
    <definedName name="ALL_BLOCKS" localSheetId="75">'Old Colony Life'!$G$6:$G$59</definedName>
    <definedName name="ALL_BLOCKS" localSheetId="76">'Old Faithful'!$G$6:$G$59</definedName>
    <definedName name="ALL_BLOCKS" localSheetId="77">'Pacific Standard'!$G$6:$G$59</definedName>
    <definedName name="ALL_BLOCKS" localSheetId="78">'Pavonia Life'!$G$6:$G$59</definedName>
    <definedName name="ALL_BLOCKS" localSheetId="79">'Pen  Treaty'!$G$6:$G$59</definedName>
    <definedName name="ALL_BLOCKS" localSheetId="80">'Red Rock'!$G$6:$G$59</definedName>
    <definedName name="ALL_BLOCKS" localSheetId="81">Reliance!$G$6:$G$59</definedName>
    <definedName name="ALL_BLOCKS" localSheetId="82">SeeChange!$G$6:$G$59</definedName>
    <definedName name="ALL_BLOCKS" localSheetId="83">'Senior American'!$G$6:$G$59</definedName>
    <definedName name="ALL_BLOCKS" localSheetId="84">Settlers!$G$6:$G$59</definedName>
    <definedName name="ALL_BLOCKS" localSheetId="85">Shenandoah!$G$6:$G$59</definedName>
    <definedName name="ALL_BLOCKS" localSheetId="86">'Southland National Life'!$G$6:$G$59</definedName>
    <definedName name="ALL_BLOCKS" localSheetId="87">'Standard Life IN'!$G$6:$G$59</definedName>
    <definedName name="ALL_BLOCKS" localSheetId="88">'States General'!$G$6:$G$59</definedName>
    <definedName name="ALL_BLOCKS" localSheetId="89">Statesman!$G$6:$G$59</definedName>
    <definedName name="ALL_BLOCKS" localSheetId="90">'Summit National'!$G$6:$G$59</definedName>
    <definedName name="ALL_BLOCKS" localSheetId="91">Supreme!$G$6:$G$59</definedName>
    <definedName name="ALL_BLOCKS" localSheetId="92">Time!$G$6:$G$59</definedName>
    <definedName name="ALL_BLOCKS" localSheetId="106">'Total Summary'!$G$6:$G$59</definedName>
    <definedName name="ALL_BLOCKS" localSheetId="93">Underwriters!$G$6:$G$59</definedName>
    <definedName name="ALL_BLOCKS" localSheetId="94">Unison!$G$6:$G$59</definedName>
    <definedName name="ALL_BLOCKS" localSheetId="95">'United Republic'!$G$6:$G$59</definedName>
    <definedName name="ALL_BLOCKS" localSheetId="96">'Universal Health Care'!$G$6:$G$59</definedName>
    <definedName name="ALL_BLOCKS" localSheetId="97">'Universal Life'!$G$6:$G$59</definedName>
    <definedName name="ALL_BLOCKS" localSheetId="98">Universe!$G$6:$G$59</definedName>
    <definedName name="ALL_BLOCKS" localSheetId="99">Villanova!$G$6:$G$59</definedName>
    <definedName name="ALLOC_CALLED" localSheetId="0">'AF&amp;L'!$O$6:$O$58</definedName>
    <definedName name="ALLOC_CALLED" localSheetId="1">'Alabama Life'!$O$6:$O$58</definedName>
    <definedName name="ALLOC_CALLED" localSheetId="6">'Amer Life Asr'!$O$6:$O$58</definedName>
    <definedName name="ALLOC_CALLED" localSheetId="9">'Amer Std Life Acc'!$O$6:$O$58</definedName>
    <definedName name="ALLOC_CALLED" localSheetId="2">'American Chambers'!$O$6:$O$58</definedName>
    <definedName name="ALLOC_CALLED" localSheetId="3">'American Community'!$O$6:$O$58</definedName>
    <definedName name="ALLOC_CALLED" localSheetId="4">'American Educators'!$O$6:$O$58</definedName>
    <definedName name="ALLOC_CALLED" localSheetId="5">'American Integrity'!$O$6:$O$58</definedName>
    <definedName name="ALLOC_CALLED" localSheetId="7">'American Medical'!$O$6:$O$58</definedName>
    <definedName name="ALLOC_CALLED" localSheetId="8">'American Network'!$O$6:$O$58</definedName>
    <definedName name="ALLOC_CALLED" localSheetId="10">AmerWstrn!$O$6:$O$58</definedName>
    <definedName name="ALLOC_CALLED" localSheetId="11">'AMS Life'!$O$6:$O$58</definedName>
    <definedName name="ALLOC_CALLED" localSheetId="12">'Andrew Jackson'!$O$6:$O$58</definedName>
    <definedName name="ALLOC_CALLED" localSheetId="13">'Bankers Commercial'!$O$6:$O$58</definedName>
    <definedName name="ALLOC_CALLED" localSheetId="14">'Bankers Life'!$O$6:$O$58</definedName>
    <definedName name="ALLOC_CALLED" localSheetId="15">Benicorp!$O$6:$O$58</definedName>
    <definedName name="ALLOC_CALLED" localSheetId="16">'Booker T Washington'!$O$6:$O$58</definedName>
    <definedName name="ALLOC_CALLED" localSheetId="17">Centennial!$O$6:$O$58</definedName>
    <definedName name="ALLOC_CALLED" localSheetId="19">'CO Bankers'!$O$6:$O$58</definedName>
    <definedName name="ALLOC_CALLED" localSheetId="18">'Coastal States'!$O$6:$O$58</definedName>
    <definedName name="ALLOC_CALLED" localSheetId="20">'Colorado Health'!$O$6:$O$58</definedName>
    <definedName name="ALLOC_CALLED" localSheetId="21">'Compass (dbs Meritus)'!$O$6:$O$58</definedName>
    <definedName name="ALLOC_CALLED" localSheetId="22">'Confed Life &amp; Annty (CLIAC)'!$O$6:$O$58</definedName>
    <definedName name="ALLOC_CALLED" localSheetId="23">'Confed Life (CLIC)'!$O$6:$O$58</definedName>
    <definedName name="ALLOC_CALLED" localSheetId="24">'Consolidated National'!$O$6:$O$58</definedName>
    <definedName name="ALLOC_CALLED" localSheetId="25">'Consumers Choice'!$O$6:$O$58</definedName>
    <definedName name="ALLOC_CALLED" localSheetId="26">'Consumers Mutual'!$O$6:$O$58</definedName>
    <definedName name="ALLOC_CALLED" localSheetId="27">'Consumers United'!$O$6:$O$58</definedName>
    <definedName name="ALLOC_CALLED" localSheetId="28">CoOportunity!$O$6:$O$58</definedName>
    <definedName name="ALLOC_CALLED" localSheetId="29">'Coordinated Hlth'!$O$6:$O$58</definedName>
    <definedName name="ALLOC_CALLED" localSheetId="30">'Corporate Life'!$O$6:$O$58</definedName>
    <definedName name="ALLOC_CALLED" localSheetId="31">'Diamond Benefits'!$O$6:$O$58</definedName>
    <definedName name="ALLOC_CALLED" localSheetId="32">'EBL Life'!$O$6:$O$58</definedName>
    <definedName name="ALLOC_CALLED" localSheetId="34">ELNY!$O$6:$O$58</definedName>
    <definedName name="ALLOC_CALLED" localSheetId="33">'Executive Life'!$O$6:$O$58</definedName>
    <definedName name="ALLOC_CALLED" localSheetId="35">'Family Guaranty'!$O$6:$O$58</definedName>
    <definedName name="ALLOC_CALLED" localSheetId="36">'Fidelity Bankers'!$O$6:$O$58</definedName>
    <definedName name="ALLOC_CALLED" localSheetId="37">'Fidelity Mutual'!$O$6:$O$58</definedName>
    <definedName name="ALLOC_CALLED" localSheetId="38">'First Capital'!$O$6:$O$58</definedName>
    <definedName name="ALLOC_CALLED" localSheetId="39">'First Natl'!$O$6:$O$58</definedName>
    <definedName name="ALLOC_CALLED" localSheetId="40">'First Natl (Thrnr)'!$O$6:$O$58</definedName>
    <definedName name="ALLOC_CALLED" localSheetId="41">'Franklin American'!$O$6:$O$58</definedName>
    <definedName name="ALLOC_CALLED" localSheetId="42">'Franklin Protective'!$O$6:$O$58</definedName>
    <definedName name="ALLOC_CALLED" localSheetId="43">'Freelancers CO-OP'!$O$6:$O$58</definedName>
    <definedName name="ALLOC_CALLED" localSheetId="44">Freestone!$O$6:$O$58</definedName>
    <definedName name="ALLOC_CALLED" localSheetId="45">'George Washington'!$O$6:$O$58</definedName>
    <definedName name="ALLOC_CALLED" localSheetId="46">'Golden State'!$O$6:$O$58</definedName>
    <definedName name="ALLOC_CALLED" localSheetId="47">'Guarantee Security'!$O$6:$O$58</definedName>
    <definedName name="ALLOC_CALLED" localSheetId="48">HealthyCT!$O$6:$O$58</definedName>
    <definedName name="ALLOC_CALLED" localSheetId="49">Imerica!$O$6:$O$58</definedName>
    <definedName name="ALLOC_CALLED" localSheetId="50">'Inter-American'!$O$6:$O$58</definedName>
    <definedName name="ALLOC_CALLED" localSheetId="51">'International Fin'!$O$6:$O$58</definedName>
    <definedName name="ALLOC_CALLED" localSheetId="52">'Investment Life of America'!$O$6:$O$58</definedName>
    <definedName name="ALLOC_CALLED" localSheetId="53">'Investors Equity'!$O$6:$O$58</definedName>
    <definedName name="ALLOC_CALLED" localSheetId="54">'Kentucky Central'!$O$6:$O$58</definedName>
    <definedName name="ALLOC_CALLED" localSheetId="55">'Land of Lincoln'!$O$6:$O$58</definedName>
    <definedName name="ALLOC_CALLED" localSheetId="56">Legion!$O$6:$O$58</definedName>
    <definedName name="ALLOC_CALLED" localSheetId="57">'Life Health America'!$O$6:$O$58</definedName>
    <definedName name="ALLOC_CALLED" localSheetId="58">'Lincoln Memorial'!$O$6:$O$58</definedName>
    <definedName name="ALLOC_CALLED" localSheetId="59">'London Pac'!$O$6:$O$58</definedName>
    <definedName name="ALLOC_CALLED" localSheetId="60">Lumbermens!$O$6:$O$58</definedName>
    <definedName name="ALLOC_CALLED" localSheetId="61">'Medical Savings'!$O$6:$O$58</definedName>
    <definedName name="ALLOC_CALLED" localSheetId="62">'Memorial Service'!$O$6:$O$58</definedName>
    <definedName name="ALLOC_CALLED" localSheetId="63">Midcontinent!$O$6:$O$58</definedName>
    <definedName name="ALLOC_CALLED" localSheetId="64">'Midwest Life'!$O$6:$O$58</definedName>
    <definedName name="ALLOC_CALLED" localSheetId="65">'Monarch Life'!$O$6:$O$58</definedName>
    <definedName name="ALLOC_CALLED" localSheetId="66">'Mutual Benefit'!$O$6:$O$58</definedName>
    <definedName name="ALLOC_CALLED" localSheetId="67">'Mutual Security'!$O$6:$O$58</definedName>
    <definedName name="ALLOC_CALLED" localSheetId="68">'National Affiliated'!$O$6:$O$58</definedName>
    <definedName name="ALLOC_CALLED" localSheetId="70">'National Heritage'!$O$6:$O$58</definedName>
    <definedName name="ALLOC_CALLED" localSheetId="71">'National States'!$O$6:$O$58</definedName>
    <definedName name="ALLOC_CALLED" localSheetId="69">'Natl American'!$O$6:$O$58</definedName>
    <definedName name="ALLOC_CALLED" localSheetId="72">'New Jersey Life'!$O$6:$O$58</definedName>
    <definedName name="ALLOC_CALLED" localSheetId="74">NNIC!$O$6:$O$58</definedName>
    <definedName name="ALLOC_CALLED" localSheetId="73">'North Carolina Mutual'!$O$6:$O$58</definedName>
    <definedName name="ALLOC_CALLED" localSheetId="75">'Old Colony Life'!$O$6:$O$58</definedName>
    <definedName name="ALLOC_CALLED" localSheetId="76">'Old Faithful'!$O$6:$O$58</definedName>
    <definedName name="ALLOC_CALLED" localSheetId="77">'Pacific Standard'!$O$6:$O$58</definedName>
    <definedName name="ALLOC_CALLED" localSheetId="78">'Pavonia Life'!$O$6:$O$58</definedName>
    <definedName name="ALLOC_CALLED" localSheetId="79">'Pen  Treaty'!$O$6:$O$58</definedName>
    <definedName name="ALLOC_CALLED" localSheetId="80">'Red Rock'!$O$6:$O$58</definedName>
    <definedName name="ALLOC_CALLED" localSheetId="81">Reliance!$O$6:$O$58</definedName>
    <definedName name="ALLOC_CALLED" localSheetId="82">SeeChange!$O$6:$O$58</definedName>
    <definedName name="ALLOC_CALLED" localSheetId="83">'Senior American'!$O$6:$O$58</definedName>
    <definedName name="ALLOC_CALLED" localSheetId="84">Settlers!$O$6:$O$58</definedName>
    <definedName name="ALLOC_CALLED" localSheetId="85">Shenandoah!$O$6:$O$58</definedName>
    <definedName name="ALLOC_CALLED" localSheetId="86">'Southland National Life'!$O$6:$O$58</definedName>
    <definedName name="ALLOC_CALLED" localSheetId="87">'Standard Life IN'!$O$6:$O$58</definedName>
    <definedName name="ALLOC_CALLED" localSheetId="88">'States General'!$O$6:$O$58</definedName>
    <definedName name="ALLOC_CALLED" localSheetId="89">Statesman!$O$6:$O$58</definedName>
    <definedName name="ALLOC_CALLED" localSheetId="90">'Summit National'!$O$6:$O$58</definedName>
    <definedName name="ALLOC_CALLED" localSheetId="91">Supreme!$O$6:$O$58</definedName>
    <definedName name="ALLOC_CALLED" localSheetId="92">Time!$O$6:$O$58</definedName>
    <definedName name="ALLOC_CALLED" localSheetId="106">'Total Summary'!$L$6:$L$59</definedName>
    <definedName name="ALLOC_CALLED" localSheetId="93">Underwriters!$O$6:$O$58</definedName>
    <definedName name="ALLOC_CALLED" localSheetId="94">Unison!$O$6:$O$58</definedName>
    <definedName name="ALLOC_CALLED" localSheetId="95">'United Republic'!$O$6:$O$58</definedName>
    <definedName name="ALLOC_CALLED" localSheetId="96">'Universal Health Care'!$O$6:$O$58</definedName>
    <definedName name="ALLOC_CALLED" localSheetId="97">'Universal Life'!$O$6:$O$58</definedName>
    <definedName name="ALLOC_CALLED" localSheetId="98">Universe!$O$6:$O$58</definedName>
    <definedName name="ALLOC_CALLED" localSheetId="99">Villanova!$O$6:$O$58</definedName>
    <definedName name="ALLOC_REFUNDED" localSheetId="0">'AF&amp;L'!$P$6:$P$58</definedName>
    <definedName name="ALLOC_REFUNDED" localSheetId="1">'Alabama Life'!$P$6:$P$58</definedName>
    <definedName name="ALLOC_REFUNDED" localSheetId="6">'Amer Life Asr'!$P$6:$P$58</definedName>
    <definedName name="ALLOC_REFUNDED" localSheetId="9">'Amer Std Life Acc'!$P$6:$P$58</definedName>
    <definedName name="ALLOC_REFUNDED" localSheetId="2">'American Chambers'!$P$6:$P$58</definedName>
    <definedName name="ALLOC_REFUNDED" localSheetId="3">'American Community'!$P$6:$P$58</definedName>
    <definedName name="ALLOC_REFUNDED" localSheetId="4">'American Educators'!$P$6:$P$58</definedName>
    <definedName name="ALLOC_REFUNDED" localSheetId="5">'American Integrity'!$P$6:$P$58</definedName>
    <definedName name="ALLOC_REFUNDED" localSheetId="7">'American Medical'!$P$6:$P$58</definedName>
    <definedName name="ALLOC_REFUNDED" localSheetId="8">'American Network'!$P$6:$P$58</definedName>
    <definedName name="ALLOC_REFUNDED" localSheetId="10">AmerWstrn!$P$6:$P$58</definedName>
    <definedName name="ALLOC_REFUNDED" localSheetId="11">'AMS Life'!$P$6:$P$58</definedName>
    <definedName name="ALLOC_REFUNDED" localSheetId="12">'Andrew Jackson'!$P$6:$P$58</definedName>
    <definedName name="ALLOC_REFUNDED" localSheetId="13">'Bankers Commercial'!$P$6:$P$58</definedName>
    <definedName name="ALLOC_REFUNDED" localSheetId="14">'Bankers Life'!$P$6:$P$58</definedName>
    <definedName name="ALLOC_REFUNDED" localSheetId="15">Benicorp!$P$6:$P$58</definedName>
    <definedName name="ALLOC_REFUNDED" localSheetId="16">'Booker T Washington'!$P$6:$P$58</definedName>
    <definedName name="ALLOC_REFUNDED" localSheetId="17">Centennial!$P$6:$P$58</definedName>
    <definedName name="ALLOC_REFUNDED" localSheetId="19">'CO Bankers'!$P$6:$P$58</definedName>
    <definedName name="ALLOC_REFUNDED" localSheetId="18">'Coastal States'!$P$6:$P$58</definedName>
    <definedName name="ALLOC_REFUNDED" localSheetId="20">'Colorado Health'!$P$6:$P$58</definedName>
    <definedName name="ALLOC_REFUNDED" localSheetId="21">'Compass (dbs Meritus)'!$P$6:$P$58</definedName>
    <definedName name="ALLOC_REFUNDED" localSheetId="22">'Confed Life &amp; Annty (CLIAC)'!$P$6:$P$58</definedName>
    <definedName name="ALLOC_REFUNDED" localSheetId="23">'Confed Life (CLIC)'!$P$6:$P$58</definedName>
    <definedName name="ALLOC_REFUNDED" localSheetId="24">'Consolidated National'!$P$6:$P$58</definedName>
    <definedName name="ALLOC_REFUNDED" localSheetId="25">'Consumers Choice'!$P$6:$P$58</definedName>
    <definedName name="ALLOC_REFUNDED" localSheetId="26">'Consumers Mutual'!$P$6:$P$58</definedName>
    <definedName name="ALLOC_REFUNDED" localSheetId="27">'Consumers United'!$P$6:$P$58</definedName>
    <definedName name="ALLOC_REFUNDED" localSheetId="28">CoOportunity!$P$6:$P$58</definedName>
    <definedName name="ALLOC_REFUNDED" localSheetId="29">'Coordinated Hlth'!$P$6:$P$58</definedName>
    <definedName name="ALLOC_REFUNDED" localSheetId="30">'Corporate Life'!$P$6:$P$58</definedName>
    <definedName name="ALLOC_REFUNDED" localSheetId="31">'Diamond Benefits'!$P$6:$P$58</definedName>
    <definedName name="ALLOC_REFUNDED" localSheetId="32">'EBL Life'!$P$6:$P$58</definedName>
    <definedName name="ALLOC_REFUNDED" localSheetId="34">ELNY!$P$6:$P$58</definedName>
    <definedName name="ALLOC_REFUNDED" localSheetId="33">'Executive Life'!$P$6:$P$58</definedName>
    <definedName name="ALLOC_REFUNDED" localSheetId="35">'Family Guaranty'!$P$6:$P$58</definedName>
    <definedName name="ALLOC_REFUNDED" localSheetId="36">'Fidelity Bankers'!$P$6:$P$58</definedName>
    <definedName name="ALLOC_REFUNDED" localSheetId="37">'Fidelity Mutual'!$P$6:$P$58</definedName>
    <definedName name="ALLOC_REFUNDED" localSheetId="38">'First Capital'!$P$6:$P$58</definedName>
    <definedName name="ALLOC_REFUNDED" localSheetId="39">'First Natl'!$P$6:$P$58</definedName>
    <definedName name="ALLOC_REFUNDED" localSheetId="40">'First Natl (Thrnr)'!$P$6:$P$58</definedName>
    <definedName name="ALLOC_REFUNDED" localSheetId="41">'Franklin American'!$P$6:$P$58</definedName>
    <definedName name="ALLOC_REFUNDED" localSheetId="42">'Franklin Protective'!$P$6:$P$58</definedName>
    <definedName name="ALLOC_REFUNDED" localSheetId="43">'Freelancers CO-OP'!$P$6:$P$58</definedName>
    <definedName name="ALLOC_REFUNDED" localSheetId="44">Freestone!$P$6:$P$58</definedName>
    <definedName name="ALLOC_REFUNDED" localSheetId="45">'George Washington'!$P$6:$P$58</definedName>
    <definedName name="ALLOC_REFUNDED" localSheetId="46">'Golden State'!$P$6:$P$58</definedName>
    <definedName name="ALLOC_REFUNDED" localSheetId="47">'Guarantee Security'!$P$6:$P$58</definedName>
    <definedName name="ALLOC_REFUNDED" localSheetId="48">HealthyCT!$P$6:$P$58</definedName>
    <definedName name="ALLOC_REFUNDED" localSheetId="49">Imerica!$P$6:$P$58</definedName>
    <definedName name="ALLOC_REFUNDED" localSheetId="50">'Inter-American'!$P$6:$P$58</definedName>
    <definedName name="ALLOC_REFUNDED" localSheetId="51">'International Fin'!$P$6:$P$58</definedName>
    <definedName name="ALLOC_REFUNDED" localSheetId="52">'Investment Life of America'!$P$6:$P$58</definedName>
    <definedName name="ALLOC_REFUNDED" localSheetId="53">'Investors Equity'!$P$6:$P$58</definedName>
    <definedName name="ALLOC_REFUNDED" localSheetId="54">'Kentucky Central'!$P$6:$P$58</definedName>
    <definedName name="ALLOC_REFUNDED" localSheetId="55">'Land of Lincoln'!$P$6:$P$58</definedName>
    <definedName name="ALLOC_REFUNDED" localSheetId="56">Legion!$P$6:$P$58</definedName>
    <definedName name="ALLOC_REFUNDED" localSheetId="57">'Life Health America'!$P$6:$P$58</definedName>
    <definedName name="ALLOC_REFUNDED" localSheetId="58">'Lincoln Memorial'!$P$6:$P$58</definedName>
    <definedName name="ALLOC_REFUNDED" localSheetId="59">'London Pac'!$P$6:$P$58</definedName>
    <definedName name="ALLOC_REFUNDED" localSheetId="60">Lumbermens!$P$6:$P$58</definedName>
    <definedName name="ALLOC_REFUNDED" localSheetId="61">'Medical Savings'!$P$6:$P$58</definedName>
    <definedName name="ALLOC_REFUNDED" localSheetId="62">'Memorial Service'!$P$6:$P$58</definedName>
    <definedName name="ALLOC_REFUNDED" localSheetId="63">Midcontinent!$P$6:$P$58</definedName>
    <definedName name="ALLOC_REFUNDED" localSheetId="64">'Midwest Life'!$P$6:$P$58</definedName>
    <definedName name="ALLOC_REFUNDED" localSheetId="65">'Monarch Life'!$P$6:$P$58</definedName>
    <definedName name="ALLOC_REFUNDED" localSheetId="66">'Mutual Benefit'!$P$6:$P$58</definedName>
    <definedName name="ALLOC_REFUNDED" localSheetId="67">'Mutual Security'!$P$6:$P$58</definedName>
    <definedName name="ALLOC_REFUNDED" localSheetId="68">'National Affiliated'!$P$6:$P$58</definedName>
    <definedName name="ALLOC_REFUNDED" localSheetId="70">'National Heritage'!$P$6:$P$58</definedName>
    <definedName name="ALLOC_REFUNDED" localSheetId="71">'National States'!$P$6:$P$58</definedName>
    <definedName name="ALLOC_REFUNDED" localSheetId="69">'Natl American'!$P$6:$P$58</definedName>
    <definedName name="ALLOC_REFUNDED" localSheetId="72">'New Jersey Life'!$P$6:$P$58</definedName>
    <definedName name="ALLOC_REFUNDED" localSheetId="74">NNIC!$P$6:$P$58</definedName>
    <definedName name="ALLOC_REFUNDED" localSheetId="73">'North Carolina Mutual'!$P$6:$P$58</definedName>
    <definedName name="ALLOC_REFUNDED" localSheetId="75">'Old Colony Life'!$P$6:$P$58</definedName>
    <definedName name="ALLOC_REFUNDED" localSheetId="76">'Old Faithful'!$P$6:$P$58</definedName>
    <definedName name="ALLOC_REFUNDED" localSheetId="77">'Pacific Standard'!$P$6:$P$58</definedName>
    <definedName name="ALLOC_REFUNDED" localSheetId="78">'Pavonia Life'!$P$6:$P$58</definedName>
    <definedName name="ALLOC_REFUNDED" localSheetId="79">'Pen  Treaty'!$P$6:$P$58</definedName>
    <definedName name="ALLOC_REFUNDED" localSheetId="80">'Red Rock'!$P$6:$P$58</definedName>
    <definedName name="ALLOC_REFUNDED" localSheetId="81">Reliance!$P$6:$P$58</definedName>
    <definedName name="ALLOC_REFUNDED" localSheetId="82">SeeChange!$P$6:$P$58</definedName>
    <definedName name="ALLOC_REFUNDED" localSheetId="83">'Senior American'!$P$6:$P$58</definedName>
    <definedName name="ALLOC_REFUNDED" localSheetId="84">Settlers!$P$6:$P$58</definedName>
    <definedName name="ALLOC_REFUNDED" localSheetId="85">Shenandoah!$P$6:$P$58</definedName>
    <definedName name="ALLOC_REFUNDED" localSheetId="86">'Southland National Life'!$P$6:$P$58</definedName>
    <definedName name="ALLOC_REFUNDED" localSheetId="87">'Standard Life IN'!$P$6:$P$58</definedName>
    <definedName name="ALLOC_REFUNDED" localSheetId="88">'States General'!$P$6:$P$58</definedName>
    <definedName name="ALLOC_REFUNDED" localSheetId="89">Statesman!$P$6:$P$58</definedName>
    <definedName name="ALLOC_REFUNDED" localSheetId="90">'Summit National'!$P$6:$P$58</definedName>
    <definedName name="ALLOC_REFUNDED" localSheetId="91">Supreme!$P$6:$P$58</definedName>
    <definedName name="ALLOC_REFUNDED" localSheetId="92">Time!$P$6:$P$58</definedName>
    <definedName name="ALLOC_REFUNDED" localSheetId="106">'Total Summary'!$M$6:$M$59</definedName>
    <definedName name="ALLOC_REFUNDED" localSheetId="93">Underwriters!$P$6:$P$58</definedName>
    <definedName name="ALLOC_REFUNDED" localSheetId="94">Unison!$P$6:$P$58</definedName>
    <definedName name="ALLOC_REFUNDED" localSheetId="95">'United Republic'!$P$6:$P$58</definedName>
    <definedName name="ALLOC_REFUNDED" localSheetId="96">'Universal Health Care'!$P$6:$P$58</definedName>
    <definedName name="ALLOC_REFUNDED" localSheetId="97">'Universal Life'!$P$6:$P$58</definedName>
    <definedName name="ALLOC_REFUNDED" localSheetId="98">Universe!$P$6:$P$58</definedName>
    <definedName name="ALLOC_REFUNDED" localSheetId="99">Villanova!$P$6:$P$58</definedName>
    <definedName name="ALLOCATED" localSheetId="0">'AF&amp;L'!$C$6:$C$59</definedName>
    <definedName name="ALLOCATED" localSheetId="1">'Alabama Life'!$C$6:$C$59</definedName>
    <definedName name="ALLOCATED" localSheetId="6">'Amer Life Asr'!$C$6:$C$59</definedName>
    <definedName name="ALLOCATED" localSheetId="9">'Amer Std Life Acc'!$C$6:$C$59</definedName>
    <definedName name="ALLOCATED" localSheetId="2">'American Chambers'!$C$6:$C$59</definedName>
    <definedName name="ALLOCATED" localSheetId="3">'American Community'!$C$6:$C$59</definedName>
    <definedName name="ALLOCATED" localSheetId="4">'American Educators'!$C$6:$C$59</definedName>
    <definedName name="ALLOCATED" localSheetId="5">'American Integrity'!$C$6:$C$59</definedName>
    <definedName name="ALLOCATED" localSheetId="7">'American Medical'!$C$6:$C$59</definedName>
    <definedName name="ALLOCATED" localSheetId="8">'American Network'!$C$6:$C$59</definedName>
    <definedName name="ALLOCATED" localSheetId="10">AmerWstrn!$C$6:$C$59</definedName>
    <definedName name="ALLOCATED" localSheetId="11">'AMS Life'!$C$6:$C$59</definedName>
    <definedName name="ALLOCATED" localSheetId="12">'Andrew Jackson'!$C$6:$C$59</definedName>
    <definedName name="ALLOCATED" localSheetId="13">'Bankers Commercial'!$C$6:$C$59</definedName>
    <definedName name="ALLOCATED" localSheetId="14">'Bankers Life'!$C$6:$C$59</definedName>
    <definedName name="ALLOCATED" localSheetId="15">Benicorp!$C$6:$C$59</definedName>
    <definedName name="ALLOCATED" localSheetId="16">'Booker T Washington'!$C$6:$C$59</definedName>
    <definedName name="ALLOCATED" localSheetId="17">Centennial!$C$6:$C$59</definedName>
    <definedName name="ALLOCATED" localSheetId="103">'Closed Summary'!$C$6:$C$58</definedName>
    <definedName name="ALLOCATED" localSheetId="19">'CO Bankers'!$C$6:$C$59</definedName>
    <definedName name="ALLOCATED" localSheetId="18">'Coastal States'!$C$6:$C$59</definedName>
    <definedName name="ALLOCATED" localSheetId="20">'Colorado Health'!$C$6:$C$59</definedName>
    <definedName name="ALLOCATED" localSheetId="21">'Compass (dbs Meritus)'!$C$6:$C$59</definedName>
    <definedName name="ALLOCATED" localSheetId="22">'Confed Life &amp; Annty (CLIAC)'!$C$6:$C$59</definedName>
    <definedName name="ALLOCATED" localSheetId="23">'Confed Life (CLIC)'!$C$6:$C$59</definedName>
    <definedName name="ALLOCATED" localSheetId="24">'Consolidated National'!$C$6:$C$59</definedName>
    <definedName name="ALLOCATED" localSheetId="25">'Consumers Choice'!$C$6:$C$59</definedName>
    <definedName name="ALLOCATED" localSheetId="26">'Consumers Mutual'!$C$6:$C$59</definedName>
    <definedName name="ALLOCATED" localSheetId="27">'Consumers United'!$C$6:$C$59</definedName>
    <definedName name="ALLOCATED" localSheetId="28">CoOportunity!$C$6:$C$59</definedName>
    <definedName name="ALLOCATED" localSheetId="29">'Coordinated Hlth'!$C$6:$C$59</definedName>
    <definedName name="ALLOCATED" localSheetId="30">'Corporate Life'!$C$6:$C$59</definedName>
    <definedName name="ALLOCATED" localSheetId="31">'Diamond Benefits'!$C$6:$C$59</definedName>
    <definedName name="ALLOCATED" localSheetId="32">'EBL Life'!$C$6:$C$59</definedName>
    <definedName name="ALLOCATED" localSheetId="34">ELNY!$C$6:$C$59</definedName>
    <definedName name="ALLOCATED" localSheetId="104">'Estate Closed Summary'!$C$6:$C$58</definedName>
    <definedName name="ALLOCATED" localSheetId="33">'Executive Life'!$C$6:$C$59</definedName>
    <definedName name="ALLOCATED" localSheetId="35">'Family Guaranty'!$C$6:$C$59</definedName>
    <definedName name="ALLOCATED" localSheetId="36">'Fidelity Bankers'!$C$6:$C$59</definedName>
    <definedName name="ALLOCATED" localSheetId="37">'Fidelity Mutual'!$C$6:$C$59</definedName>
    <definedName name="ALLOCATED" localSheetId="38">'First Capital'!$C$6:$C$59</definedName>
    <definedName name="ALLOCATED" localSheetId="39">'First Natl'!$C$6:$C$59</definedName>
    <definedName name="ALLOCATED" localSheetId="40">'First Natl (Thrnr)'!$C$6:$C$59</definedName>
    <definedName name="ALLOCATED" localSheetId="41">'Franklin American'!$C$6:$C$59</definedName>
    <definedName name="ALLOCATED" localSheetId="42">'Franklin Protective'!$C$6:$C$59</definedName>
    <definedName name="ALLOCATED" localSheetId="43">'Freelancers CO-OP'!$C$6:$C$59</definedName>
    <definedName name="ALLOCATED" localSheetId="44">Freestone!$C$6:$C$59</definedName>
    <definedName name="ALLOCATED" localSheetId="45">'George Washington'!$C$6:$C$59</definedName>
    <definedName name="ALLOCATED" localSheetId="46">'Golden State'!$C$6:$C$59</definedName>
    <definedName name="ALLOCATED" localSheetId="47">'Guarantee Security'!$C$6:$C$59</definedName>
    <definedName name="ALLOCATED" localSheetId="48">HealthyCT!$C$6:$C$59</definedName>
    <definedName name="ALLOCATED" localSheetId="49">Imerica!$C$6:$C$59</definedName>
    <definedName name="ALLOCATED" localSheetId="50">'Inter-American'!$C$6:$C$59</definedName>
    <definedName name="ALLOCATED" localSheetId="51">'International Fin'!$C$6:$C$59</definedName>
    <definedName name="ALLOCATED" localSheetId="52">'Investment Life of America'!$C$6:$C$59</definedName>
    <definedName name="ALLOCATED" localSheetId="53">'Investors Equity'!$C$6:$C$59</definedName>
    <definedName name="ALLOCATED" localSheetId="54">'Kentucky Central'!$C$6:$C$59</definedName>
    <definedName name="ALLOCATED" localSheetId="55">'Land of Lincoln'!$C$6:$C$59</definedName>
    <definedName name="ALLOCATED" localSheetId="56">Legion!$C$6:$C$59</definedName>
    <definedName name="ALLOCATED" localSheetId="57">'Life Health America'!$C$6:$C$59</definedName>
    <definedName name="ALLOCATED" localSheetId="58">'Lincoln Memorial'!$C$6:$C$59</definedName>
    <definedName name="ALLOCATED" localSheetId="59">'London Pac'!$C$6:$C$59</definedName>
    <definedName name="ALLOCATED" localSheetId="60">Lumbermens!$C$6:$C$59</definedName>
    <definedName name="ALLOCATED" localSheetId="61">'Medical Savings'!$C$6:$C$59</definedName>
    <definedName name="ALLOCATED" localSheetId="62">'Memorial Service'!$C$6:$C$59</definedName>
    <definedName name="ALLOCATED" localSheetId="63">Midcontinent!$C$6:$C$59</definedName>
    <definedName name="ALLOCATED" localSheetId="64">'Midwest Life'!$C$6:$C$59</definedName>
    <definedName name="ALLOCATED" localSheetId="65">'Monarch Life'!$C$6:$C$59</definedName>
    <definedName name="ALLOCATED" localSheetId="66">'Mutual Benefit'!$C$6:$C$59</definedName>
    <definedName name="ALLOCATED" localSheetId="67">'Mutual Security'!$C$6:$C$59</definedName>
    <definedName name="ALLOCATED" localSheetId="68">'National Affiliated'!$C$6:$C$59</definedName>
    <definedName name="ALLOCATED" localSheetId="70">'National Heritage'!$C$6:$C$59</definedName>
    <definedName name="ALLOCATED" localSheetId="71">'National States'!$C$6:$C$59</definedName>
    <definedName name="ALLOCATED" localSheetId="69">'Natl American'!$C$6:$C$59</definedName>
    <definedName name="ALLOCATED" localSheetId="72">'New Jersey Life'!$C$6:$C$59</definedName>
    <definedName name="ALLOCATED" localSheetId="74">NNIC!$C$6:$C$59</definedName>
    <definedName name="ALLOCATED" localSheetId="73">'North Carolina Mutual'!$C$6:$C$59</definedName>
    <definedName name="ALLOCATED" localSheetId="75">'Old Colony Life'!$C$6:$C$59</definedName>
    <definedName name="ALLOCATED" localSheetId="76">'Old Faithful'!$C$6:$C$59</definedName>
    <definedName name="ALLOCATED" localSheetId="102">'Open Summary'!$C$6:$C$58</definedName>
    <definedName name="ALLOCATED" localSheetId="77">'Pacific Standard'!$C$6:$C$59</definedName>
    <definedName name="ALLOCATED" localSheetId="78">'Pavonia Life'!$C$6:$C$59</definedName>
    <definedName name="ALLOCATED" localSheetId="79">'Pen  Treaty'!$C$6:$C$59</definedName>
    <definedName name="ALLOCATED" localSheetId="101">'Pre-Liquidation Summary'!$C$6:$C$58</definedName>
    <definedName name="ALLOCATED" localSheetId="80">'Red Rock'!$C$6:$C$59</definedName>
    <definedName name="ALLOCATED" localSheetId="105">'Released from Oversight Summary'!$C$6:$C$58</definedName>
    <definedName name="ALLOCATED" localSheetId="81">Reliance!$C$6:$C$59</definedName>
    <definedName name="ALLOCATED" localSheetId="82">SeeChange!$C$6:$C$59</definedName>
    <definedName name="ALLOCATED" localSheetId="83">'Senior American'!$C$6:$C$59</definedName>
    <definedName name="ALLOCATED" localSheetId="84">Settlers!$C$6:$C$59</definedName>
    <definedName name="ALLOCATED" localSheetId="85">Shenandoah!$C$6:$C$59</definedName>
    <definedName name="ALLOCATED" localSheetId="86">'Southland National Life'!$C$6:$C$59</definedName>
    <definedName name="ALLOCATED" localSheetId="87">'Standard Life IN'!$C$6:$C$59</definedName>
    <definedName name="ALLOCATED" localSheetId="88">'States General'!$C$6:$C$59</definedName>
    <definedName name="ALLOCATED" localSheetId="89">Statesman!$C$6:$C$59</definedName>
    <definedName name="ALLOCATED" localSheetId="90">'Summit National'!$C$6:$C$59</definedName>
    <definedName name="ALLOCATED" localSheetId="91">Supreme!$C$6:$C$59</definedName>
    <definedName name="ALLOCATED" localSheetId="92">Time!$C$6:$C$59</definedName>
    <definedName name="ALLOCATED" localSheetId="106">'Total Summary'!$C$6:$C$59</definedName>
    <definedName name="ALLOCATED" localSheetId="93">Underwriters!$C$6:$C$59</definedName>
    <definedName name="ALLOCATED" localSheetId="94">Unison!$C$6:$C$59</definedName>
    <definedName name="ALLOCATED" localSheetId="95">'United Republic'!$C$6:$C$59</definedName>
    <definedName name="ALLOCATED" localSheetId="96">'Universal Health Care'!$C$6:$C$59</definedName>
    <definedName name="ALLOCATED" localSheetId="97">'Universal Life'!$C$6:$C$59</definedName>
    <definedName name="ALLOCATED" localSheetId="98">Universe!$C$6:$C$59</definedName>
    <definedName name="ALLOCATED" localSheetId="99">Villanova!$C$6:$C$59</definedName>
    <definedName name="AR_FINANCIAL" localSheetId="0">'AF&amp;L'!$B$9:$F$9</definedName>
    <definedName name="AR_FINANCIAL" localSheetId="1">'Alabama Life'!$B$9:$F$9</definedName>
    <definedName name="AR_FINANCIAL" localSheetId="6">'Amer Life Asr'!$B$9:$F$9</definedName>
    <definedName name="AR_FINANCIAL" localSheetId="9">'Amer Std Life Acc'!$B$9:$F$9</definedName>
    <definedName name="AR_FINANCIAL" localSheetId="2">'American Chambers'!$B$9:$F$9</definedName>
    <definedName name="AR_FINANCIAL" localSheetId="3">'American Community'!$B$9:$F$9</definedName>
    <definedName name="AR_FINANCIAL" localSheetId="4">'American Educators'!$B$9:$F$9</definedName>
    <definedName name="AR_FINANCIAL" localSheetId="5">'American Integrity'!$B$9:$F$9</definedName>
    <definedName name="AR_FINANCIAL" localSheetId="7">'American Medical'!$B$9:$F$9</definedName>
    <definedName name="AR_FINANCIAL" localSheetId="8">'American Network'!$B$9:$F$9</definedName>
    <definedName name="AR_FINANCIAL" localSheetId="10">AmerWstrn!$B$9:$F$9</definedName>
    <definedName name="AR_FINANCIAL" localSheetId="11">'AMS Life'!$B$9:$F$9</definedName>
    <definedName name="AR_FINANCIAL" localSheetId="12">'Andrew Jackson'!$B$9:$F$9</definedName>
    <definedName name="AR_FINANCIAL" localSheetId="13">'Bankers Commercial'!$B$9:$F$9</definedName>
    <definedName name="AR_FINANCIAL" localSheetId="14">'Bankers Life'!$B$9:$F$9</definedName>
    <definedName name="AR_FINANCIAL" localSheetId="15">Benicorp!$B$9:$F$9</definedName>
    <definedName name="AR_FINANCIAL" localSheetId="16">'Booker T Washington'!$B$9:$F$9</definedName>
    <definedName name="AR_FINANCIAL" localSheetId="17">Centennial!$B$9:$F$9</definedName>
    <definedName name="AR_FINANCIAL" localSheetId="19">'CO Bankers'!$B$9:$F$9</definedName>
    <definedName name="AR_FINANCIAL" localSheetId="18">'Coastal States'!$B$9:$F$9</definedName>
    <definedName name="AR_FINANCIAL" localSheetId="20">'Colorado Health'!$B$9:$F$9</definedName>
    <definedName name="AR_FINANCIAL" localSheetId="21">'Compass (dbs Meritus)'!$B$9:$F$9</definedName>
    <definedName name="AR_FINANCIAL" localSheetId="22">'Confed Life &amp; Annty (CLIAC)'!$B$9:$F$9</definedName>
    <definedName name="AR_FINANCIAL" localSheetId="23">'Confed Life (CLIC)'!$B$9:$F$9</definedName>
    <definedName name="AR_FINANCIAL" localSheetId="24">'Consolidated National'!$B$9:$F$9</definedName>
    <definedName name="AR_FINANCIAL" localSheetId="25">'Consumers Choice'!$B$9:$F$9</definedName>
    <definedName name="AR_FINANCIAL" localSheetId="26">'Consumers Mutual'!$B$9:$F$9</definedName>
    <definedName name="AR_FINANCIAL" localSheetId="27">'Consumers United'!$B$9:$F$9</definedName>
    <definedName name="AR_FINANCIAL" localSheetId="28">CoOportunity!$B$9:$F$9</definedName>
    <definedName name="AR_FINANCIAL" localSheetId="29">'Coordinated Hlth'!$B$9:$F$9</definedName>
    <definedName name="AR_FINANCIAL" localSheetId="30">'Corporate Life'!$B$9:$F$9</definedName>
    <definedName name="AR_FINANCIAL" localSheetId="31">'Diamond Benefits'!$B$9:$F$9</definedName>
    <definedName name="AR_FINANCIAL" localSheetId="32">'EBL Life'!$B$9:$F$9</definedName>
    <definedName name="AR_FINANCIAL" localSheetId="34">ELNY!$B$9:$F$9</definedName>
    <definedName name="AR_FINANCIAL" localSheetId="33">'Executive Life'!$B$9:$F$9</definedName>
    <definedName name="AR_FINANCIAL" localSheetId="35">'Family Guaranty'!$B$9:$F$9</definedName>
    <definedName name="AR_FINANCIAL" localSheetId="36">'Fidelity Bankers'!$B$9:$F$9</definedName>
    <definedName name="AR_FINANCIAL" localSheetId="37">'Fidelity Mutual'!$B$9:$F$9</definedName>
    <definedName name="AR_FINANCIAL" localSheetId="38">'First Capital'!$B$9:$F$9</definedName>
    <definedName name="AR_FINANCIAL" localSheetId="39">'First Natl'!$B$9:$F$9</definedName>
    <definedName name="AR_FINANCIAL" localSheetId="40">'First Natl (Thrnr)'!$B$9:$F$9</definedName>
    <definedName name="AR_FINANCIAL" localSheetId="41">'Franklin American'!$B$9:$F$9</definedName>
    <definedName name="AR_FINANCIAL" localSheetId="42">'Franklin Protective'!$B$9:$F$9</definedName>
    <definedName name="AR_FINANCIAL" localSheetId="43">'Freelancers CO-OP'!$B$9:$F$9</definedName>
    <definedName name="AR_FINANCIAL" localSheetId="44">Freestone!$B$9:$F$9</definedName>
    <definedName name="AR_FINANCIAL" localSheetId="45">'George Washington'!$B$9:$F$9</definedName>
    <definedName name="AR_FINANCIAL" localSheetId="46">'Golden State'!$B$9:$F$9</definedName>
    <definedName name="AR_FINANCIAL" localSheetId="47">'Guarantee Security'!$B$9:$F$9</definedName>
    <definedName name="AR_FINANCIAL" localSheetId="48">HealthyCT!$B$9:$F$9</definedName>
    <definedName name="AR_FINANCIAL" localSheetId="49">Imerica!$B$9:$F$9</definedName>
    <definedName name="AR_FINANCIAL" localSheetId="50">'Inter-American'!$B$9:$F$9</definedName>
    <definedName name="AR_FINANCIAL" localSheetId="51">'International Fin'!$B$9:$F$9</definedName>
    <definedName name="AR_FINANCIAL" localSheetId="52">'Investment Life of America'!$B$9:$F$9</definedName>
    <definedName name="AR_FINANCIAL" localSheetId="53">'Investors Equity'!$B$9:$F$9</definedName>
    <definedName name="AR_FINANCIAL" localSheetId="54">'Kentucky Central'!$B$9:$F$9</definedName>
    <definedName name="AR_FINANCIAL" localSheetId="55">'Land of Lincoln'!$B$9:$F$9</definedName>
    <definedName name="AR_FINANCIAL" localSheetId="56">Legion!$B$9:$F$9</definedName>
    <definedName name="AR_FINANCIAL" localSheetId="57">'Life Health America'!$B$9:$F$9</definedName>
    <definedName name="AR_FINANCIAL" localSheetId="58">'Lincoln Memorial'!$B$9:$F$9</definedName>
    <definedName name="AR_FINANCIAL" localSheetId="59">'London Pac'!$B$9:$F$9</definedName>
    <definedName name="AR_FINANCIAL" localSheetId="60">Lumbermens!$B$9:$F$9</definedName>
    <definedName name="AR_FINANCIAL" localSheetId="61">'Medical Savings'!$B$9:$F$9</definedName>
    <definedName name="AR_FINANCIAL" localSheetId="62">'Memorial Service'!$B$9:$F$9</definedName>
    <definedName name="AR_FINANCIAL" localSheetId="63">Midcontinent!$B$9:$F$9</definedName>
    <definedName name="AR_FINANCIAL" localSheetId="64">'Midwest Life'!$B$9:$F$9</definedName>
    <definedName name="AR_FINANCIAL" localSheetId="65">'Monarch Life'!$B$9:$F$9</definedName>
    <definedName name="AR_FINANCIAL" localSheetId="66">'Mutual Benefit'!$B$9:$F$9</definedName>
    <definedName name="AR_FINANCIAL" localSheetId="67">'Mutual Security'!$B$9:$F$9</definedName>
    <definedName name="AR_FINANCIAL" localSheetId="68">'National Affiliated'!$B$9:$F$9</definedName>
    <definedName name="AR_FINANCIAL" localSheetId="70">'National Heritage'!$B$9:$F$9</definedName>
    <definedName name="AR_FINANCIAL" localSheetId="71">'National States'!$B$9:$F$9</definedName>
    <definedName name="AR_FINANCIAL" localSheetId="69">'Natl American'!$B$9:$F$9</definedName>
    <definedName name="AR_FINANCIAL" localSheetId="72">'New Jersey Life'!$B$9:$F$9</definedName>
    <definedName name="AR_FINANCIAL" localSheetId="74">NNIC!$B$9:$F$9</definedName>
    <definedName name="AR_FINANCIAL" localSheetId="73">'North Carolina Mutual'!$B$9:$F$9</definedName>
    <definedName name="AR_FINANCIAL" localSheetId="75">'Old Colony Life'!$B$9:$F$9</definedName>
    <definedName name="AR_FINANCIAL" localSheetId="76">'Old Faithful'!$B$9:$F$9</definedName>
    <definedName name="AR_FINANCIAL" localSheetId="77">'Pacific Standard'!$B$9:$F$9</definedName>
    <definedName name="AR_FINANCIAL" localSheetId="78">'Pavonia Life'!$B$9:$F$9</definedName>
    <definedName name="AR_FINANCIAL" localSheetId="79">'Pen  Treaty'!$B$9:$F$9</definedName>
    <definedName name="AR_FINANCIAL" localSheetId="80">'Red Rock'!$B$9:$F$9</definedName>
    <definedName name="AR_FINANCIAL" localSheetId="81">Reliance!$B$9:$F$9</definedName>
    <definedName name="AR_FINANCIAL" localSheetId="82">SeeChange!$B$9:$F$9</definedName>
    <definedName name="AR_FINANCIAL" localSheetId="83">'Senior American'!$B$9:$F$9</definedName>
    <definedName name="AR_FINANCIAL" localSheetId="84">Settlers!$B$9:$F$9</definedName>
    <definedName name="AR_FINANCIAL" localSheetId="85">Shenandoah!$B$9:$F$9</definedName>
    <definedName name="AR_FINANCIAL" localSheetId="86">'Southland National Life'!$B$9:$F$9</definedName>
    <definedName name="AR_FINANCIAL" localSheetId="87">'Standard Life IN'!$B$9:$F$9</definedName>
    <definedName name="AR_FINANCIAL" localSheetId="88">'States General'!$B$9:$F$9</definedName>
    <definedName name="AR_FINANCIAL" localSheetId="89">Statesman!$B$9:$F$9</definedName>
    <definedName name="AR_FINANCIAL" localSheetId="90">'Summit National'!$B$9:$F$9</definedName>
    <definedName name="AR_FINANCIAL" localSheetId="91">Supreme!$B$9:$F$9</definedName>
    <definedName name="AR_FINANCIAL" localSheetId="92">Time!$B$9:$F$9</definedName>
    <definedName name="AR_FINANCIAL" localSheetId="106">'Total Summary'!$B$9:$F$9</definedName>
    <definedName name="AR_FINANCIAL" localSheetId="93">Underwriters!$B$9:$F$9</definedName>
    <definedName name="AR_FINANCIAL" localSheetId="94">Unison!$B$9:$F$9</definedName>
    <definedName name="AR_FINANCIAL" localSheetId="95">'United Republic'!$B$9:$F$9</definedName>
    <definedName name="AR_FINANCIAL" localSheetId="96">'Universal Health Care'!$B$9:$F$9</definedName>
    <definedName name="AR_FINANCIAL" localSheetId="97">'Universal Life'!$B$9:$F$9</definedName>
    <definedName name="AR_FINANCIAL" localSheetId="98">Universe!$B$9:$F$9</definedName>
    <definedName name="AR_FINANCIAL" localSheetId="99">Villanova!$B$9:$F$9</definedName>
    <definedName name="AZ_FINANCIAL" localSheetId="0">'AF&amp;L'!$B$8:$F$8</definedName>
    <definedName name="AZ_FINANCIAL" localSheetId="1">'Alabama Life'!$B$8:$F$8</definedName>
    <definedName name="AZ_FINANCIAL" localSheetId="6">'Amer Life Asr'!$B$8:$F$8</definedName>
    <definedName name="AZ_FINANCIAL" localSheetId="9">'Amer Std Life Acc'!$B$8:$F$8</definedName>
    <definedName name="AZ_FINANCIAL" localSheetId="2">'American Chambers'!$B$8:$F$8</definedName>
    <definedName name="AZ_FINANCIAL" localSheetId="3">'American Community'!$B$8:$F$8</definedName>
    <definedName name="AZ_FINANCIAL" localSheetId="4">'American Educators'!$B$8:$F$8</definedName>
    <definedName name="AZ_FINANCIAL" localSheetId="5">'American Integrity'!$B$8:$F$8</definedName>
    <definedName name="AZ_FINANCIAL" localSheetId="7">'American Medical'!$B$8:$F$8</definedName>
    <definedName name="AZ_FINANCIAL" localSheetId="8">'American Network'!$B$8:$F$8</definedName>
    <definedName name="AZ_FINANCIAL" localSheetId="10">AmerWstrn!$B$8:$F$8</definedName>
    <definedName name="AZ_FINANCIAL" localSheetId="11">'AMS Life'!$B$8:$F$8</definedName>
    <definedName name="AZ_FINANCIAL" localSheetId="12">'Andrew Jackson'!$B$8:$F$8</definedName>
    <definedName name="AZ_FINANCIAL" localSheetId="13">'Bankers Commercial'!$B$8:$F$8</definedName>
    <definedName name="AZ_FINANCIAL" localSheetId="14">'Bankers Life'!$B$8:$F$8</definedName>
    <definedName name="AZ_FINANCIAL" localSheetId="15">Benicorp!$B$8:$F$8</definedName>
    <definedName name="AZ_FINANCIAL" localSheetId="16">'Booker T Washington'!$B$8:$F$8</definedName>
    <definedName name="AZ_FINANCIAL" localSheetId="17">Centennial!$B$8:$F$8</definedName>
    <definedName name="AZ_FINANCIAL" localSheetId="19">'CO Bankers'!$B$8:$F$8</definedName>
    <definedName name="AZ_FINANCIAL" localSheetId="18">'Coastal States'!$B$8:$F$8</definedName>
    <definedName name="AZ_FINANCIAL" localSheetId="20">'Colorado Health'!$B$8:$F$8</definedName>
    <definedName name="AZ_FINANCIAL" localSheetId="21">'Compass (dbs Meritus)'!$B$8:$F$8</definedName>
    <definedName name="AZ_FINANCIAL" localSheetId="22">'Confed Life &amp; Annty (CLIAC)'!$B$8:$F$8</definedName>
    <definedName name="AZ_FINANCIAL" localSheetId="23">'Confed Life (CLIC)'!$B$8:$F$8</definedName>
    <definedName name="AZ_FINANCIAL" localSheetId="24">'Consolidated National'!$B$8:$F$8</definedName>
    <definedName name="AZ_FINANCIAL" localSheetId="25">'Consumers Choice'!$B$8:$F$8</definedName>
    <definedName name="AZ_FINANCIAL" localSheetId="26">'Consumers Mutual'!$B$8:$F$8</definedName>
    <definedName name="AZ_FINANCIAL" localSheetId="27">'Consumers United'!$B$8:$F$8</definedName>
    <definedName name="AZ_FINANCIAL" localSheetId="28">CoOportunity!$B$8:$F$8</definedName>
    <definedName name="AZ_FINANCIAL" localSheetId="29">'Coordinated Hlth'!$B$8:$F$8</definedName>
    <definedName name="AZ_FINANCIAL" localSheetId="30">'Corporate Life'!$B$8:$F$8</definedName>
    <definedName name="AZ_FINANCIAL" localSheetId="31">'Diamond Benefits'!$B$8:$F$8</definedName>
    <definedName name="AZ_FINANCIAL" localSheetId="32">'EBL Life'!$B$8:$F$8</definedName>
    <definedName name="AZ_FINANCIAL" localSheetId="34">ELNY!$B$8:$F$8</definedName>
    <definedName name="AZ_FINANCIAL" localSheetId="33">'Executive Life'!$B$8:$F$8</definedName>
    <definedName name="AZ_FINANCIAL" localSheetId="35">'Family Guaranty'!$B$8:$F$8</definedName>
    <definedName name="AZ_FINANCIAL" localSheetId="36">'Fidelity Bankers'!$B$8:$F$8</definedName>
    <definedName name="AZ_FINANCIAL" localSheetId="37">'Fidelity Mutual'!$B$8:$F$8</definedName>
    <definedName name="AZ_FINANCIAL" localSheetId="38">'First Capital'!$B$8:$F$8</definedName>
    <definedName name="AZ_FINANCIAL" localSheetId="39">'First Natl'!$B$8:$F$8</definedName>
    <definedName name="AZ_FINANCIAL" localSheetId="40">'First Natl (Thrnr)'!$B$8:$F$8</definedName>
    <definedName name="AZ_FINANCIAL" localSheetId="41">'Franklin American'!$B$8:$F$8</definedName>
    <definedName name="AZ_FINANCIAL" localSheetId="42">'Franklin Protective'!$B$8:$F$8</definedName>
    <definedName name="AZ_FINANCIAL" localSheetId="43">'Freelancers CO-OP'!$B$8:$F$8</definedName>
    <definedName name="AZ_FINANCIAL" localSheetId="44">Freestone!$B$8:$F$8</definedName>
    <definedName name="AZ_FINANCIAL" localSheetId="45">'George Washington'!$B$8:$F$8</definedName>
    <definedName name="AZ_FINANCIAL" localSheetId="46">'Golden State'!$B$8:$F$8</definedName>
    <definedName name="AZ_FINANCIAL" localSheetId="47">'Guarantee Security'!$B$8:$F$8</definedName>
    <definedName name="AZ_FINANCIAL" localSheetId="48">HealthyCT!$B$8:$F$8</definedName>
    <definedName name="AZ_FINANCIAL" localSheetId="49">Imerica!$B$8:$F$8</definedName>
    <definedName name="AZ_FINANCIAL" localSheetId="50">'Inter-American'!$B$8:$F$8</definedName>
    <definedName name="AZ_FINANCIAL" localSheetId="51">'International Fin'!$B$8:$F$8</definedName>
    <definedName name="AZ_FINANCIAL" localSheetId="52">'Investment Life of America'!$B$8:$F$8</definedName>
    <definedName name="AZ_FINANCIAL" localSheetId="53">'Investors Equity'!$B$8:$F$8</definedName>
    <definedName name="AZ_FINANCIAL" localSheetId="54">'Kentucky Central'!$B$8:$F$8</definedName>
    <definedName name="AZ_FINANCIAL" localSheetId="55">'Land of Lincoln'!$B$8:$F$8</definedName>
    <definedName name="AZ_FINANCIAL" localSheetId="56">Legion!$B$8:$F$8</definedName>
    <definedName name="AZ_FINANCIAL" localSheetId="57">'Life Health America'!$B$8:$F$8</definedName>
    <definedName name="AZ_FINANCIAL" localSheetId="58">'Lincoln Memorial'!$B$8:$F$8</definedName>
    <definedName name="AZ_FINANCIAL" localSheetId="59">'London Pac'!$B$8:$F$8</definedName>
    <definedName name="AZ_FINANCIAL" localSheetId="60">Lumbermens!$B$8:$F$8</definedName>
    <definedName name="AZ_FINANCIAL" localSheetId="61">'Medical Savings'!$B$8:$F$8</definedName>
    <definedName name="AZ_FINANCIAL" localSheetId="62">'Memorial Service'!$B$8:$F$8</definedName>
    <definedName name="AZ_FINANCIAL" localSheetId="63">Midcontinent!$B$8:$F$8</definedName>
    <definedName name="AZ_FINANCIAL" localSheetId="64">'Midwest Life'!$B$8:$F$8</definedName>
    <definedName name="AZ_FINANCIAL" localSheetId="65">'Monarch Life'!$B$8:$F$8</definedName>
    <definedName name="AZ_FINANCIAL" localSheetId="66">'Mutual Benefit'!$B$8:$F$8</definedName>
    <definedName name="AZ_FINANCIAL" localSheetId="67">'Mutual Security'!$B$8:$F$8</definedName>
    <definedName name="AZ_FINANCIAL" localSheetId="68">'National Affiliated'!$B$8:$F$8</definedName>
    <definedName name="AZ_FINANCIAL" localSheetId="70">'National Heritage'!$B$8:$F$8</definedName>
    <definedName name="AZ_FINANCIAL" localSheetId="71">'National States'!$B$8:$F$8</definedName>
    <definedName name="AZ_FINANCIAL" localSheetId="69">'Natl American'!$B$8:$F$8</definedName>
    <definedName name="AZ_FINANCIAL" localSheetId="72">'New Jersey Life'!$B$8:$F$8</definedName>
    <definedName name="AZ_FINANCIAL" localSheetId="74">NNIC!$B$8:$F$8</definedName>
    <definedName name="AZ_FINANCIAL" localSheetId="73">'North Carolina Mutual'!$B$8:$F$8</definedName>
    <definedName name="AZ_FINANCIAL" localSheetId="75">'Old Colony Life'!$B$8:$F$8</definedName>
    <definedName name="AZ_FINANCIAL" localSheetId="76">'Old Faithful'!$B$8:$F$8</definedName>
    <definedName name="AZ_FINANCIAL" localSheetId="77">'Pacific Standard'!$B$8:$F$8</definedName>
    <definedName name="AZ_FINANCIAL" localSheetId="78">'Pavonia Life'!$B$8:$F$8</definedName>
    <definedName name="AZ_FINANCIAL" localSheetId="79">'Pen  Treaty'!$B$8:$F$8</definedName>
    <definedName name="AZ_FINANCIAL" localSheetId="80">'Red Rock'!$B$8:$F$8</definedName>
    <definedName name="AZ_FINANCIAL" localSheetId="81">Reliance!$B$8:$F$8</definedName>
    <definedName name="AZ_FINANCIAL" localSheetId="82">SeeChange!$B$8:$F$8</definedName>
    <definedName name="AZ_FINANCIAL" localSheetId="83">'Senior American'!$B$8:$F$8</definedName>
    <definedName name="AZ_FINANCIAL" localSheetId="84">Settlers!$B$8:$F$8</definedName>
    <definedName name="AZ_FINANCIAL" localSheetId="85">Shenandoah!$B$8:$F$8</definedName>
    <definedName name="AZ_FINANCIAL" localSheetId="86">'Southland National Life'!$B$8:$F$8</definedName>
    <definedName name="AZ_FINANCIAL" localSheetId="87">'Standard Life IN'!$B$8:$F$8</definedName>
    <definedName name="AZ_FINANCIAL" localSheetId="88">'States General'!$B$8:$F$8</definedName>
    <definedName name="AZ_FINANCIAL" localSheetId="89">Statesman!$B$8:$F$8</definedName>
    <definedName name="AZ_FINANCIAL" localSheetId="90">'Summit National'!$B$8:$F$8</definedName>
    <definedName name="AZ_FINANCIAL" localSheetId="91">Supreme!$B$8:$F$8</definedName>
    <definedName name="AZ_FINANCIAL" localSheetId="92">Time!$B$8:$F$8</definedName>
    <definedName name="AZ_FINANCIAL" localSheetId="106">'Total Summary'!$B$8:$F$8</definedName>
    <definedName name="AZ_FINANCIAL" localSheetId="93">Underwriters!$B$8:$F$8</definedName>
    <definedName name="AZ_FINANCIAL" localSheetId="94">Unison!$B$8:$F$8</definedName>
    <definedName name="AZ_FINANCIAL" localSheetId="95">'United Republic'!$B$8:$F$8</definedName>
    <definedName name="AZ_FINANCIAL" localSheetId="96">'Universal Health Care'!$B$8:$F$8</definedName>
    <definedName name="AZ_FINANCIAL" localSheetId="97">'Universal Life'!$B$8:$F$8</definedName>
    <definedName name="AZ_FINANCIAL" localSheetId="98">Universe!$B$8:$F$8</definedName>
    <definedName name="AZ_FINANCIAL" localSheetId="99">Villanova!$B$8:$F$8</definedName>
    <definedName name="CA_FINANCIAL" localSheetId="0">'AF&amp;L'!$B$10:$F$10</definedName>
    <definedName name="CA_FINANCIAL" localSheetId="1">'Alabama Life'!$B$10:$F$10</definedName>
    <definedName name="CA_FINANCIAL" localSheetId="6">'Amer Life Asr'!$B$10:$F$10</definedName>
    <definedName name="CA_FINANCIAL" localSheetId="9">'Amer Std Life Acc'!$B$10:$F$10</definedName>
    <definedName name="CA_FINANCIAL" localSheetId="2">'American Chambers'!$B$10:$F$10</definedName>
    <definedName name="CA_FINANCIAL" localSheetId="3">'American Community'!$B$10:$F$10</definedName>
    <definedName name="CA_FINANCIAL" localSheetId="4">'American Educators'!$B$10:$F$10</definedName>
    <definedName name="CA_FINANCIAL" localSheetId="5">'American Integrity'!$B$10:$F$10</definedName>
    <definedName name="CA_FINANCIAL" localSheetId="7">'American Medical'!$B$10:$F$10</definedName>
    <definedName name="CA_FINANCIAL" localSheetId="8">'American Network'!$B$10:$F$10</definedName>
    <definedName name="CA_FINANCIAL" localSheetId="10">AmerWstrn!$B$10:$F$10</definedName>
    <definedName name="CA_FINANCIAL" localSheetId="11">'AMS Life'!$B$10:$F$10</definedName>
    <definedName name="CA_FINANCIAL" localSheetId="12">'Andrew Jackson'!$B$10:$F$10</definedName>
    <definedName name="CA_FINANCIAL" localSheetId="13">'Bankers Commercial'!$B$10:$F$10</definedName>
    <definedName name="CA_FINANCIAL" localSheetId="14">'Bankers Life'!$B$10:$F$10</definedName>
    <definedName name="CA_FINANCIAL" localSheetId="15">Benicorp!$B$10:$F$10</definedName>
    <definedName name="CA_FINANCIAL" localSheetId="16">'Booker T Washington'!$B$10:$F$10</definedName>
    <definedName name="CA_FINANCIAL" localSheetId="17">Centennial!$B$10:$F$10</definedName>
    <definedName name="CA_FINANCIAL" localSheetId="19">'CO Bankers'!$B$10:$F$10</definedName>
    <definedName name="CA_FINANCIAL" localSheetId="18">'Coastal States'!$B$10:$F$10</definedName>
    <definedName name="CA_FINANCIAL" localSheetId="20">'Colorado Health'!$B$10:$F$10</definedName>
    <definedName name="CA_FINANCIAL" localSheetId="21">'Compass (dbs Meritus)'!$B$10:$F$10</definedName>
    <definedName name="CA_FINANCIAL" localSheetId="22">'Confed Life &amp; Annty (CLIAC)'!$B$10:$F$10</definedName>
    <definedName name="CA_FINANCIAL" localSheetId="23">'Confed Life (CLIC)'!$B$10:$F$10</definedName>
    <definedName name="CA_FINANCIAL" localSheetId="24">'Consolidated National'!$B$10:$F$10</definedName>
    <definedName name="CA_FINANCIAL" localSheetId="25">'Consumers Choice'!$B$10:$F$10</definedName>
    <definedName name="CA_FINANCIAL" localSheetId="26">'Consumers Mutual'!$B$10:$F$10</definedName>
    <definedName name="CA_FINANCIAL" localSheetId="27">'Consumers United'!$B$10:$F$10</definedName>
    <definedName name="CA_FINANCIAL" localSheetId="28">CoOportunity!$B$10:$F$10</definedName>
    <definedName name="CA_FINANCIAL" localSheetId="29">'Coordinated Hlth'!$B$10:$F$10</definedName>
    <definedName name="CA_FINANCIAL" localSheetId="30">'Corporate Life'!$B$10:$F$10</definedName>
    <definedName name="CA_FINANCIAL" localSheetId="31">'Diamond Benefits'!$B$10:$F$10</definedName>
    <definedName name="CA_FINANCIAL" localSheetId="32">'EBL Life'!$B$10:$F$10</definedName>
    <definedName name="CA_FINANCIAL" localSheetId="34">ELNY!$B$10:$F$10</definedName>
    <definedName name="CA_FINANCIAL" localSheetId="33">'Executive Life'!$B$10:$F$10</definedName>
    <definedName name="CA_FINANCIAL" localSheetId="35">'Family Guaranty'!$B$10:$F$10</definedName>
    <definedName name="CA_FINANCIAL" localSheetId="36">'Fidelity Bankers'!$B$10:$F$10</definedName>
    <definedName name="CA_FINANCIAL" localSheetId="37">'Fidelity Mutual'!$B$10:$F$10</definedName>
    <definedName name="CA_FINANCIAL" localSheetId="38">'First Capital'!$B$10:$F$10</definedName>
    <definedName name="CA_FINANCIAL" localSheetId="39">'First Natl'!$B$10:$F$10</definedName>
    <definedName name="CA_FINANCIAL" localSheetId="40">'First Natl (Thrnr)'!$B$10:$F$10</definedName>
    <definedName name="CA_FINANCIAL" localSheetId="41">'Franklin American'!$B$10:$F$10</definedName>
    <definedName name="CA_FINANCIAL" localSheetId="42">'Franklin Protective'!$B$10:$F$10</definedName>
    <definedName name="CA_FINANCIAL" localSheetId="43">'Freelancers CO-OP'!$B$10:$F$10</definedName>
    <definedName name="CA_FINANCIAL" localSheetId="44">Freestone!$B$10:$F$10</definedName>
    <definedName name="CA_FINANCIAL" localSheetId="45">'George Washington'!$B$10:$F$10</definedName>
    <definedName name="CA_FINANCIAL" localSheetId="46">'Golden State'!$B$10:$F$10</definedName>
    <definedName name="CA_FINANCIAL" localSheetId="47">'Guarantee Security'!$B$10:$F$10</definedName>
    <definedName name="CA_FINANCIAL" localSheetId="48">HealthyCT!$B$10:$F$10</definedName>
    <definedName name="CA_FINANCIAL" localSheetId="49">Imerica!$B$10:$F$10</definedName>
    <definedName name="CA_FINANCIAL" localSheetId="50">'Inter-American'!$B$10:$F$10</definedName>
    <definedName name="CA_FINANCIAL" localSheetId="51">'International Fin'!$B$10:$F$10</definedName>
    <definedName name="CA_FINANCIAL" localSheetId="52">'Investment Life of America'!$B$10:$F$10</definedName>
    <definedName name="CA_FINANCIAL" localSheetId="53">'Investors Equity'!$B$10:$F$10</definedName>
    <definedName name="CA_FINANCIAL" localSheetId="54">'Kentucky Central'!$B$10:$F$10</definedName>
    <definedName name="CA_FINANCIAL" localSheetId="55">'Land of Lincoln'!$B$10:$F$10</definedName>
    <definedName name="CA_FINANCIAL" localSheetId="56">Legion!$B$10:$F$10</definedName>
    <definedName name="CA_FINANCIAL" localSheetId="57">'Life Health America'!$B$10:$F$10</definedName>
    <definedName name="CA_FINANCIAL" localSheetId="58">'Lincoln Memorial'!$B$10:$F$10</definedName>
    <definedName name="CA_FINANCIAL" localSheetId="59">'London Pac'!$B$10:$F$10</definedName>
    <definedName name="CA_FINANCIAL" localSheetId="60">Lumbermens!$B$10:$F$10</definedName>
    <definedName name="CA_FINANCIAL" localSheetId="61">'Medical Savings'!$B$10:$F$10</definedName>
    <definedName name="CA_FINANCIAL" localSheetId="62">'Memorial Service'!$B$10:$F$10</definedName>
    <definedName name="CA_FINANCIAL" localSheetId="63">Midcontinent!$B$10:$F$10</definedName>
    <definedName name="CA_FINANCIAL" localSheetId="64">'Midwest Life'!$B$10:$F$10</definedName>
    <definedName name="CA_FINANCIAL" localSheetId="65">'Monarch Life'!$B$10:$F$10</definedName>
    <definedName name="CA_FINANCIAL" localSheetId="66">'Mutual Benefit'!$B$10:$F$10</definedName>
    <definedName name="CA_FINANCIAL" localSheetId="67">'Mutual Security'!$B$10:$F$10</definedName>
    <definedName name="CA_FINANCIAL" localSheetId="68">'National Affiliated'!$B$10:$F$10</definedName>
    <definedName name="CA_FINANCIAL" localSheetId="70">'National Heritage'!$B$10:$F$10</definedName>
    <definedName name="CA_FINANCIAL" localSheetId="71">'National States'!$B$10:$F$10</definedName>
    <definedName name="CA_FINANCIAL" localSheetId="69">'Natl American'!$B$10:$F$10</definedName>
    <definedName name="CA_FINANCIAL" localSheetId="72">'New Jersey Life'!$B$10:$F$10</definedName>
    <definedName name="CA_FINANCIAL" localSheetId="74">NNIC!$B$10:$F$10</definedName>
    <definedName name="CA_FINANCIAL" localSheetId="73">'North Carolina Mutual'!$B$10:$F$10</definedName>
    <definedName name="CA_FINANCIAL" localSheetId="75">'Old Colony Life'!$B$10:$F$10</definedName>
    <definedName name="CA_FINANCIAL" localSheetId="76">'Old Faithful'!$B$10:$F$10</definedName>
    <definedName name="CA_FINANCIAL" localSheetId="77">'Pacific Standard'!$B$10:$F$10</definedName>
    <definedName name="CA_FINANCIAL" localSheetId="78">'Pavonia Life'!$B$10:$F$10</definedName>
    <definedName name="CA_FINANCIAL" localSheetId="79">'Pen  Treaty'!$B$10:$F$10</definedName>
    <definedName name="CA_FINANCIAL" localSheetId="80">'Red Rock'!$B$10:$F$10</definedName>
    <definedName name="CA_FINANCIAL" localSheetId="81">Reliance!$B$10:$F$10</definedName>
    <definedName name="CA_FINANCIAL" localSheetId="82">SeeChange!$B$10:$F$10</definedName>
    <definedName name="CA_FINANCIAL" localSheetId="83">'Senior American'!$B$10:$F$10</definedName>
    <definedName name="CA_FINANCIAL" localSheetId="84">Settlers!$B$10:$F$10</definedName>
    <definedName name="CA_FINANCIAL" localSheetId="85">Shenandoah!$B$10:$F$10</definedName>
    <definedName name="CA_FINANCIAL" localSheetId="86">'Southland National Life'!$B$10:$F$10</definedName>
    <definedName name="CA_FINANCIAL" localSheetId="87">'Standard Life IN'!$B$10:$F$10</definedName>
    <definedName name="CA_FINANCIAL" localSheetId="88">'States General'!$B$10:$F$10</definedName>
    <definedName name="CA_FINANCIAL" localSheetId="89">Statesman!$B$10:$F$10</definedName>
    <definedName name="CA_FINANCIAL" localSheetId="90">'Summit National'!$B$10:$F$10</definedName>
    <definedName name="CA_FINANCIAL" localSheetId="91">Supreme!$B$10:$F$10</definedName>
    <definedName name="CA_FINANCIAL" localSheetId="92">Time!$B$10:$F$10</definedName>
    <definedName name="CA_FINANCIAL" localSheetId="106">'Total Summary'!$B$10:$F$10</definedName>
    <definedName name="CA_FINANCIAL" localSheetId="93">Underwriters!$B$10:$F$10</definedName>
    <definedName name="CA_FINANCIAL" localSheetId="94">Unison!$B$10:$F$10</definedName>
    <definedName name="CA_FINANCIAL" localSheetId="95">'United Republic'!$B$10:$F$10</definedName>
    <definedName name="CA_FINANCIAL" localSheetId="96">'Universal Health Care'!$B$10:$F$10</definedName>
    <definedName name="CA_FINANCIAL" localSheetId="97">'Universal Life'!$B$10:$F$10</definedName>
    <definedName name="CA_FINANCIAL" localSheetId="98">Universe!$B$10:$F$10</definedName>
    <definedName name="CA_FINANCIAL" localSheetId="99">Villanova!$B$10:$F$10</definedName>
    <definedName name="CL_ALLOC_CALLED" localSheetId="100">Summary!$W$28:$W$50</definedName>
    <definedName name="CL_ALLOC_REFUNDED" localSheetId="100">Summary!$X$28:$X$50</definedName>
    <definedName name="CL_ALLOCATED" localSheetId="100">Summary!$K$28:$K$50</definedName>
    <definedName name="CL_CHANGE" localSheetId="100">Summary!$Q$28:$Q$50</definedName>
    <definedName name="CL_HEALTH" localSheetId="100">Summary!$L$28:$L$50</definedName>
    <definedName name="CL_HEALTH_CALLED" localSheetId="100">Summary!$Z$28:$Z$50</definedName>
    <definedName name="CL_HEALTH_REFUNDED" localSheetId="100">Summary!$AA$28:$AA$50</definedName>
    <definedName name="CL_LIFE" localSheetId="100">Summary!$J$28:$J$50</definedName>
    <definedName name="CL_LIFE_CALLED" localSheetId="100">Summary!$T$28:$T$50</definedName>
    <definedName name="CL_LIFE_REFUNDED" localSheetId="100">Summary!$U$28:$U$50</definedName>
    <definedName name="CL_LTC" localSheetId="100">Summary!$N$28:$N$50</definedName>
    <definedName name="CL_RECON" localSheetId="100">Summary!#REF!</definedName>
    <definedName name="CL_TOTAL" localSheetId="100">Summary!$O$28:$O$50</definedName>
    <definedName name="CL_TOTAL_PREV" localSheetId="100">Summary!$P$28:$P$50</definedName>
    <definedName name="CL_UNALLOC_CALLED" localSheetId="100">Summary!$AC$28:$AC$50</definedName>
    <definedName name="CL_UNALLOC_REFUNDED" localSheetId="100">Summary!$AD$28:$AD$50</definedName>
    <definedName name="CL_UNALLOCATED" localSheetId="100">Summary!$M$28:$M$50</definedName>
    <definedName name="CO_FINANCIAL" localSheetId="0">'AF&amp;L'!$B$11:$F$11</definedName>
    <definedName name="CO_FINANCIAL" localSheetId="1">'Alabama Life'!$B$11:$F$11</definedName>
    <definedName name="CO_FINANCIAL" localSheetId="6">'Amer Life Asr'!$B$11:$F$11</definedName>
    <definedName name="CO_FINANCIAL" localSheetId="9">'Amer Std Life Acc'!$B$11:$F$11</definedName>
    <definedName name="CO_FINANCIAL" localSheetId="2">'American Chambers'!$B$11:$F$11</definedName>
    <definedName name="CO_FINANCIAL" localSheetId="3">'American Community'!$B$11:$F$11</definedName>
    <definedName name="CO_FINANCIAL" localSheetId="4">'American Educators'!$B$11:$F$11</definedName>
    <definedName name="CO_FINANCIAL" localSheetId="5">'American Integrity'!$B$11:$F$11</definedName>
    <definedName name="CO_FINANCIAL" localSheetId="7">'American Medical'!$B$11:$F$11</definedName>
    <definedName name="CO_FINANCIAL" localSheetId="8">'American Network'!$B$11:$F$11</definedName>
    <definedName name="CO_FINANCIAL" localSheetId="10">AmerWstrn!$B$11:$F$11</definedName>
    <definedName name="CO_FINANCIAL" localSheetId="11">'AMS Life'!$B$11:$F$11</definedName>
    <definedName name="CO_FINANCIAL" localSheetId="12">'Andrew Jackson'!$B$11:$F$11</definedName>
    <definedName name="CO_FINANCIAL" localSheetId="13">'Bankers Commercial'!$B$11:$F$11</definedName>
    <definedName name="CO_FINANCIAL" localSheetId="14">'Bankers Life'!$B$11:$F$11</definedName>
    <definedName name="CO_FINANCIAL" localSheetId="15">Benicorp!$B$11:$F$11</definedName>
    <definedName name="CO_FINANCIAL" localSheetId="16">'Booker T Washington'!$B$11:$F$11</definedName>
    <definedName name="CO_FINANCIAL" localSheetId="17">Centennial!$B$11:$F$11</definedName>
    <definedName name="CO_FINANCIAL" localSheetId="19">'CO Bankers'!$B$11:$F$11</definedName>
    <definedName name="CO_FINANCIAL" localSheetId="18">'Coastal States'!$B$11:$F$11</definedName>
    <definedName name="CO_FINANCIAL" localSheetId="20">'Colorado Health'!$B$11:$F$11</definedName>
    <definedName name="CO_FINANCIAL" localSheetId="21">'Compass (dbs Meritus)'!$B$11:$F$11</definedName>
    <definedName name="CO_FINANCIAL" localSheetId="22">'Confed Life &amp; Annty (CLIAC)'!$B$11:$F$11</definedName>
    <definedName name="CO_FINANCIAL" localSheetId="23">'Confed Life (CLIC)'!$B$11:$F$11</definedName>
    <definedName name="CO_FINANCIAL" localSheetId="24">'Consolidated National'!$B$11:$F$11</definedName>
    <definedName name="CO_FINANCIAL" localSheetId="25">'Consumers Choice'!$B$11:$F$11</definedName>
    <definedName name="CO_FINANCIAL" localSheetId="26">'Consumers Mutual'!$B$11:$F$11</definedName>
    <definedName name="CO_FINANCIAL" localSheetId="27">'Consumers United'!$B$11:$F$11</definedName>
    <definedName name="CO_FINANCIAL" localSheetId="28">CoOportunity!$B$11:$F$11</definedName>
    <definedName name="CO_FINANCIAL" localSheetId="29">'Coordinated Hlth'!$B$11:$F$11</definedName>
    <definedName name="CO_FINANCIAL" localSheetId="30">'Corporate Life'!$B$11:$F$11</definedName>
    <definedName name="CO_FINANCIAL" localSheetId="31">'Diamond Benefits'!$B$11:$F$11</definedName>
    <definedName name="CO_FINANCIAL" localSheetId="32">'EBL Life'!$B$11:$F$11</definedName>
    <definedName name="CO_FINANCIAL" localSheetId="34">ELNY!$B$11:$F$11</definedName>
    <definedName name="CO_FINANCIAL" localSheetId="33">'Executive Life'!$B$11:$F$11</definedName>
    <definedName name="CO_FINANCIAL" localSheetId="35">'Family Guaranty'!$B$11:$F$11</definedName>
    <definedName name="CO_FINANCIAL" localSheetId="36">'Fidelity Bankers'!$B$11:$F$11</definedName>
    <definedName name="CO_FINANCIAL" localSheetId="37">'Fidelity Mutual'!$B$11:$F$11</definedName>
    <definedName name="CO_FINANCIAL" localSheetId="38">'First Capital'!$B$11:$F$11</definedName>
    <definedName name="CO_FINANCIAL" localSheetId="39">'First Natl'!$B$11:$F$11</definedName>
    <definedName name="CO_FINANCIAL" localSheetId="40">'First Natl (Thrnr)'!$B$11:$F$11</definedName>
    <definedName name="CO_FINANCIAL" localSheetId="41">'Franklin American'!$B$11:$F$11</definedName>
    <definedName name="CO_FINANCIAL" localSheetId="42">'Franklin Protective'!$B$11:$F$11</definedName>
    <definedName name="CO_FINANCIAL" localSheetId="43">'Freelancers CO-OP'!$B$11:$F$11</definedName>
    <definedName name="CO_FINANCIAL" localSheetId="44">Freestone!$B$11:$F$11</definedName>
    <definedName name="CO_FINANCIAL" localSheetId="45">'George Washington'!$B$11:$F$11</definedName>
    <definedName name="CO_FINANCIAL" localSheetId="46">'Golden State'!$B$11:$F$11</definedName>
    <definedName name="CO_FINANCIAL" localSheetId="47">'Guarantee Security'!$B$11:$F$11</definedName>
    <definedName name="CO_FINANCIAL" localSheetId="48">HealthyCT!$B$11:$F$11</definedName>
    <definedName name="CO_FINANCIAL" localSheetId="49">Imerica!$B$11:$F$11</definedName>
    <definedName name="CO_FINANCIAL" localSheetId="50">'Inter-American'!$B$11:$F$11</definedName>
    <definedName name="CO_FINANCIAL" localSheetId="51">'International Fin'!$B$11:$F$11</definedName>
    <definedName name="CO_FINANCIAL" localSheetId="52">'Investment Life of America'!$B$11:$F$11</definedName>
    <definedName name="CO_FINANCIAL" localSheetId="53">'Investors Equity'!$B$11:$F$11</definedName>
    <definedName name="CO_FINANCIAL" localSheetId="54">'Kentucky Central'!$B$11:$F$11</definedName>
    <definedName name="CO_FINANCIAL" localSheetId="55">'Land of Lincoln'!$B$11:$F$11</definedName>
    <definedName name="CO_FINANCIAL" localSheetId="56">Legion!$B$11:$F$11</definedName>
    <definedName name="CO_FINANCIAL" localSheetId="57">'Life Health America'!$B$11:$F$11</definedName>
    <definedName name="CO_FINANCIAL" localSheetId="58">'Lincoln Memorial'!$B$11:$F$11</definedName>
    <definedName name="CO_FINANCIAL" localSheetId="59">'London Pac'!$B$11:$F$11</definedName>
    <definedName name="CO_FINANCIAL" localSheetId="60">Lumbermens!$B$11:$F$11</definedName>
    <definedName name="CO_FINANCIAL" localSheetId="61">'Medical Savings'!$B$11:$F$11</definedName>
    <definedName name="CO_FINANCIAL" localSheetId="62">'Memorial Service'!$B$11:$F$11</definedName>
    <definedName name="CO_FINANCIAL" localSheetId="63">Midcontinent!$B$11:$F$11</definedName>
    <definedName name="CO_FINANCIAL" localSheetId="64">'Midwest Life'!$B$11:$F$11</definedName>
    <definedName name="CO_FINANCIAL" localSheetId="65">'Monarch Life'!$B$11:$F$11</definedName>
    <definedName name="CO_FINANCIAL" localSheetId="66">'Mutual Benefit'!$B$11:$F$11</definedName>
    <definedName name="CO_FINANCIAL" localSheetId="67">'Mutual Security'!$B$11:$F$11</definedName>
    <definedName name="CO_FINANCIAL" localSheetId="68">'National Affiliated'!$B$11:$F$11</definedName>
    <definedName name="CO_FINANCIAL" localSheetId="70">'National Heritage'!$B$11:$F$11</definedName>
    <definedName name="CO_FINANCIAL" localSheetId="71">'National States'!$B$11:$F$11</definedName>
    <definedName name="CO_FINANCIAL" localSheetId="69">'Natl American'!$B$11:$F$11</definedName>
    <definedName name="CO_FINANCIAL" localSheetId="72">'New Jersey Life'!$B$11:$F$11</definedName>
    <definedName name="CO_FINANCIAL" localSheetId="74">NNIC!$B$11:$F$11</definedName>
    <definedName name="CO_FINANCIAL" localSheetId="73">'North Carolina Mutual'!$B$11:$F$11</definedName>
    <definedName name="CO_FINANCIAL" localSheetId="75">'Old Colony Life'!$B$11:$F$11</definedName>
    <definedName name="CO_FINANCIAL" localSheetId="76">'Old Faithful'!$B$11:$F$11</definedName>
    <definedName name="CO_FINANCIAL" localSheetId="77">'Pacific Standard'!$B$11:$F$11</definedName>
    <definedName name="CO_FINANCIAL" localSheetId="78">'Pavonia Life'!$B$11:$F$11</definedName>
    <definedName name="CO_FINANCIAL" localSheetId="79">'Pen  Treaty'!$B$11:$F$11</definedName>
    <definedName name="CO_FINANCIAL" localSheetId="80">'Red Rock'!$B$11:$F$11</definedName>
    <definedName name="CO_FINANCIAL" localSheetId="81">Reliance!$B$11:$F$11</definedName>
    <definedName name="CO_FINANCIAL" localSheetId="82">SeeChange!$B$11:$F$11</definedName>
    <definedName name="CO_FINANCIAL" localSheetId="83">'Senior American'!$B$11:$F$11</definedName>
    <definedName name="CO_FINANCIAL" localSheetId="84">Settlers!$B$11:$F$11</definedName>
    <definedName name="CO_FINANCIAL" localSheetId="85">Shenandoah!$B$11:$F$11</definedName>
    <definedName name="CO_FINANCIAL" localSheetId="86">'Southland National Life'!$B$11:$F$11</definedName>
    <definedName name="CO_FINANCIAL" localSheetId="87">'Standard Life IN'!$B$11:$F$11</definedName>
    <definedName name="CO_FINANCIAL" localSheetId="88">'States General'!$B$11:$F$11</definedName>
    <definedName name="CO_FINANCIAL" localSheetId="89">Statesman!$B$11:$F$11</definedName>
    <definedName name="CO_FINANCIAL" localSheetId="90">'Summit National'!$B$11:$F$11</definedName>
    <definedName name="CO_FINANCIAL" localSheetId="91">Supreme!$B$11:$F$11</definedName>
    <definedName name="CO_FINANCIAL" localSheetId="92">Time!$B$11:$F$11</definedName>
    <definedName name="CO_FINANCIAL" localSheetId="106">'Total Summary'!$B$11:$F$11</definedName>
    <definedName name="CO_FINANCIAL" localSheetId="93">Underwriters!$B$11:$F$11</definedName>
    <definedName name="CO_FINANCIAL" localSheetId="94">Unison!$B$11:$F$11</definedName>
    <definedName name="CO_FINANCIAL" localSheetId="95">'United Republic'!$B$11:$F$11</definedName>
    <definedName name="CO_FINANCIAL" localSheetId="96">'Universal Health Care'!$B$11:$F$11</definedName>
    <definedName name="CO_FINANCIAL" localSheetId="97">'Universal Life'!$B$11:$F$11</definedName>
    <definedName name="CO_FINANCIAL" localSheetId="98">Universe!$B$11:$F$11</definedName>
    <definedName name="CO_FINANCIAL" localSheetId="99">Villanova!$B$11:$F$11</definedName>
    <definedName name="CT_FINANCIAL" localSheetId="0">'AF&amp;L'!$B$12:$F$12</definedName>
    <definedName name="CT_FINANCIAL" localSheetId="1">'Alabama Life'!$B$12:$F$12</definedName>
    <definedName name="CT_FINANCIAL" localSheetId="6">'Amer Life Asr'!$B$12:$F$12</definedName>
    <definedName name="CT_FINANCIAL" localSheetId="9">'Amer Std Life Acc'!$B$12:$F$12</definedName>
    <definedName name="CT_FINANCIAL" localSheetId="2">'American Chambers'!$B$12:$F$12</definedName>
    <definedName name="CT_FINANCIAL" localSheetId="3">'American Community'!$B$12:$F$12</definedName>
    <definedName name="CT_FINANCIAL" localSheetId="4">'American Educators'!$B$12:$F$12</definedName>
    <definedName name="CT_FINANCIAL" localSheetId="5">'American Integrity'!$B$12:$F$12</definedName>
    <definedName name="CT_FINANCIAL" localSheetId="7">'American Medical'!$B$12:$F$12</definedName>
    <definedName name="CT_FINANCIAL" localSheetId="8">'American Network'!$B$12:$F$12</definedName>
    <definedName name="CT_FINANCIAL" localSheetId="10">AmerWstrn!$B$12:$F$12</definedName>
    <definedName name="CT_FINANCIAL" localSheetId="11">'AMS Life'!$B$12:$F$12</definedName>
    <definedName name="CT_FINANCIAL" localSheetId="12">'Andrew Jackson'!$B$12:$F$12</definedName>
    <definedName name="CT_FINANCIAL" localSheetId="13">'Bankers Commercial'!$B$12:$F$12</definedName>
    <definedName name="CT_FINANCIAL" localSheetId="14">'Bankers Life'!$B$12:$F$12</definedName>
    <definedName name="CT_FINANCIAL" localSheetId="15">Benicorp!$B$12:$F$12</definedName>
    <definedName name="CT_FINANCIAL" localSheetId="16">'Booker T Washington'!$B$12:$F$12</definedName>
    <definedName name="CT_FINANCIAL" localSheetId="17">Centennial!$B$12:$F$12</definedName>
    <definedName name="CT_FINANCIAL" localSheetId="19">'CO Bankers'!$B$12:$F$12</definedName>
    <definedName name="CT_FINANCIAL" localSheetId="18">'Coastal States'!$B$12:$F$12</definedName>
    <definedName name="CT_FINANCIAL" localSheetId="20">'Colorado Health'!$B$12:$F$12</definedName>
    <definedName name="CT_FINANCIAL" localSheetId="21">'Compass (dbs Meritus)'!$B$12:$F$12</definedName>
    <definedName name="CT_FINANCIAL" localSheetId="22">'Confed Life &amp; Annty (CLIAC)'!$B$12:$F$12</definedName>
    <definedName name="CT_FINANCIAL" localSheetId="23">'Confed Life (CLIC)'!$B$12:$F$12</definedName>
    <definedName name="CT_FINANCIAL" localSheetId="24">'Consolidated National'!$B$12:$F$12</definedName>
    <definedName name="CT_FINANCIAL" localSheetId="25">'Consumers Choice'!$B$12:$F$12</definedName>
    <definedName name="CT_FINANCIAL" localSheetId="26">'Consumers Mutual'!$B$12:$F$12</definedName>
    <definedName name="CT_FINANCIAL" localSheetId="27">'Consumers United'!$B$12:$F$12</definedName>
    <definedName name="CT_FINANCIAL" localSheetId="28">CoOportunity!$B$12:$F$12</definedName>
    <definedName name="CT_FINANCIAL" localSheetId="29">'Coordinated Hlth'!$B$12:$F$12</definedName>
    <definedName name="CT_FINANCIAL" localSheetId="30">'Corporate Life'!$B$12:$F$12</definedName>
    <definedName name="CT_FINANCIAL" localSheetId="31">'Diamond Benefits'!$B$12:$F$12</definedName>
    <definedName name="CT_FINANCIAL" localSheetId="32">'EBL Life'!$B$12:$F$12</definedName>
    <definedName name="CT_FINANCIAL" localSheetId="34">ELNY!$B$12:$F$12</definedName>
    <definedName name="CT_FINANCIAL" localSheetId="33">'Executive Life'!$B$12:$F$12</definedName>
    <definedName name="CT_FINANCIAL" localSheetId="35">'Family Guaranty'!$B$12:$F$12</definedName>
    <definedName name="CT_FINANCIAL" localSheetId="36">'Fidelity Bankers'!$B$12:$F$12</definedName>
    <definedName name="CT_FINANCIAL" localSheetId="37">'Fidelity Mutual'!$B$12:$F$12</definedName>
    <definedName name="CT_FINANCIAL" localSheetId="38">'First Capital'!$B$12:$F$12</definedName>
    <definedName name="CT_FINANCIAL" localSheetId="39">'First Natl'!$B$12:$F$12</definedName>
    <definedName name="CT_FINANCIAL" localSheetId="40">'First Natl (Thrnr)'!$B$12:$F$12</definedName>
    <definedName name="CT_FINANCIAL" localSheetId="41">'Franklin American'!$B$12:$F$12</definedName>
    <definedName name="CT_FINANCIAL" localSheetId="42">'Franklin Protective'!$B$12:$F$12</definedName>
    <definedName name="CT_FINANCIAL" localSheetId="43">'Freelancers CO-OP'!$B$12:$F$12</definedName>
    <definedName name="CT_FINANCIAL" localSheetId="44">Freestone!$B$12:$F$12</definedName>
    <definedName name="CT_FINANCIAL" localSheetId="45">'George Washington'!$B$12:$F$12</definedName>
    <definedName name="CT_FINANCIAL" localSheetId="46">'Golden State'!$B$12:$F$12</definedName>
    <definedName name="CT_FINANCIAL" localSheetId="47">'Guarantee Security'!$B$12:$F$12</definedName>
    <definedName name="CT_FINANCIAL" localSheetId="48">HealthyCT!$B$12:$F$12</definedName>
    <definedName name="CT_FINANCIAL" localSheetId="49">Imerica!$B$12:$F$12</definedName>
    <definedName name="CT_FINANCIAL" localSheetId="50">'Inter-American'!$B$12:$F$12</definedName>
    <definedName name="CT_FINANCIAL" localSheetId="51">'International Fin'!$B$12:$F$12</definedName>
    <definedName name="CT_FINANCIAL" localSheetId="52">'Investment Life of America'!$B$12:$F$12</definedName>
    <definedName name="CT_FINANCIAL" localSheetId="53">'Investors Equity'!$B$12:$F$12</definedName>
    <definedName name="CT_FINANCIAL" localSheetId="54">'Kentucky Central'!$B$12:$F$12</definedName>
    <definedName name="CT_FINANCIAL" localSheetId="55">'Land of Lincoln'!$B$12:$F$12</definedName>
    <definedName name="CT_FINANCIAL" localSheetId="56">Legion!$B$12:$F$12</definedName>
    <definedName name="CT_FINANCIAL" localSheetId="57">'Life Health America'!$B$12:$F$12</definedName>
    <definedName name="CT_FINANCIAL" localSheetId="58">'Lincoln Memorial'!$B$12:$F$12</definedName>
    <definedName name="CT_FINANCIAL" localSheetId="59">'London Pac'!$B$12:$F$12</definedName>
    <definedName name="CT_FINANCIAL" localSheetId="60">Lumbermens!$B$12:$F$12</definedName>
    <definedName name="CT_FINANCIAL" localSheetId="61">'Medical Savings'!$B$12:$F$12</definedName>
    <definedName name="CT_FINANCIAL" localSheetId="62">'Memorial Service'!$B$12:$F$12</definedName>
    <definedName name="CT_FINANCIAL" localSheetId="63">Midcontinent!$B$12:$F$12</definedName>
    <definedName name="CT_FINANCIAL" localSheetId="64">'Midwest Life'!$B$12:$F$12</definedName>
    <definedName name="CT_FINANCIAL" localSheetId="65">'Monarch Life'!$B$12:$F$12</definedName>
    <definedName name="CT_FINANCIAL" localSheetId="66">'Mutual Benefit'!$B$12:$F$12</definedName>
    <definedName name="CT_FINANCIAL" localSheetId="67">'Mutual Security'!$B$12:$F$12</definedName>
    <definedName name="CT_FINANCIAL" localSheetId="68">'National Affiliated'!$B$12:$F$12</definedName>
    <definedName name="CT_FINANCIAL" localSheetId="70">'National Heritage'!$B$12:$F$12</definedName>
    <definedName name="CT_FINANCIAL" localSheetId="71">'National States'!$B$12:$F$12</definedName>
    <definedName name="CT_FINANCIAL" localSheetId="69">'Natl American'!$B$12:$F$12</definedName>
    <definedName name="CT_FINANCIAL" localSheetId="72">'New Jersey Life'!$B$12:$F$12</definedName>
    <definedName name="CT_FINANCIAL" localSheetId="74">NNIC!$B$12:$F$12</definedName>
    <definedName name="CT_FINANCIAL" localSheetId="73">'North Carolina Mutual'!$B$12:$F$12</definedName>
    <definedName name="CT_FINANCIAL" localSheetId="75">'Old Colony Life'!$B$12:$F$12</definedName>
    <definedName name="CT_FINANCIAL" localSheetId="76">'Old Faithful'!$B$12:$F$12</definedName>
    <definedName name="CT_FINANCIAL" localSheetId="77">'Pacific Standard'!$B$12:$F$12</definedName>
    <definedName name="CT_FINANCIAL" localSheetId="78">'Pavonia Life'!$B$12:$F$12</definedName>
    <definedName name="CT_FINANCIAL" localSheetId="79">'Pen  Treaty'!$B$12:$F$12</definedName>
    <definedName name="CT_FINANCIAL" localSheetId="80">'Red Rock'!$B$12:$F$12</definedName>
    <definedName name="CT_FINANCIAL" localSheetId="81">Reliance!$B$12:$F$12</definedName>
    <definedName name="CT_FINANCIAL" localSheetId="82">SeeChange!$B$12:$F$12</definedName>
    <definedName name="CT_FINANCIAL" localSheetId="83">'Senior American'!$B$12:$F$12</definedName>
    <definedName name="CT_FINANCIAL" localSheetId="84">Settlers!$B$12:$F$12</definedName>
    <definedName name="CT_FINANCIAL" localSheetId="85">Shenandoah!$B$12:$F$12</definedName>
    <definedName name="CT_FINANCIAL" localSheetId="86">'Southland National Life'!$B$12:$F$12</definedName>
    <definedName name="CT_FINANCIAL" localSheetId="87">'Standard Life IN'!$B$12:$F$12</definedName>
    <definedName name="CT_FINANCIAL" localSheetId="88">'States General'!$B$12:$F$12</definedName>
    <definedName name="CT_FINANCIAL" localSheetId="89">Statesman!$B$12:$F$12</definedName>
    <definedName name="CT_FINANCIAL" localSheetId="90">'Summit National'!$B$12:$F$12</definedName>
    <definedName name="CT_FINANCIAL" localSheetId="91">Supreme!$B$12:$F$12</definedName>
    <definedName name="CT_FINANCIAL" localSheetId="92">Time!$B$12:$F$12</definedName>
    <definedName name="CT_FINANCIAL" localSheetId="106">'Total Summary'!$B$12:$F$12</definedName>
    <definedName name="CT_FINANCIAL" localSheetId="93">Underwriters!$B$12:$F$12</definedName>
    <definedName name="CT_FINANCIAL" localSheetId="94">Unison!$B$12:$F$12</definedName>
    <definedName name="CT_FINANCIAL" localSheetId="95">'United Republic'!$B$12:$F$12</definedName>
    <definedName name="CT_FINANCIAL" localSheetId="96">'Universal Health Care'!$B$12:$F$12</definedName>
    <definedName name="CT_FINANCIAL" localSheetId="97">'Universal Life'!$B$12:$F$12</definedName>
    <definedName name="CT_FINANCIAL" localSheetId="98">Universe!$B$12:$F$12</definedName>
    <definedName name="CT_FINANCIAL" localSheetId="99">Villanova!$B$12:$F$12</definedName>
    <definedName name="DC_FINANCIAL" localSheetId="0">'AF&amp;L'!$B$14:$F$14</definedName>
    <definedName name="DC_FINANCIAL" localSheetId="1">'Alabama Life'!$B$14:$F$14</definedName>
    <definedName name="DC_FINANCIAL" localSheetId="6">'Amer Life Asr'!$B$14:$F$14</definedName>
    <definedName name="DC_FINANCIAL" localSheetId="9">'Amer Std Life Acc'!$B$14:$F$14</definedName>
    <definedName name="DC_FINANCIAL" localSheetId="2">'American Chambers'!$B$14:$F$14</definedName>
    <definedName name="DC_FINANCIAL" localSheetId="3">'American Community'!$B$14:$F$14</definedName>
    <definedName name="DC_FINANCIAL" localSheetId="4">'American Educators'!$B$14:$F$14</definedName>
    <definedName name="DC_FINANCIAL" localSheetId="5">'American Integrity'!$B$14:$F$14</definedName>
    <definedName name="DC_FINANCIAL" localSheetId="7">'American Medical'!$B$14:$F$14</definedName>
    <definedName name="DC_FINANCIAL" localSheetId="8">'American Network'!$B$14:$F$14</definedName>
    <definedName name="DC_FINANCIAL" localSheetId="10">AmerWstrn!$B$14:$F$14</definedName>
    <definedName name="DC_FINANCIAL" localSheetId="11">'AMS Life'!$B$14:$F$14</definedName>
    <definedName name="DC_FINANCIAL" localSheetId="12">'Andrew Jackson'!$B$14:$F$14</definedName>
    <definedName name="DC_FINANCIAL" localSheetId="13">'Bankers Commercial'!$B$14:$F$14</definedName>
    <definedName name="DC_FINANCIAL" localSheetId="14">'Bankers Life'!$B$14:$F$14</definedName>
    <definedName name="DC_FINANCIAL" localSheetId="15">Benicorp!$B$14:$F$14</definedName>
    <definedName name="DC_FINANCIAL" localSheetId="16">'Booker T Washington'!$B$14:$F$14</definedName>
    <definedName name="DC_FINANCIAL" localSheetId="17">Centennial!$B$14:$F$14</definedName>
    <definedName name="DC_FINANCIAL" localSheetId="19">'CO Bankers'!$B$14:$F$14</definedName>
    <definedName name="DC_FINANCIAL" localSheetId="18">'Coastal States'!$B$14:$F$14</definedName>
    <definedName name="DC_FINANCIAL" localSheetId="20">'Colorado Health'!$B$14:$F$14</definedName>
    <definedName name="DC_FINANCIAL" localSheetId="21">'Compass (dbs Meritus)'!$B$14:$F$14</definedName>
    <definedName name="DC_FINANCIAL" localSheetId="22">'Confed Life &amp; Annty (CLIAC)'!$B$14:$F$14</definedName>
    <definedName name="DC_FINANCIAL" localSheetId="23">'Confed Life (CLIC)'!$B$14:$F$14</definedName>
    <definedName name="DC_FINANCIAL" localSheetId="24">'Consolidated National'!$B$14:$F$14</definedName>
    <definedName name="DC_FINANCIAL" localSheetId="25">'Consumers Choice'!$B$14:$F$14</definedName>
    <definedName name="DC_FINANCIAL" localSheetId="26">'Consumers Mutual'!$B$14:$F$14</definedName>
    <definedName name="DC_FINANCIAL" localSheetId="27">'Consumers United'!$B$14:$F$14</definedName>
    <definedName name="DC_FINANCIAL" localSheetId="28">CoOportunity!$B$14:$F$14</definedName>
    <definedName name="DC_FINANCIAL" localSheetId="29">'Coordinated Hlth'!$B$14:$F$14</definedName>
    <definedName name="DC_FINANCIAL" localSheetId="30">'Corporate Life'!$B$14:$F$14</definedName>
    <definedName name="DC_FINANCIAL" localSheetId="31">'Diamond Benefits'!$B$14:$F$14</definedName>
    <definedName name="DC_FINANCIAL" localSheetId="32">'EBL Life'!$B$14:$F$14</definedName>
    <definedName name="DC_FINANCIAL" localSheetId="34">ELNY!$B$14:$F$14</definedName>
    <definedName name="DC_FINANCIAL" localSheetId="33">'Executive Life'!$B$14:$F$14</definedName>
    <definedName name="DC_FINANCIAL" localSheetId="35">'Family Guaranty'!$B$14:$F$14</definedName>
    <definedName name="DC_FINANCIAL" localSheetId="36">'Fidelity Bankers'!$B$14:$F$14</definedName>
    <definedName name="DC_FINANCIAL" localSheetId="37">'Fidelity Mutual'!$B$14:$F$14</definedName>
    <definedName name="DC_FINANCIAL" localSheetId="38">'First Capital'!$B$14:$F$14</definedName>
    <definedName name="DC_FINANCIAL" localSheetId="39">'First Natl'!$B$14:$F$14</definedName>
    <definedName name="DC_FINANCIAL" localSheetId="40">'First Natl (Thrnr)'!$B$14:$F$14</definedName>
    <definedName name="DC_FINANCIAL" localSheetId="41">'Franklin American'!$B$14:$F$14</definedName>
    <definedName name="DC_FINANCIAL" localSheetId="42">'Franklin Protective'!$B$14:$F$14</definedName>
    <definedName name="DC_FINANCIAL" localSheetId="43">'Freelancers CO-OP'!$B$14:$F$14</definedName>
    <definedName name="DC_FINANCIAL" localSheetId="44">Freestone!$B$14:$F$14</definedName>
    <definedName name="DC_FINANCIAL" localSheetId="45">'George Washington'!$B$14:$F$14</definedName>
    <definedName name="DC_FINANCIAL" localSheetId="46">'Golden State'!$B$14:$F$14</definedName>
    <definedName name="DC_FINANCIAL" localSheetId="47">'Guarantee Security'!$B$14:$F$14</definedName>
    <definedName name="DC_FINANCIAL" localSheetId="48">HealthyCT!$B$14:$F$14</definedName>
    <definedName name="DC_FINANCIAL" localSheetId="49">Imerica!$B$14:$F$14</definedName>
    <definedName name="DC_FINANCIAL" localSheetId="50">'Inter-American'!$B$14:$F$14</definedName>
    <definedName name="DC_FINANCIAL" localSheetId="51">'International Fin'!$B$14:$F$14</definedName>
    <definedName name="DC_FINANCIAL" localSheetId="52">'Investment Life of America'!$B$14:$F$14</definedName>
    <definedName name="DC_FINANCIAL" localSheetId="53">'Investors Equity'!$B$14:$F$14</definedName>
    <definedName name="DC_FINANCIAL" localSheetId="54">'Kentucky Central'!$B$14:$F$14</definedName>
    <definedName name="DC_FINANCIAL" localSheetId="55">'Land of Lincoln'!$B$14:$F$14</definedName>
    <definedName name="DC_FINANCIAL" localSheetId="56">Legion!$B$14:$F$14</definedName>
    <definedName name="DC_FINANCIAL" localSheetId="57">'Life Health America'!$B$14:$F$14</definedName>
    <definedName name="DC_FINANCIAL" localSheetId="58">'Lincoln Memorial'!$B$14:$F$14</definedName>
    <definedName name="DC_FINANCIAL" localSheetId="59">'London Pac'!$B$14:$F$14</definedName>
    <definedName name="DC_FINANCIAL" localSheetId="60">Lumbermens!$B$14:$F$14</definedName>
    <definedName name="DC_FINANCIAL" localSheetId="61">'Medical Savings'!$B$14:$F$14</definedName>
    <definedName name="DC_FINANCIAL" localSheetId="62">'Memorial Service'!$B$14:$F$14</definedName>
    <definedName name="DC_FINANCIAL" localSheetId="63">Midcontinent!$B$14:$F$14</definedName>
    <definedName name="DC_FINANCIAL" localSheetId="64">'Midwest Life'!$B$14:$F$14</definedName>
    <definedName name="DC_FINANCIAL" localSheetId="65">'Monarch Life'!$B$14:$F$14</definedName>
    <definedName name="DC_FINANCIAL" localSheetId="66">'Mutual Benefit'!$B$14:$F$14</definedName>
    <definedName name="DC_FINANCIAL" localSheetId="67">'Mutual Security'!$B$14:$F$14</definedName>
    <definedName name="DC_FINANCIAL" localSheetId="68">'National Affiliated'!$B$14:$F$14</definedName>
    <definedName name="DC_FINANCIAL" localSheetId="70">'National Heritage'!$B$14:$F$14</definedName>
    <definedName name="DC_FINANCIAL" localSheetId="71">'National States'!$B$14:$F$14</definedName>
    <definedName name="DC_FINANCIAL" localSheetId="69">'Natl American'!$B$14:$F$14</definedName>
    <definedName name="DC_FINANCIAL" localSheetId="72">'New Jersey Life'!$B$14:$F$14</definedName>
    <definedName name="DC_FINANCIAL" localSheetId="74">NNIC!$B$14:$F$14</definedName>
    <definedName name="DC_FINANCIAL" localSheetId="73">'North Carolina Mutual'!$B$14:$F$14</definedName>
    <definedName name="DC_FINANCIAL" localSheetId="75">'Old Colony Life'!$B$14:$F$14</definedName>
    <definedName name="DC_FINANCIAL" localSheetId="76">'Old Faithful'!$B$14:$F$14</definedName>
    <definedName name="DC_FINANCIAL" localSheetId="77">'Pacific Standard'!$B$14:$F$14</definedName>
    <definedName name="DC_FINANCIAL" localSheetId="78">'Pavonia Life'!$B$14:$F$14</definedName>
    <definedName name="DC_FINANCIAL" localSheetId="79">'Pen  Treaty'!$B$14:$F$14</definedName>
    <definedName name="DC_FINANCIAL" localSheetId="80">'Red Rock'!$B$14:$F$14</definedName>
    <definedName name="DC_FINANCIAL" localSheetId="81">Reliance!$B$14:$F$14</definedName>
    <definedName name="DC_FINANCIAL" localSheetId="82">SeeChange!$B$14:$F$14</definedName>
    <definedName name="DC_FINANCIAL" localSheetId="83">'Senior American'!$B$14:$F$14</definedName>
    <definedName name="DC_FINANCIAL" localSheetId="84">Settlers!$B$14:$F$14</definedName>
    <definedName name="DC_FINANCIAL" localSheetId="85">Shenandoah!$B$14:$F$14</definedName>
    <definedName name="DC_FINANCIAL" localSheetId="86">'Southland National Life'!$B$14:$F$14</definedName>
    <definedName name="DC_FINANCIAL" localSheetId="87">'Standard Life IN'!$B$14:$F$14</definedName>
    <definedName name="DC_FINANCIAL" localSheetId="88">'States General'!$B$14:$F$14</definedName>
    <definedName name="DC_FINANCIAL" localSheetId="89">Statesman!$B$14:$F$14</definedName>
    <definedName name="DC_FINANCIAL" localSheetId="90">'Summit National'!$B$14:$F$14</definedName>
    <definedName name="DC_FINANCIAL" localSheetId="91">Supreme!$B$14:$F$14</definedName>
    <definedName name="DC_FINANCIAL" localSheetId="92">Time!$B$14:$F$14</definedName>
    <definedName name="DC_FINANCIAL" localSheetId="106">'Total Summary'!$B$14:$F$14</definedName>
    <definedName name="DC_FINANCIAL" localSheetId="93">Underwriters!$B$14:$F$14</definedName>
    <definedName name="DC_FINANCIAL" localSheetId="94">Unison!$B$14:$F$14</definedName>
    <definedName name="DC_FINANCIAL" localSheetId="95">'United Republic'!$B$14:$F$14</definedName>
    <definedName name="DC_FINANCIAL" localSheetId="96">'Universal Health Care'!$B$14:$F$14</definedName>
    <definedName name="DC_FINANCIAL" localSheetId="97">'Universal Life'!$B$14:$F$14</definedName>
    <definedName name="DC_FINANCIAL" localSheetId="98">Universe!$B$14:$F$14</definedName>
    <definedName name="DC_FINANCIAL" localSheetId="99">Villanova!$B$14:$F$14</definedName>
    <definedName name="DE_FINANCIAL" localSheetId="0">'AF&amp;L'!$B$13:$F$13</definedName>
    <definedName name="DE_FINANCIAL" localSheetId="1">'Alabama Life'!$B$13:$F$13</definedName>
    <definedName name="DE_FINANCIAL" localSheetId="6">'Amer Life Asr'!$B$13:$F$13</definedName>
    <definedName name="DE_FINANCIAL" localSheetId="9">'Amer Std Life Acc'!$B$13:$F$13</definedName>
    <definedName name="DE_FINANCIAL" localSheetId="2">'American Chambers'!$B$13:$F$13</definedName>
    <definedName name="DE_FINANCIAL" localSheetId="3">'American Community'!$B$13:$F$13</definedName>
    <definedName name="DE_FINANCIAL" localSheetId="4">'American Educators'!$B$13:$F$13</definedName>
    <definedName name="DE_FINANCIAL" localSheetId="5">'American Integrity'!$B$13:$F$13</definedName>
    <definedName name="DE_FINANCIAL" localSheetId="7">'American Medical'!$B$13:$F$13</definedName>
    <definedName name="DE_FINANCIAL" localSheetId="8">'American Network'!$B$13:$F$13</definedName>
    <definedName name="DE_FINANCIAL" localSheetId="10">AmerWstrn!$B$13:$F$13</definedName>
    <definedName name="DE_FINANCIAL" localSheetId="11">'AMS Life'!$B$13:$F$13</definedName>
    <definedName name="DE_FINANCIAL" localSheetId="12">'Andrew Jackson'!$B$13:$F$13</definedName>
    <definedName name="DE_FINANCIAL" localSheetId="13">'Bankers Commercial'!$B$13:$F$13</definedName>
    <definedName name="DE_FINANCIAL" localSheetId="14">'Bankers Life'!$B$13:$F$13</definedName>
    <definedName name="DE_FINANCIAL" localSheetId="15">Benicorp!$B$13:$F$13</definedName>
    <definedName name="DE_FINANCIAL" localSheetId="16">'Booker T Washington'!$B$13:$F$13</definedName>
    <definedName name="DE_FINANCIAL" localSheetId="17">Centennial!$B$13:$F$13</definedName>
    <definedName name="DE_FINANCIAL" localSheetId="19">'CO Bankers'!$B$13:$F$13</definedName>
    <definedName name="DE_FINANCIAL" localSheetId="18">'Coastal States'!$B$13:$F$13</definedName>
    <definedName name="DE_FINANCIAL" localSheetId="20">'Colorado Health'!$B$13:$F$13</definedName>
    <definedName name="DE_FINANCIAL" localSheetId="21">'Compass (dbs Meritus)'!$B$13:$F$13</definedName>
    <definedName name="DE_FINANCIAL" localSheetId="22">'Confed Life &amp; Annty (CLIAC)'!$B$13:$F$13</definedName>
    <definedName name="DE_FINANCIAL" localSheetId="23">'Confed Life (CLIC)'!$B$13:$F$13</definedName>
    <definedName name="DE_FINANCIAL" localSheetId="24">'Consolidated National'!$B$13:$F$13</definedName>
    <definedName name="DE_FINANCIAL" localSheetId="25">'Consumers Choice'!$B$13:$F$13</definedName>
    <definedName name="DE_FINANCIAL" localSheetId="26">'Consumers Mutual'!$B$13:$F$13</definedName>
    <definedName name="DE_FINANCIAL" localSheetId="27">'Consumers United'!$B$13:$F$13</definedName>
    <definedName name="DE_FINANCIAL" localSheetId="28">CoOportunity!$B$13:$F$13</definedName>
    <definedName name="DE_FINANCIAL" localSheetId="29">'Coordinated Hlth'!$B$13:$F$13</definedName>
    <definedName name="DE_FINANCIAL" localSheetId="30">'Corporate Life'!$B$13:$F$13</definedName>
    <definedName name="DE_FINANCIAL" localSheetId="31">'Diamond Benefits'!$B$13:$F$13</definedName>
    <definedName name="DE_FINANCIAL" localSheetId="32">'EBL Life'!$B$13:$F$13</definedName>
    <definedName name="DE_FINANCIAL" localSheetId="34">ELNY!$B$13:$F$13</definedName>
    <definedName name="DE_FINANCIAL" localSheetId="33">'Executive Life'!$B$13:$F$13</definedName>
    <definedName name="DE_FINANCIAL" localSheetId="35">'Family Guaranty'!$B$13:$F$13</definedName>
    <definedName name="DE_FINANCIAL" localSheetId="36">'Fidelity Bankers'!$B$13:$F$13</definedName>
    <definedName name="DE_FINANCIAL" localSheetId="37">'Fidelity Mutual'!$B$13:$F$13</definedName>
    <definedName name="DE_FINANCIAL" localSheetId="38">'First Capital'!$B$13:$F$13</definedName>
    <definedName name="DE_FINANCIAL" localSheetId="39">'First Natl'!$B$13:$F$13</definedName>
    <definedName name="DE_FINANCIAL" localSheetId="40">'First Natl (Thrnr)'!$B$13:$F$13</definedName>
    <definedName name="DE_FINANCIAL" localSheetId="41">'Franklin American'!$B$13:$F$13</definedName>
    <definedName name="DE_FINANCIAL" localSheetId="42">'Franklin Protective'!$B$13:$F$13</definedName>
    <definedName name="DE_FINANCIAL" localSheetId="43">'Freelancers CO-OP'!$B$13:$F$13</definedName>
    <definedName name="DE_FINANCIAL" localSheetId="44">Freestone!$B$13:$F$13</definedName>
    <definedName name="DE_FINANCIAL" localSheetId="45">'George Washington'!$B$13:$F$13</definedName>
    <definedName name="DE_FINANCIAL" localSheetId="46">'Golden State'!$B$13:$F$13</definedName>
    <definedName name="DE_FINANCIAL" localSheetId="47">'Guarantee Security'!$B$13:$F$13</definedName>
    <definedName name="DE_FINANCIAL" localSheetId="48">HealthyCT!$B$13:$F$13</definedName>
    <definedName name="DE_FINANCIAL" localSheetId="49">Imerica!$B$13:$F$13</definedName>
    <definedName name="DE_FINANCIAL" localSheetId="50">'Inter-American'!$B$13:$F$13</definedName>
    <definedName name="DE_FINANCIAL" localSheetId="51">'International Fin'!$B$13:$F$13</definedName>
    <definedName name="DE_FINANCIAL" localSheetId="52">'Investment Life of America'!$B$13:$F$13</definedName>
    <definedName name="DE_FINANCIAL" localSheetId="53">'Investors Equity'!$B$13:$F$13</definedName>
    <definedName name="DE_FINANCIAL" localSheetId="54">'Kentucky Central'!$B$13:$F$13</definedName>
    <definedName name="DE_FINANCIAL" localSheetId="55">'Land of Lincoln'!$B$13:$F$13</definedName>
    <definedName name="DE_FINANCIAL" localSheetId="56">Legion!$B$13:$F$13</definedName>
    <definedName name="DE_FINANCIAL" localSheetId="57">'Life Health America'!$B$13:$F$13</definedName>
    <definedName name="DE_FINANCIAL" localSheetId="58">'Lincoln Memorial'!$B$13:$F$13</definedName>
    <definedName name="DE_FINANCIAL" localSheetId="59">'London Pac'!$B$13:$F$13</definedName>
    <definedName name="DE_FINANCIAL" localSheetId="60">Lumbermens!$B$13:$F$13</definedName>
    <definedName name="DE_FINANCIAL" localSheetId="61">'Medical Savings'!$B$13:$F$13</definedName>
    <definedName name="DE_FINANCIAL" localSheetId="62">'Memorial Service'!$B$13:$F$13</definedName>
    <definedName name="DE_FINANCIAL" localSheetId="63">Midcontinent!$B$13:$F$13</definedName>
    <definedName name="DE_FINANCIAL" localSheetId="64">'Midwest Life'!$B$13:$F$13</definedName>
    <definedName name="DE_FINANCIAL" localSheetId="65">'Monarch Life'!$B$13:$F$13</definedName>
    <definedName name="DE_FINANCIAL" localSheetId="66">'Mutual Benefit'!$B$13:$F$13</definedName>
    <definedName name="DE_FINANCIAL" localSheetId="67">'Mutual Security'!$B$13:$F$13</definedName>
    <definedName name="DE_FINANCIAL" localSheetId="68">'National Affiliated'!$B$13:$F$13</definedName>
    <definedName name="DE_FINANCIAL" localSheetId="70">'National Heritage'!$B$13:$F$13</definedName>
    <definedName name="DE_FINANCIAL" localSheetId="71">'National States'!$B$13:$F$13</definedName>
    <definedName name="DE_FINANCIAL" localSheetId="69">'Natl American'!$B$13:$F$13</definedName>
    <definedName name="DE_FINANCIAL" localSheetId="72">'New Jersey Life'!$B$13:$F$13</definedName>
    <definedName name="DE_FINANCIAL" localSheetId="74">NNIC!$B$13:$F$13</definedName>
    <definedName name="DE_FINANCIAL" localSheetId="73">'North Carolina Mutual'!$B$13:$F$13</definedName>
    <definedName name="DE_FINANCIAL" localSheetId="75">'Old Colony Life'!$B$13:$F$13</definedName>
    <definedName name="DE_FINANCIAL" localSheetId="76">'Old Faithful'!$B$13:$F$13</definedName>
    <definedName name="DE_FINANCIAL" localSheetId="77">'Pacific Standard'!$B$13:$F$13</definedName>
    <definedName name="DE_FINANCIAL" localSheetId="78">'Pavonia Life'!$B$13:$F$13</definedName>
    <definedName name="DE_FINANCIAL" localSheetId="79">'Pen  Treaty'!$B$13:$F$13</definedName>
    <definedName name="DE_FINANCIAL" localSheetId="80">'Red Rock'!$B$13:$F$13</definedName>
    <definedName name="DE_FINANCIAL" localSheetId="81">Reliance!$B$13:$F$13</definedName>
    <definedName name="DE_FINANCIAL" localSheetId="82">SeeChange!$B$13:$F$13</definedName>
    <definedName name="DE_FINANCIAL" localSheetId="83">'Senior American'!$B$13:$F$13</definedName>
    <definedName name="DE_FINANCIAL" localSheetId="84">Settlers!$B$13:$F$13</definedName>
    <definedName name="DE_FINANCIAL" localSheetId="85">Shenandoah!$B$13:$F$13</definedName>
    <definedName name="DE_FINANCIAL" localSheetId="86">'Southland National Life'!$B$13:$F$13</definedName>
    <definedName name="DE_FINANCIAL" localSheetId="87">'Standard Life IN'!$B$13:$F$13</definedName>
    <definedName name="DE_FINANCIAL" localSheetId="88">'States General'!$B$13:$F$13</definedName>
    <definedName name="DE_FINANCIAL" localSheetId="89">Statesman!$B$13:$F$13</definedName>
    <definedName name="DE_FINANCIAL" localSheetId="90">'Summit National'!$B$13:$F$13</definedName>
    <definedName name="DE_FINANCIAL" localSheetId="91">Supreme!$B$13:$F$13</definedName>
    <definedName name="DE_FINANCIAL" localSheetId="92">Time!$B$13:$F$13</definedName>
    <definedName name="DE_FINANCIAL" localSheetId="106">'Total Summary'!$B$13:$F$13</definedName>
    <definedName name="DE_FINANCIAL" localSheetId="93">Underwriters!$B$13:$F$13</definedName>
    <definedName name="DE_FINANCIAL" localSheetId="94">Unison!$B$13:$F$13</definedName>
    <definedName name="DE_FINANCIAL" localSheetId="95">'United Republic'!$B$13:$F$13</definedName>
    <definedName name="DE_FINANCIAL" localSheetId="96">'Universal Health Care'!$B$13:$F$13</definedName>
    <definedName name="DE_FINANCIAL" localSheetId="97">'Universal Life'!$B$13:$F$13</definedName>
    <definedName name="DE_FINANCIAL" localSheetId="98">Universe!$B$13:$F$13</definedName>
    <definedName name="DE_FINANCIAL" localSheetId="99">Villanova!$B$13:$F$13</definedName>
    <definedName name="EC_ALLOC_CALLED" localSheetId="100">Summary!$W$53:$W$115</definedName>
    <definedName name="EC_ALLOC_REFUNDED" localSheetId="100">Summary!$X$53:$X$115</definedName>
    <definedName name="EC_ALLOCATED" localSheetId="100">Summary!$K$53:$K$115</definedName>
    <definedName name="EC_CHANGE" localSheetId="100">Summary!$Q$53:$Q$115</definedName>
    <definedName name="EC_HEALTH" localSheetId="100">Summary!$L$53:$L$115</definedName>
    <definedName name="EC_HEALTH_CALLED" localSheetId="100">Summary!$Z$53:$Z$115</definedName>
    <definedName name="EC_HEALTH_REFUNDED" localSheetId="100">Summary!$AA$53:$AA$115</definedName>
    <definedName name="EC_LIFE" localSheetId="100">Summary!$J$53:$J$115</definedName>
    <definedName name="EC_LIFE_CALLED" localSheetId="100">Summary!$T$53:$T$115</definedName>
    <definedName name="EC_LIFE_REFUNDED" localSheetId="100">Summary!$U$53:$U$115</definedName>
    <definedName name="EC_LTC" localSheetId="100">Summary!$N$53:$N$115</definedName>
    <definedName name="EC_RECON" localSheetId="100">Summary!#REF!</definedName>
    <definedName name="EC_TOTAL" localSheetId="100">Summary!$O$53:$O$115</definedName>
    <definedName name="EC_TOTAL_PREV" localSheetId="100">Summary!$P$53:$P$115</definedName>
    <definedName name="EC_UNALLOC_CALLED" localSheetId="100">Summary!$AC$53:$AC$115</definedName>
    <definedName name="EC_UNALLOC_REFUNDED" localSheetId="100">Summary!$AD$53:$AD$115</definedName>
    <definedName name="EC_UNALLOCATED" localSheetId="100">Summary!$M$53:$M$115</definedName>
    <definedName name="FL_FINANCIAL" localSheetId="0">'AF&amp;L'!$B$15:$F$15</definedName>
    <definedName name="FL_FINANCIAL" localSheetId="1">'Alabama Life'!$B$15:$F$15</definedName>
    <definedName name="FL_FINANCIAL" localSheetId="6">'Amer Life Asr'!$B$15:$F$15</definedName>
    <definedName name="FL_FINANCIAL" localSheetId="9">'Amer Std Life Acc'!$B$15:$F$15</definedName>
    <definedName name="FL_FINANCIAL" localSheetId="2">'American Chambers'!$B$15:$F$15</definedName>
    <definedName name="FL_FINANCIAL" localSheetId="3">'American Community'!$B$15:$F$15</definedName>
    <definedName name="FL_FINANCIAL" localSheetId="4">'American Educators'!$B$15:$F$15</definedName>
    <definedName name="FL_FINANCIAL" localSheetId="5">'American Integrity'!$B$15:$F$15</definedName>
    <definedName name="FL_FINANCIAL" localSheetId="7">'American Medical'!$B$15:$F$15</definedName>
    <definedName name="FL_FINANCIAL" localSheetId="8">'American Network'!$B$15:$F$15</definedName>
    <definedName name="FL_FINANCIAL" localSheetId="10">AmerWstrn!$B$15:$F$15</definedName>
    <definedName name="FL_FINANCIAL" localSheetId="11">'AMS Life'!$B$15:$F$15</definedName>
    <definedName name="FL_FINANCIAL" localSheetId="12">'Andrew Jackson'!$B$15:$F$15</definedName>
    <definedName name="FL_FINANCIAL" localSheetId="13">'Bankers Commercial'!$B$15:$F$15</definedName>
    <definedName name="FL_FINANCIAL" localSheetId="14">'Bankers Life'!$B$15:$F$15</definedName>
    <definedName name="FL_FINANCIAL" localSheetId="15">Benicorp!$B$15:$F$15</definedName>
    <definedName name="FL_FINANCIAL" localSheetId="16">'Booker T Washington'!$B$15:$F$15</definedName>
    <definedName name="FL_FINANCIAL" localSheetId="17">Centennial!$B$15:$F$15</definedName>
    <definedName name="FL_FINANCIAL" localSheetId="19">'CO Bankers'!$B$15:$F$15</definedName>
    <definedName name="FL_FINANCIAL" localSheetId="18">'Coastal States'!$B$15:$F$15</definedName>
    <definedName name="FL_FINANCIAL" localSheetId="20">'Colorado Health'!$B$15:$F$15</definedName>
    <definedName name="FL_FINANCIAL" localSheetId="21">'Compass (dbs Meritus)'!$B$15:$F$15</definedName>
    <definedName name="FL_FINANCIAL" localSheetId="22">'Confed Life &amp; Annty (CLIAC)'!$B$15:$F$15</definedName>
    <definedName name="FL_FINANCIAL" localSheetId="23">'Confed Life (CLIC)'!$B$15:$F$15</definedName>
    <definedName name="FL_FINANCIAL" localSheetId="24">'Consolidated National'!$B$15:$F$15</definedName>
    <definedName name="FL_FINANCIAL" localSheetId="25">'Consumers Choice'!$B$15:$F$15</definedName>
    <definedName name="FL_FINANCIAL" localSheetId="26">'Consumers Mutual'!$B$15:$F$15</definedName>
    <definedName name="FL_FINANCIAL" localSheetId="27">'Consumers United'!$B$15:$F$15</definedName>
    <definedName name="FL_FINANCIAL" localSheetId="28">CoOportunity!$B$15:$F$15</definedName>
    <definedName name="FL_FINANCIAL" localSheetId="29">'Coordinated Hlth'!$B$15:$F$15</definedName>
    <definedName name="FL_FINANCIAL" localSheetId="30">'Corporate Life'!$B$15:$F$15</definedName>
    <definedName name="FL_FINANCIAL" localSheetId="31">'Diamond Benefits'!$B$15:$F$15</definedName>
    <definedName name="FL_FINANCIAL" localSheetId="32">'EBL Life'!$B$15:$F$15</definedName>
    <definedName name="FL_FINANCIAL" localSheetId="34">ELNY!$B$15:$F$15</definedName>
    <definedName name="FL_FINANCIAL" localSheetId="33">'Executive Life'!$B$15:$F$15</definedName>
    <definedName name="FL_FINANCIAL" localSheetId="35">'Family Guaranty'!$B$15:$F$15</definedName>
    <definedName name="FL_FINANCIAL" localSheetId="36">'Fidelity Bankers'!$B$15:$F$15</definedName>
    <definedName name="FL_FINANCIAL" localSheetId="37">'Fidelity Mutual'!$B$15:$F$15</definedName>
    <definedName name="FL_FINANCIAL" localSheetId="38">'First Capital'!$B$15:$F$15</definedName>
    <definedName name="FL_FINANCIAL" localSheetId="39">'First Natl'!$B$15:$F$15</definedName>
    <definedName name="FL_FINANCIAL" localSheetId="40">'First Natl (Thrnr)'!$B$15:$F$15</definedName>
    <definedName name="FL_FINANCIAL" localSheetId="41">'Franklin American'!$B$15:$F$15</definedName>
    <definedName name="FL_FINANCIAL" localSheetId="42">'Franklin Protective'!$B$15:$F$15</definedName>
    <definedName name="FL_FINANCIAL" localSheetId="43">'Freelancers CO-OP'!$B$15:$F$15</definedName>
    <definedName name="FL_FINANCIAL" localSheetId="44">Freestone!$B$15:$F$15</definedName>
    <definedName name="FL_FINANCIAL" localSheetId="45">'George Washington'!$B$15:$F$15</definedName>
    <definedName name="FL_FINANCIAL" localSheetId="46">'Golden State'!$B$15:$F$15</definedName>
    <definedName name="FL_FINANCIAL" localSheetId="47">'Guarantee Security'!$B$15:$F$15</definedName>
    <definedName name="FL_FINANCIAL" localSheetId="48">HealthyCT!$B$15:$F$15</definedName>
    <definedName name="FL_FINANCIAL" localSheetId="49">Imerica!$B$15:$F$15</definedName>
    <definedName name="FL_FINANCIAL" localSheetId="50">'Inter-American'!$B$15:$F$15</definedName>
    <definedName name="FL_FINANCIAL" localSheetId="51">'International Fin'!$B$15:$F$15</definedName>
    <definedName name="FL_FINANCIAL" localSheetId="52">'Investment Life of America'!$B$15:$F$15</definedName>
    <definedName name="FL_FINANCIAL" localSheetId="53">'Investors Equity'!$B$15:$F$15</definedName>
    <definedName name="FL_FINANCIAL" localSheetId="54">'Kentucky Central'!$B$15:$F$15</definedName>
    <definedName name="FL_FINANCIAL" localSheetId="55">'Land of Lincoln'!$B$15:$F$15</definedName>
    <definedName name="FL_FINANCIAL" localSheetId="56">Legion!$B$15:$F$15</definedName>
    <definedName name="FL_FINANCIAL" localSheetId="57">'Life Health America'!$B$15:$F$15</definedName>
    <definedName name="FL_FINANCIAL" localSheetId="58">'Lincoln Memorial'!$B$15:$F$15</definedName>
    <definedName name="FL_FINANCIAL" localSheetId="59">'London Pac'!$B$15:$F$15</definedName>
    <definedName name="FL_FINANCIAL" localSheetId="60">Lumbermens!$B$15:$F$15</definedName>
    <definedName name="FL_FINANCIAL" localSheetId="61">'Medical Savings'!$B$15:$F$15</definedName>
    <definedName name="FL_FINANCIAL" localSheetId="62">'Memorial Service'!$B$15:$F$15</definedName>
    <definedName name="FL_FINANCIAL" localSheetId="63">Midcontinent!$B$15:$F$15</definedName>
    <definedName name="FL_FINANCIAL" localSheetId="64">'Midwest Life'!$B$15:$F$15</definedName>
    <definedName name="FL_FINANCIAL" localSheetId="65">'Monarch Life'!$B$15:$F$15</definedName>
    <definedName name="FL_FINANCIAL" localSheetId="66">'Mutual Benefit'!$B$15:$F$15</definedName>
    <definedName name="FL_FINANCIAL" localSheetId="67">'Mutual Security'!$B$15:$F$15</definedName>
    <definedName name="FL_FINANCIAL" localSheetId="68">'National Affiliated'!$B$15:$F$15</definedName>
    <definedName name="FL_FINANCIAL" localSheetId="70">'National Heritage'!$B$15:$F$15</definedName>
    <definedName name="FL_FINANCIAL" localSheetId="71">'National States'!$B$15:$F$15</definedName>
    <definedName name="FL_FINANCIAL" localSheetId="69">'Natl American'!$B$15:$F$15</definedName>
    <definedName name="FL_FINANCIAL" localSheetId="72">'New Jersey Life'!$B$15:$F$15</definedName>
    <definedName name="FL_FINANCIAL" localSheetId="74">NNIC!$B$15:$F$15</definedName>
    <definedName name="FL_FINANCIAL" localSheetId="73">'North Carolina Mutual'!$B$15:$F$15</definedName>
    <definedName name="FL_FINANCIAL" localSheetId="75">'Old Colony Life'!$B$15:$F$15</definedName>
    <definedName name="FL_FINANCIAL" localSheetId="76">'Old Faithful'!$B$15:$F$15</definedName>
    <definedName name="FL_FINANCIAL" localSheetId="77">'Pacific Standard'!$B$15:$F$15</definedName>
    <definedName name="FL_FINANCIAL" localSheetId="78">'Pavonia Life'!$B$15:$F$15</definedName>
    <definedName name="FL_FINANCIAL" localSheetId="79">'Pen  Treaty'!$B$15:$F$15</definedName>
    <definedName name="FL_FINANCIAL" localSheetId="80">'Red Rock'!$B$15:$F$15</definedName>
    <definedName name="FL_FINANCIAL" localSheetId="81">Reliance!$B$15:$F$15</definedName>
    <definedName name="FL_FINANCIAL" localSheetId="82">SeeChange!$B$15:$F$15</definedName>
    <definedName name="FL_FINANCIAL" localSheetId="83">'Senior American'!$B$15:$F$15</definedName>
    <definedName name="FL_FINANCIAL" localSheetId="84">Settlers!$B$15:$F$15</definedName>
    <definedName name="FL_FINANCIAL" localSheetId="85">Shenandoah!$B$15:$F$15</definedName>
    <definedName name="FL_FINANCIAL" localSheetId="86">'Southland National Life'!$B$15:$F$15</definedName>
    <definedName name="FL_FINANCIAL" localSheetId="87">'Standard Life IN'!$B$15:$F$15</definedName>
    <definedName name="FL_FINANCIAL" localSheetId="88">'States General'!$B$15:$F$15</definedName>
    <definedName name="FL_FINANCIAL" localSheetId="89">Statesman!$B$15:$F$15</definedName>
    <definedName name="FL_FINANCIAL" localSheetId="90">'Summit National'!$B$15:$F$15</definedName>
    <definedName name="FL_FINANCIAL" localSheetId="91">Supreme!$B$15:$F$15</definedName>
    <definedName name="FL_FINANCIAL" localSheetId="92">Time!$B$15:$F$15</definedName>
    <definedName name="FL_FINANCIAL" localSheetId="106">'Total Summary'!$B$15:$F$15</definedName>
    <definedName name="FL_FINANCIAL" localSheetId="93">Underwriters!$B$15:$F$15</definedName>
    <definedName name="FL_FINANCIAL" localSheetId="94">Unison!$B$15:$F$15</definedName>
    <definedName name="FL_FINANCIAL" localSheetId="95">'United Republic'!$B$15:$F$15</definedName>
    <definedName name="FL_FINANCIAL" localSheetId="96">'Universal Health Care'!$B$15:$F$15</definedName>
    <definedName name="FL_FINANCIAL" localSheetId="97">'Universal Life'!$B$15:$F$15</definedName>
    <definedName name="FL_FINANCIAL" localSheetId="98">Universe!$B$15:$F$15</definedName>
    <definedName name="FL_FINANCIAL" localSheetId="99">Villanova!$B$15:$F$15</definedName>
    <definedName name="GA_FINANCIAL" localSheetId="0">'AF&amp;L'!$B$16:$F$16</definedName>
    <definedName name="GA_FINANCIAL" localSheetId="1">'Alabama Life'!$B$16:$F$16</definedName>
    <definedName name="GA_FINANCIAL" localSheetId="6">'Amer Life Asr'!$B$16:$F$16</definedName>
    <definedName name="GA_FINANCIAL" localSheetId="9">'Amer Std Life Acc'!$B$16:$F$16</definedName>
    <definedName name="GA_FINANCIAL" localSheetId="2">'American Chambers'!$B$16:$F$16</definedName>
    <definedName name="GA_FINANCIAL" localSheetId="3">'American Community'!$B$16:$F$16</definedName>
    <definedName name="GA_FINANCIAL" localSheetId="4">'American Educators'!$B$16:$F$16</definedName>
    <definedName name="GA_FINANCIAL" localSheetId="5">'American Integrity'!$B$16:$F$16</definedName>
    <definedName name="GA_FINANCIAL" localSheetId="7">'American Medical'!$B$16:$F$16</definedName>
    <definedName name="GA_FINANCIAL" localSheetId="8">'American Network'!$B$16:$F$16</definedName>
    <definedName name="GA_FINANCIAL" localSheetId="10">AmerWstrn!$B$16:$F$16</definedName>
    <definedName name="GA_FINANCIAL" localSheetId="11">'AMS Life'!$B$16:$F$16</definedName>
    <definedName name="GA_FINANCIAL" localSheetId="12">'Andrew Jackson'!$B$16:$F$16</definedName>
    <definedName name="GA_FINANCIAL" localSheetId="13">'Bankers Commercial'!$B$16:$F$16</definedName>
    <definedName name="GA_FINANCIAL" localSheetId="14">'Bankers Life'!$B$16:$F$16</definedName>
    <definedName name="GA_FINANCIAL" localSheetId="15">Benicorp!$B$16:$F$16</definedName>
    <definedName name="GA_FINANCIAL" localSheetId="16">'Booker T Washington'!$B$16:$F$16</definedName>
    <definedName name="GA_FINANCIAL" localSheetId="17">Centennial!$B$16:$F$16</definedName>
    <definedName name="GA_FINANCIAL" localSheetId="19">'CO Bankers'!$B$16:$F$16</definedName>
    <definedName name="GA_FINANCIAL" localSheetId="18">'Coastal States'!$B$16:$F$16</definedName>
    <definedName name="GA_FINANCIAL" localSheetId="20">'Colorado Health'!$B$16:$F$16</definedName>
    <definedName name="GA_FINANCIAL" localSheetId="21">'Compass (dbs Meritus)'!$B$16:$F$16</definedName>
    <definedName name="GA_FINANCIAL" localSheetId="22">'Confed Life &amp; Annty (CLIAC)'!$B$16:$F$16</definedName>
    <definedName name="GA_FINANCIAL" localSheetId="23">'Confed Life (CLIC)'!$B$16:$F$16</definedName>
    <definedName name="GA_FINANCIAL" localSheetId="24">'Consolidated National'!$B$16:$F$16</definedName>
    <definedName name="GA_FINANCIAL" localSheetId="25">'Consumers Choice'!$B$16:$F$16</definedName>
    <definedName name="GA_FINANCIAL" localSheetId="26">'Consumers Mutual'!$B$16:$F$16</definedName>
    <definedName name="GA_FINANCIAL" localSheetId="27">'Consumers United'!$B$16:$F$16</definedName>
    <definedName name="GA_FINANCIAL" localSheetId="28">CoOportunity!$B$16:$F$16</definedName>
    <definedName name="GA_FINANCIAL" localSheetId="29">'Coordinated Hlth'!$B$16:$F$16</definedName>
    <definedName name="GA_FINANCIAL" localSheetId="30">'Corporate Life'!$B$16:$F$16</definedName>
    <definedName name="GA_FINANCIAL" localSheetId="31">'Diamond Benefits'!$B$16:$F$16</definedName>
    <definedName name="GA_FINANCIAL" localSheetId="32">'EBL Life'!$B$16:$F$16</definedName>
    <definedName name="GA_FINANCIAL" localSheetId="34">ELNY!$B$16:$F$16</definedName>
    <definedName name="GA_FINANCIAL" localSheetId="33">'Executive Life'!$B$16:$F$16</definedName>
    <definedName name="GA_FINANCIAL" localSheetId="35">'Family Guaranty'!$B$16:$F$16</definedName>
    <definedName name="GA_FINANCIAL" localSheetId="36">'Fidelity Bankers'!$B$16:$F$16</definedName>
    <definedName name="GA_FINANCIAL" localSheetId="37">'Fidelity Mutual'!$B$16:$F$16</definedName>
    <definedName name="GA_FINANCIAL" localSheetId="38">'First Capital'!$B$16:$F$16</definedName>
    <definedName name="GA_FINANCIAL" localSheetId="39">'First Natl'!$B$16:$F$16</definedName>
    <definedName name="GA_FINANCIAL" localSheetId="40">'First Natl (Thrnr)'!$B$16:$F$16</definedName>
    <definedName name="GA_FINANCIAL" localSheetId="41">'Franklin American'!$B$16:$F$16</definedName>
    <definedName name="GA_FINANCIAL" localSheetId="42">'Franklin Protective'!$B$16:$F$16</definedName>
    <definedName name="GA_FINANCIAL" localSheetId="43">'Freelancers CO-OP'!$B$16:$F$16</definedName>
    <definedName name="GA_FINANCIAL" localSheetId="44">Freestone!$B$16:$F$16</definedName>
    <definedName name="GA_FINANCIAL" localSheetId="45">'George Washington'!$B$16:$F$16</definedName>
    <definedName name="GA_FINANCIAL" localSheetId="46">'Golden State'!$B$16:$F$16</definedName>
    <definedName name="GA_FINANCIAL" localSheetId="47">'Guarantee Security'!$B$16:$F$16</definedName>
    <definedName name="GA_FINANCIAL" localSheetId="48">HealthyCT!$B$16:$F$16</definedName>
    <definedName name="GA_FINANCIAL" localSheetId="49">Imerica!$B$16:$F$16</definedName>
    <definedName name="GA_FINANCIAL" localSheetId="50">'Inter-American'!$B$16:$F$16</definedName>
    <definedName name="GA_FINANCIAL" localSheetId="51">'International Fin'!$B$16:$F$16</definedName>
    <definedName name="GA_FINANCIAL" localSheetId="52">'Investment Life of America'!$B$16:$F$16</definedName>
    <definedName name="GA_FINANCIAL" localSheetId="53">'Investors Equity'!$B$16:$F$16</definedName>
    <definedName name="GA_FINANCIAL" localSheetId="54">'Kentucky Central'!$B$16:$F$16</definedName>
    <definedName name="GA_FINANCIAL" localSheetId="55">'Land of Lincoln'!$B$16:$F$16</definedName>
    <definedName name="GA_FINANCIAL" localSheetId="56">Legion!$B$16:$F$16</definedName>
    <definedName name="GA_FINANCIAL" localSheetId="57">'Life Health America'!$B$16:$F$16</definedName>
    <definedName name="GA_FINANCIAL" localSheetId="58">'Lincoln Memorial'!$B$16:$F$16</definedName>
    <definedName name="GA_FINANCIAL" localSheetId="59">'London Pac'!$B$16:$F$16</definedName>
    <definedName name="GA_FINANCIAL" localSheetId="60">Lumbermens!$B$16:$F$16</definedName>
    <definedName name="GA_FINANCIAL" localSheetId="61">'Medical Savings'!$B$16:$F$16</definedName>
    <definedName name="GA_FINANCIAL" localSheetId="62">'Memorial Service'!$B$16:$F$16</definedName>
    <definedName name="GA_FINANCIAL" localSheetId="63">Midcontinent!$B$16:$F$16</definedName>
    <definedName name="GA_FINANCIAL" localSheetId="64">'Midwest Life'!$B$16:$F$16</definedName>
    <definedName name="GA_FINANCIAL" localSheetId="65">'Monarch Life'!$B$16:$F$16</definedName>
    <definedName name="GA_FINANCIAL" localSheetId="66">'Mutual Benefit'!$B$16:$F$16</definedName>
    <definedName name="GA_FINANCIAL" localSheetId="67">'Mutual Security'!$B$16:$F$16</definedName>
    <definedName name="GA_FINANCIAL" localSheetId="68">'National Affiliated'!$B$16:$F$16</definedName>
    <definedName name="GA_FINANCIAL" localSheetId="70">'National Heritage'!$B$16:$F$16</definedName>
    <definedName name="GA_FINANCIAL" localSheetId="71">'National States'!$B$16:$F$16</definedName>
    <definedName name="GA_FINANCIAL" localSheetId="69">'Natl American'!$B$16:$F$16</definedName>
    <definedName name="GA_FINANCIAL" localSheetId="72">'New Jersey Life'!$B$16:$F$16</definedName>
    <definedName name="GA_FINANCIAL" localSheetId="74">NNIC!$B$16:$F$16</definedName>
    <definedName name="GA_FINANCIAL" localSheetId="73">'North Carolina Mutual'!$B$16:$F$16</definedName>
    <definedName name="GA_FINANCIAL" localSheetId="75">'Old Colony Life'!$B$16:$F$16</definedName>
    <definedName name="GA_FINANCIAL" localSheetId="76">'Old Faithful'!$B$16:$F$16</definedName>
    <definedName name="GA_FINANCIAL" localSheetId="77">'Pacific Standard'!$B$16:$F$16</definedName>
    <definedName name="GA_FINANCIAL" localSheetId="78">'Pavonia Life'!$B$16:$F$16</definedName>
    <definedName name="GA_FINANCIAL" localSheetId="79">'Pen  Treaty'!$B$16:$F$16</definedName>
    <definedName name="GA_FINANCIAL" localSheetId="80">'Red Rock'!$B$16:$F$16</definedName>
    <definedName name="GA_FINANCIAL" localSheetId="81">Reliance!$B$16:$F$16</definedName>
    <definedName name="GA_FINANCIAL" localSheetId="82">SeeChange!$B$16:$F$16</definedName>
    <definedName name="GA_FINANCIAL" localSheetId="83">'Senior American'!$B$16:$F$16</definedName>
    <definedName name="GA_FINANCIAL" localSheetId="84">Settlers!$B$16:$F$16</definedName>
    <definedName name="GA_FINANCIAL" localSheetId="85">Shenandoah!$B$16:$F$16</definedName>
    <definedName name="GA_FINANCIAL" localSheetId="86">'Southland National Life'!$B$16:$F$16</definedName>
    <definedName name="GA_FINANCIAL" localSheetId="87">'Standard Life IN'!$B$16:$F$16</definedName>
    <definedName name="GA_FINANCIAL" localSheetId="88">'States General'!$B$16:$F$16</definedName>
    <definedName name="GA_FINANCIAL" localSheetId="89">Statesman!$B$16:$F$16</definedName>
    <definedName name="GA_FINANCIAL" localSheetId="90">'Summit National'!$B$16:$F$16</definedName>
    <definedName name="GA_FINANCIAL" localSheetId="91">Supreme!$B$16:$F$16</definedName>
    <definedName name="GA_FINANCIAL" localSheetId="92">Time!$B$16:$F$16</definedName>
    <definedName name="GA_FINANCIAL" localSheetId="106">'Total Summary'!$B$16:$F$16</definedName>
    <definedName name="GA_FINANCIAL" localSheetId="93">Underwriters!$B$16:$F$16</definedName>
    <definedName name="GA_FINANCIAL" localSheetId="94">Unison!$B$16:$F$16</definedName>
    <definedName name="GA_FINANCIAL" localSheetId="95">'United Republic'!$B$16:$F$16</definedName>
    <definedName name="GA_FINANCIAL" localSheetId="96">'Universal Health Care'!$B$16:$F$16</definedName>
    <definedName name="GA_FINANCIAL" localSheetId="97">'Universal Life'!$B$16:$F$16</definedName>
    <definedName name="GA_FINANCIAL" localSheetId="98">Universe!$B$16:$F$16</definedName>
    <definedName name="GA_FINANCIAL" localSheetId="99">Villanova!$B$16:$F$16</definedName>
    <definedName name="HEALTH" localSheetId="0">'AF&amp;L'!$D$6:$D$59</definedName>
    <definedName name="HEALTH" localSheetId="1">'Alabama Life'!$D$6:$D$59</definedName>
    <definedName name="HEALTH" localSheetId="6">'Amer Life Asr'!$D$6:$D$59</definedName>
    <definedName name="HEALTH" localSheetId="9">'Amer Std Life Acc'!$D$6:$D$59</definedName>
    <definedName name="HEALTH" localSheetId="2">'American Chambers'!$D$6:$D$59</definedName>
    <definedName name="HEALTH" localSheetId="3">'American Community'!$D$6:$D$59</definedName>
    <definedName name="HEALTH" localSheetId="4">'American Educators'!$D$6:$D$59</definedName>
    <definedName name="HEALTH" localSheetId="5">'American Integrity'!$D$6:$D$59</definedName>
    <definedName name="HEALTH" localSheetId="7">'American Medical'!$D$6:$D$59</definedName>
    <definedName name="HEALTH" localSheetId="8">'American Network'!$D$6:$D$59</definedName>
    <definedName name="HEALTH" localSheetId="10">AmerWstrn!$D$6:$D$59</definedName>
    <definedName name="HEALTH" localSheetId="11">'AMS Life'!$D$6:$D$59</definedName>
    <definedName name="HEALTH" localSheetId="12">'Andrew Jackson'!$D$6:$D$59</definedName>
    <definedName name="HEALTH" localSheetId="13">'Bankers Commercial'!$D$6:$D$59</definedName>
    <definedName name="HEALTH" localSheetId="14">'Bankers Life'!$D$6:$D$59</definedName>
    <definedName name="HEALTH" localSheetId="15">Benicorp!$D$6:$D$59</definedName>
    <definedName name="HEALTH" localSheetId="16">'Booker T Washington'!$D$6:$D$59</definedName>
    <definedName name="HEALTH" localSheetId="17">Centennial!$D$6:$D$59</definedName>
    <definedName name="HEALTH" localSheetId="103">'Closed Summary'!$D$6:$D$58</definedName>
    <definedName name="HEALTH" localSheetId="19">'CO Bankers'!$D$6:$D$59</definedName>
    <definedName name="HEALTH" localSheetId="18">'Coastal States'!$D$6:$D$59</definedName>
    <definedName name="HEALTH" localSheetId="20">'Colorado Health'!$D$6:$D$59</definedName>
    <definedName name="HEALTH" localSheetId="21">'Compass (dbs Meritus)'!$D$6:$D$59</definedName>
    <definedName name="HEALTH" localSheetId="22">'Confed Life &amp; Annty (CLIAC)'!$D$6:$D$59</definedName>
    <definedName name="HEALTH" localSheetId="23">'Confed Life (CLIC)'!$D$6:$D$59</definedName>
    <definedName name="HEALTH" localSheetId="24">'Consolidated National'!$D$6:$D$59</definedName>
    <definedName name="HEALTH" localSheetId="25">'Consumers Choice'!$D$6:$D$59</definedName>
    <definedName name="HEALTH" localSheetId="26">'Consumers Mutual'!$D$6:$D$59</definedName>
    <definedName name="HEALTH" localSheetId="27">'Consumers United'!$D$6:$D$59</definedName>
    <definedName name="HEALTH" localSheetId="28">CoOportunity!$D$6:$D$59</definedName>
    <definedName name="HEALTH" localSheetId="29">'Coordinated Hlth'!$D$6:$D$59</definedName>
    <definedName name="HEALTH" localSheetId="30">'Corporate Life'!$D$6:$D$59</definedName>
    <definedName name="HEALTH" localSheetId="31">'Diamond Benefits'!$D$6:$D$59</definedName>
    <definedName name="HEALTH" localSheetId="32">'EBL Life'!$D$6:$D$59</definedName>
    <definedName name="HEALTH" localSheetId="34">ELNY!$D$6:$D$59</definedName>
    <definedName name="HEALTH" localSheetId="104">'Estate Closed Summary'!$D$6:$D$58</definedName>
    <definedName name="HEALTH" localSheetId="33">'Executive Life'!$D$6:$D$59</definedName>
    <definedName name="HEALTH" localSheetId="35">'Family Guaranty'!$D$6:$D$59</definedName>
    <definedName name="HEALTH" localSheetId="36">'Fidelity Bankers'!$D$6:$D$59</definedName>
    <definedName name="HEALTH" localSheetId="37">'Fidelity Mutual'!$D$6:$D$59</definedName>
    <definedName name="HEALTH" localSheetId="38">'First Capital'!$D$6:$D$59</definedName>
    <definedName name="HEALTH" localSheetId="39">'First Natl'!$D$6:$D$59</definedName>
    <definedName name="HEALTH" localSheetId="40">'First Natl (Thrnr)'!$D$6:$D$59</definedName>
    <definedName name="HEALTH" localSheetId="41">'Franklin American'!$D$6:$D$59</definedName>
    <definedName name="HEALTH" localSheetId="42">'Franklin Protective'!$D$6:$D$59</definedName>
    <definedName name="HEALTH" localSheetId="43">'Freelancers CO-OP'!$D$6:$D$59</definedName>
    <definedName name="HEALTH" localSheetId="44">Freestone!$D$6:$D$59</definedName>
    <definedName name="HEALTH" localSheetId="45">'George Washington'!$D$6:$D$59</definedName>
    <definedName name="HEALTH" localSheetId="46">'Golden State'!$D$6:$D$59</definedName>
    <definedName name="HEALTH" localSheetId="47">'Guarantee Security'!$D$6:$D$59</definedName>
    <definedName name="HEALTH" localSheetId="48">HealthyCT!$D$6:$D$59</definedName>
    <definedName name="HEALTH" localSheetId="49">Imerica!$D$6:$D$59</definedName>
    <definedName name="HEALTH" localSheetId="50">'Inter-American'!$D$6:$D$59</definedName>
    <definedName name="HEALTH" localSheetId="51">'International Fin'!$D$6:$D$59</definedName>
    <definedName name="HEALTH" localSheetId="52">'Investment Life of America'!$D$6:$D$59</definedName>
    <definedName name="HEALTH" localSheetId="53">'Investors Equity'!$D$6:$D$59</definedName>
    <definedName name="HEALTH" localSheetId="54">'Kentucky Central'!$D$6:$D$59</definedName>
    <definedName name="HEALTH" localSheetId="55">'Land of Lincoln'!$D$6:$D$59</definedName>
    <definedName name="HEALTH" localSheetId="56">Legion!$D$6:$D$59</definedName>
    <definedName name="HEALTH" localSheetId="57">'Life Health America'!$D$6:$D$59</definedName>
    <definedName name="HEALTH" localSheetId="58">'Lincoln Memorial'!$D$6:$D$59</definedName>
    <definedName name="HEALTH" localSheetId="59">'London Pac'!$D$6:$D$59</definedName>
    <definedName name="HEALTH" localSheetId="60">Lumbermens!$D$6:$D$59</definedName>
    <definedName name="HEALTH" localSheetId="61">'Medical Savings'!$D$6:$D$59</definedName>
    <definedName name="HEALTH" localSheetId="62">'Memorial Service'!$D$6:$D$59</definedName>
    <definedName name="HEALTH" localSheetId="63">Midcontinent!$D$6:$D$59</definedName>
    <definedName name="HEALTH" localSheetId="64">'Midwest Life'!$D$6:$D$59</definedName>
    <definedName name="HEALTH" localSheetId="65">'Monarch Life'!$D$6:$D$59</definedName>
    <definedName name="HEALTH" localSheetId="66">'Mutual Benefit'!$D$6:$D$59</definedName>
    <definedName name="HEALTH" localSheetId="67">'Mutual Security'!$D$6:$D$59</definedName>
    <definedName name="HEALTH" localSheetId="68">'National Affiliated'!$D$6:$D$59</definedName>
    <definedName name="HEALTH" localSheetId="70">'National Heritage'!$D$6:$D$59</definedName>
    <definedName name="HEALTH" localSheetId="71">'National States'!$D$6:$D$59</definedName>
    <definedName name="HEALTH" localSheetId="69">'Natl American'!$D$6:$D$59</definedName>
    <definedName name="HEALTH" localSheetId="72">'New Jersey Life'!$D$6:$D$59</definedName>
    <definedName name="HEALTH" localSheetId="74">NNIC!$D$6:$D$59</definedName>
    <definedName name="HEALTH" localSheetId="73">'North Carolina Mutual'!$D$6:$D$59</definedName>
    <definedName name="HEALTH" localSheetId="75">'Old Colony Life'!$D$6:$D$59</definedName>
    <definedName name="HEALTH" localSheetId="76">'Old Faithful'!$D$6:$D$59</definedName>
    <definedName name="HEALTH" localSheetId="102">'Open Summary'!$D$6:$D$58</definedName>
    <definedName name="HEALTH" localSheetId="77">'Pacific Standard'!$D$6:$D$59</definedName>
    <definedName name="HEALTH" localSheetId="78">'Pavonia Life'!$D$6:$D$59</definedName>
    <definedName name="HEALTH" localSheetId="79">'Pen  Treaty'!$D$6:$D$59</definedName>
    <definedName name="HEALTH" localSheetId="101">'Pre-Liquidation Summary'!$D$6:$D$58</definedName>
    <definedName name="HEALTH" localSheetId="80">'Red Rock'!$D$6:$D$59</definedName>
    <definedName name="HEALTH" localSheetId="105">'Released from Oversight Summary'!$D$6:$D$58</definedName>
    <definedName name="HEALTH" localSheetId="81">Reliance!$D$6:$D$59</definedName>
    <definedName name="HEALTH" localSheetId="82">SeeChange!$D$6:$D$59</definedName>
    <definedName name="HEALTH" localSheetId="83">'Senior American'!$D$6:$D$59</definedName>
    <definedName name="HEALTH" localSheetId="84">Settlers!$D$6:$D$59</definedName>
    <definedName name="HEALTH" localSheetId="85">Shenandoah!$D$6:$D$59</definedName>
    <definedName name="HEALTH" localSheetId="86">'Southland National Life'!$D$6:$D$59</definedName>
    <definedName name="HEALTH" localSheetId="87">'Standard Life IN'!$D$6:$D$59</definedName>
    <definedName name="HEALTH" localSheetId="88">'States General'!$D$6:$D$59</definedName>
    <definedName name="HEALTH" localSheetId="89">Statesman!$D$6:$D$59</definedName>
    <definedName name="HEALTH" localSheetId="90">'Summit National'!$D$6:$D$59</definedName>
    <definedName name="HEALTH" localSheetId="91">Supreme!$D$6:$D$59</definedName>
    <definedName name="HEALTH" localSheetId="92">Time!$D$6:$D$59</definedName>
    <definedName name="HEALTH" localSheetId="106">'Total Summary'!$D$6:$D$59</definedName>
    <definedName name="HEALTH" localSheetId="93">Underwriters!$D$6:$D$59</definedName>
    <definedName name="HEALTH" localSheetId="94">Unison!$D$6:$D$59</definedName>
    <definedName name="HEALTH" localSheetId="95">'United Republic'!$D$6:$D$59</definedName>
    <definedName name="HEALTH" localSheetId="96">'Universal Health Care'!$D$6:$D$59</definedName>
    <definedName name="HEALTH" localSheetId="97">'Universal Life'!$D$6:$D$59</definedName>
    <definedName name="HEALTH" localSheetId="98">Universe!$D$6:$D$59</definedName>
    <definedName name="HEALTH" localSheetId="99">Villanova!$D$6:$D$59</definedName>
    <definedName name="HEALTH_CALLED" localSheetId="0">'AF&amp;L'!$R$6:$R$58</definedName>
    <definedName name="HEALTH_CALLED" localSheetId="1">'Alabama Life'!$R$6:$R$58</definedName>
    <definedName name="HEALTH_CALLED" localSheetId="6">'Amer Life Asr'!$R$6:$R$58</definedName>
    <definedName name="HEALTH_CALLED" localSheetId="9">'Amer Std Life Acc'!$R$6:$R$58</definedName>
    <definedName name="HEALTH_CALLED" localSheetId="2">'American Chambers'!$R$6:$R$58</definedName>
    <definedName name="HEALTH_CALLED" localSheetId="3">'American Community'!$R$6:$R$58</definedName>
    <definedName name="HEALTH_CALLED" localSheetId="4">'American Educators'!$R$6:$R$58</definedName>
    <definedName name="HEALTH_CALLED" localSheetId="5">'American Integrity'!$R$6:$R$58</definedName>
    <definedName name="HEALTH_CALLED" localSheetId="7">'American Medical'!$R$6:$R$58</definedName>
    <definedName name="HEALTH_CALLED" localSheetId="8">'American Network'!$R$6:$R$58</definedName>
    <definedName name="HEALTH_CALLED" localSheetId="10">AmerWstrn!$R$6:$R$58</definedName>
    <definedName name="HEALTH_CALLED" localSheetId="11">'AMS Life'!$R$6:$R$58</definedName>
    <definedName name="HEALTH_CALLED" localSheetId="12">'Andrew Jackson'!$R$6:$R$58</definedName>
    <definedName name="HEALTH_CALLED" localSheetId="13">'Bankers Commercial'!$R$6:$R$58</definedName>
    <definedName name="HEALTH_CALLED" localSheetId="14">'Bankers Life'!$R$6:$R$58</definedName>
    <definedName name="HEALTH_CALLED" localSheetId="15">Benicorp!$R$6:$R$58</definedName>
    <definedName name="HEALTH_CALLED" localSheetId="16">'Booker T Washington'!$R$6:$R$58</definedName>
    <definedName name="HEALTH_CALLED" localSheetId="17">Centennial!$R$6:$R$58</definedName>
    <definedName name="HEALTH_CALLED" localSheetId="19">'CO Bankers'!$R$6:$R$58</definedName>
    <definedName name="HEALTH_CALLED" localSheetId="18">'Coastal States'!$R$6:$R$58</definedName>
    <definedName name="HEALTH_CALLED" localSheetId="20">'Colorado Health'!$R$6:$R$58</definedName>
    <definedName name="HEALTH_CALLED" localSheetId="21">'Compass (dbs Meritus)'!$R$6:$R$58</definedName>
    <definedName name="HEALTH_CALLED" localSheetId="22">'Confed Life &amp; Annty (CLIAC)'!$R$6:$R$58</definedName>
    <definedName name="HEALTH_CALLED" localSheetId="23">'Confed Life (CLIC)'!$R$6:$R$58</definedName>
    <definedName name="HEALTH_CALLED" localSheetId="24">'Consolidated National'!$R$6:$R$58</definedName>
    <definedName name="HEALTH_CALLED" localSheetId="25">'Consumers Choice'!$R$6:$R$58</definedName>
    <definedName name="HEALTH_CALLED" localSheetId="26">'Consumers Mutual'!$R$6:$R$58</definedName>
    <definedName name="HEALTH_CALLED" localSheetId="27">'Consumers United'!$R$6:$R$58</definedName>
    <definedName name="HEALTH_CALLED" localSheetId="28">CoOportunity!$R$6:$R$58</definedName>
    <definedName name="HEALTH_CALLED" localSheetId="29">'Coordinated Hlth'!$R$6:$R$58</definedName>
    <definedName name="HEALTH_CALLED" localSheetId="30">'Corporate Life'!$R$6:$R$58</definedName>
    <definedName name="HEALTH_CALLED" localSheetId="31">'Diamond Benefits'!$R$6:$R$58</definedName>
    <definedName name="HEALTH_CALLED" localSheetId="32">'EBL Life'!$R$6:$R$58</definedName>
    <definedName name="HEALTH_CALLED" localSheetId="34">ELNY!$R$6:$R$58</definedName>
    <definedName name="HEALTH_CALLED" localSheetId="33">'Executive Life'!$R$6:$R$58</definedName>
    <definedName name="HEALTH_CALLED" localSheetId="35">'Family Guaranty'!$R$6:$R$58</definedName>
    <definedName name="HEALTH_CALLED" localSheetId="36">'Fidelity Bankers'!$R$6:$R$58</definedName>
    <definedName name="HEALTH_CALLED" localSheetId="37">'Fidelity Mutual'!$R$6:$R$58</definedName>
    <definedName name="HEALTH_CALLED" localSheetId="38">'First Capital'!$R$6:$R$58</definedName>
    <definedName name="HEALTH_CALLED" localSheetId="39">'First Natl'!$R$6:$R$58</definedName>
    <definedName name="HEALTH_CALLED" localSheetId="40">'First Natl (Thrnr)'!$R$6:$R$58</definedName>
    <definedName name="HEALTH_CALLED" localSheetId="41">'Franklin American'!$R$6:$R$58</definedName>
    <definedName name="HEALTH_CALLED" localSheetId="42">'Franklin Protective'!$R$6:$R$58</definedName>
    <definedName name="HEALTH_CALLED" localSheetId="43">'Freelancers CO-OP'!$R$6:$R$58</definedName>
    <definedName name="HEALTH_CALLED" localSheetId="44">Freestone!$R$6:$R$58</definedName>
    <definedName name="HEALTH_CALLED" localSheetId="45">'George Washington'!$R$6:$R$58</definedName>
    <definedName name="HEALTH_CALLED" localSheetId="46">'Golden State'!$R$6:$R$58</definedName>
    <definedName name="HEALTH_CALLED" localSheetId="47">'Guarantee Security'!$R$6:$R$58</definedName>
    <definedName name="HEALTH_CALLED" localSheetId="48">HealthyCT!$R$6:$R$58</definedName>
    <definedName name="HEALTH_CALLED" localSheetId="49">Imerica!$R$6:$R$58</definedName>
    <definedName name="HEALTH_CALLED" localSheetId="50">'Inter-American'!$R$6:$R$58</definedName>
    <definedName name="HEALTH_CALLED" localSheetId="51">'International Fin'!$R$6:$R$58</definedName>
    <definedName name="HEALTH_CALLED" localSheetId="52">'Investment Life of America'!$R$6:$R$58</definedName>
    <definedName name="HEALTH_CALLED" localSheetId="53">'Investors Equity'!$R$6:$R$58</definedName>
    <definedName name="HEALTH_CALLED" localSheetId="54">'Kentucky Central'!$R$6:$R$58</definedName>
    <definedName name="HEALTH_CALLED" localSheetId="55">'Land of Lincoln'!$R$6:$R$58</definedName>
    <definedName name="HEALTH_CALLED" localSheetId="56">Legion!$R$6:$R$58</definedName>
    <definedName name="HEALTH_CALLED" localSheetId="57">'Life Health America'!$R$6:$R$58</definedName>
    <definedName name="HEALTH_CALLED" localSheetId="58">'Lincoln Memorial'!$R$6:$R$58</definedName>
    <definedName name="HEALTH_CALLED" localSheetId="59">'London Pac'!$R$6:$R$58</definedName>
    <definedName name="HEALTH_CALLED" localSheetId="60">Lumbermens!$R$6:$R$58</definedName>
    <definedName name="HEALTH_CALLED" localSheetId="61">'Medical Savings'!$R$6:$R$58</definedName>
    <definedName name="HEALTH_CALLED" localSheetId="62">'Memorial Service'!$R$6:$R$58</definedName>
    <definedName name="HEALTH_CALLED" localSheetId="63">Midcontinent!$R$6:$R$58</definedName>
    <definedName name="HEALTH_CALLED" localSheetId="64">'Midwest Life'!$R$6:$R$58</definedName>
    <definedName name="HEALTH_CALLED" localSheetId="65">'Monarch Life'!$R$6:$R$58</definedName>
    <definedName name="HEALTH_CALLED" localSheetId="66">'Mutual Benefit'!$R$6:$R$58</definedName>
    <definedName name="HEALTH_CALLED" localSheetId="67">'Mutual Security'!$R$6:$R$58</definedName>
    <definedName name="HEALTH_CALLED" localSheetId="68">'National Affiliated'!$R$6:$R$58</definedName>
    <definedName name="HEALTH_CALLED" localSheetId="70">'National Heritage'!$R$6:$R$58</definedName>
    <definedName name="HEALTH_CALLED" localSheetId="71">'National States'!$R$6:$R$58</definedName>
    <definedName name="HEALTH_CALLED" localSheetId="69">'Natl American'!$R$6:$R$58</definedName>
    <definedName name="HEALTH_CALLED" localSheetId="72">'New Jersey Life'!$R$6:$R$58</definedName>
    <definedName name="HEALTH_CALLED" localSheetId="74">NNIC!$R$6:$R$58</definedName>
    <definedName name="HEALTH_CALLED" localSheetId="73">'North Carolina Mutual'!$R$6:$R$58</definedName>
    <definedName name="HEALTH_CALLED" localSheetId="75">'Old Colony Life'!$R$6:$R$58</definedName>
    <definedName name="HEALTH_CALLED" localSheetId="76">'Old Faithful'!$R$6:$R$58</definedName>
    <definedName name="HEALTH_CALLED" localSheetId="77">'Pacific Standard'!$R$6:$R$58</definedName>
    <definedName name="HEALTH_CALLED" localSheetId="78">'Pavonia Life'!$R$6:$R$58</definedName>
    <definedName name="HEALTH_CALLED" localSheetId="79">'Pen  Treaty'!$R$6:$R$58</definedName>
    <definedName name="HEALTH_CALLED" localSheetId="80">'Red Rock'!$R$6:$R$58</definedName>
    <definedName name="HEALTH_CALLED" localSheetId="81">Reliance!$R$6:$R$58</definedName>
    <definedName name="HEALTH_CALLED" localSheetId="82">SeeChange!$R$6:$R$58</definedName>
    <definedName name="HEALTH_CALLED" localSheetId="83">'Senior American'!$R$6:$R$58</definedName>
    <definedName name="HEALTH_CALLED" localSheetId="84">Settlers!$R$6:$R$58</definedName>
    <definedName name="HEALTH_CALLED" localSheetId="85">Shenandoah!$R$6:$R$58</definedName>
    <definedName name="HEALTH_CALLED" localSheetId="86">'Southland National Life'!$R$6:$R$58</definedName>
    <definedName name="HEALTH_CALLED" localSheetId="87">'Standard Life IN'!$R$6:$R$58</definedName>
    <definedName name="HEALTH_CALLED" localSheetId="88">'States General'!$R$6:$R$58</definedName>
    <definedName name="HEALTH_CALLED" localSheetId="89">Statesman!$R$6:$R$58</definedName>
    <definedName name="HEALTH_CALLED" localSheetId="90">'Summit National'!$R$6:$R$58</definedName>
    <definedName name="HEALTH_CALLED" localSheetId="91">Supreme!$R$6:$R$58</definedName>
    <definedName name="HEALTH_CALLED" localSheetId="92">Time!$R$6:$R$58</definedName>
    <definedName name="HEALTH_CALLED" localSheetId="106">'Total Summary'!$O$6:$O$59</definedName>
    <definedName name="HEALTH_CALLED" localSheetId="93">Underwriters!$R$6:$R$58</definedName>
    <definedName name="HEALTH_CALLED" localSheetId="94">Unison!$R$6:$R$58</definedName>
    <definedName name="HEALTH_CALLED" localSheetId="95">'United Republic'!$R$6:$R$58</definedName>
    <definedName name="HEALTH_CALLED" localSheetId="96">'Universal Health Care'!$R$6:$R$58</definedName>
    <definedName name="HEALTH_CALLED" localSheetId="97">'Universal Life'!$R$6:$R$58</definedName>
    <definedName name="HEALTH_CALLED" localSheetId="98">Universe!$R$6:$R$58</definedName>
    <definedName name="HEALTH_CALLED" localSheetId="99">Villanova!$R$6:$R$58</definedName>
    <definedName name="HEALTH_REFUNDED" localSheetId="0">'AF&amp;L'!$S$6:$S$58</definedName>
    <definedName name="HEALTH_REFUNDED" localSheetId="1">'Alabama Life'!$S$6:$S$58</definedName>
    <definedName name="HEALTH_REFUNDED" localSheetId="6">'Amer Life Asr'!$S$6:$S$58</definedName>
    <definedName name="HEALTH_REFUNDED" localSheetId="9">'Amer Std Life Acc'!$S$6:$S$58</definedName>
    <definedName name="HEALTH_REFUNDED" localSheetId="2">'American Chambers'!$S$6:$S$58</definedName>
    <definedName name="HEALTH_REFUNDED" localSheetId="3">'American Community'!$S$6:$S$58</definedName>
    <definedName name="HEALTH_REFUNDED" localSheetId="4">'American Educators'!$S$6:$S$58</definedName>
    <definedName name="HEALTH_REFUNDED" localSheetId="5">'American Integrity'!$S$6:$S$58</definedName>
    <definedName name="HEALTH_REFUNDED" localSheetId="7">'American Medical'!$S$6:$S$58</definedName>
    <definedName name="HEALTH_REFUNDED" localSheetId="8">'American Network'!$S$6:$S$58</definedName>
    <definedName name="HEALTH_REFUNDED" localSheetId="10">AmerWstrn!$S$6:$S$58</definedName>
    <definedName name="HEALTH_REFUNDED" localSheetId="11">'AMS Life'!$S$6:$S$58</definedName>
    <definedName name="HEALTH_REFUNDED" localSheetId="12">'Andrew Jackson'!$S$6:$S$58</definedName>
    <definedName name="HEALTH_REFUNDED" localSheetId="13">'Bankers Commercial'!$S$6:$S$58</definedName>
    <definedName name="HEALTH_REFUNDED" localSheetId="14">'Bankers Life'!$S$6:$S$58</definedName>
    <definedName name="HEALTH_REFUNDED" localSheetId="15">Benicorp!$S$6:$S$58</definedName>
    <definedName name="HEALTH_REFUNDED" localSheetId="16">'Booker T Washington'!$S$6:$S$58</definedName>
    <definedName name="HEALTH_REFUNDED" localSheetId="17">Centennial!$S$6:$S$58</definedName>
    <definedName name="HEALTH_REFUNDED" localSheetId="19">'CO Bankers'!$S$6:$S$58</definedName>
    <definedName name="HEALTH_REFUNDED" localSheetId="18">'Coastal States'!$S$6:$S$58</definedName>
    <definedName name="HEALTH_REFUNDED" localSheetId="20">'Colorado Health'!$S$6:$S$58</definedName>
    <definedName name="HEALTH_REFUNDED" localSheetId="21">'Compass (dbs Meritus)'!$S$6:$S$58</definedName>
    <definedName name="HEALTH_REFUNDED" localSheetId="22">'Confed Life &amp; Annty (CLIAC)'!$S$6:$S$58</definedName>
    <definedName name="HEALTH_REFUNDED" localSheetId="23">'Confed Life (CLIC)'!$S$6:$S$58</definedName>
    <definedName name="HEALTH_REFUNDED" localSheetId="24">'Consolidated National'!$S$6:$S$58</definedName>
    <definedName name="HEALTH_REFUNDED" localSheetId="25">'Consumers Choice'!$S$6:$S$58</definedName>
    <definedName name="HEALTH_REFUNDED" localSheetId="26">'Consumers Mutual'!$S$6:$S$58</definedName>
    <definedName name="HEALTH_REFUNDED" localSheetId="27">'Consumers United'!$S$6:$S$58</definedName>
    <definedName name="HEALTH_REFUNDED" localSheetId="28">CoOportunity!$S$6:$S$58</definedName>
    <definedName name="HEALTH_REFUNDED" localSheetId="29">'Coordinated Hlth'!$S$6:$S$58</definedName>
    <definedName name="HEALTH_REFUNDED" localSheetId="30">'Corporate Life'!$S$6:$S$58</definedName>
    <definedName name="HEALTH_REFUNDED" localSheetId="31">'Diamond Benefits'!$S$6:$S$58</definedName>
    <definedName name="HEALTH_REFUNDED" localSheetId="32">'EBL Life'!$S$6:$S$58</definedName>
    <definedName name="HEALTH_REFUNDED" localSheetId="34">ELNY!$S$6:$S$58</definedName>
    <definedName name="HEALTH_REFUNDED" localSheetId="33">'Executive Life'!$S$6:$S$58</definedName>
    <definedName name="HEALTH_REFUNDED" localSheetId="35">'Family Guaranty'!$S$6:$S$58</definedName>
    <definedName name="HEALTH_REFUNDED" localSheetId="36">'Fidelity Bankers'!$S$6:$S$58</definedName>
    <definedName name="HEALTH_REFUNDED" localSheetId="37">'Fidelity Mutual'!$S$6:$S$58</definedName>
    <definedName name="HEALTH_REFUNDED" localSheetId="38">'First Capital'!$S$6:$S$58</definedName>
    <definedName name="HEALTH_REFUNDED" localSheetId="39">'First Natl'!$S$6:$S$58</definedName>
    <definedName name="HEALTH_REFUNDED" localSheetId="40">'First Natl (Thrnr)'!$S$6:$S$58</definedName>
    <definedName name="HEALTH_REFUNDED" localSheetId="41">'Franklin American'!$S$6:$S$58</definedName>
    <definedName name="HEALTH_REFUNDED" localSheetId="42">'Franklin Protective'!$S$6:$S$58</definedName>
    <definedName name="HEALTH_REFUNDED" localSheetId="43">'Freelancers CO-OP'!$S$6:$S$58</definedName>
    <definedName name="HEALTH_REFUNDED" localSheetId="44">Freestone!$S$6:$S$58</definedName>
    <definedName name="HEALTH_REFUNDED" localSheetId="45">'George Washington'!$S$6:$S$58</definedName>
    <definedName name="HEALTH_REFUNDED" localSheetId="46">'Golden State'!$S$6:$S$58</definedName>
    <definedName name="HEALTH_REFUNDED" localSheetId="47">'Guarantee Security'!$S$6:$S$58</definedName>
    <definedName name="HEALTH_REFUNDED" localSheetId="48">HealthyCT!$S$6:$S$58</definedName>
    <definedName name="HEALTH_REFUNDED" localSheetId="49">Imerica!$S$6:$S$58</definedName>
    <definedName name="HEALTH_REFUNDED" localSheetId="50">'Inter-American'!$S$6:$S$58</definedName>
    <definedName name="HEALTH_REFUNDED" localSheetId="51">'International Fin'!$S$6:$S$58</definedName>
    <definedName name="HEALTH_REFUNDED" localSheetId="52">'Investment Life of America'!$S$6:$S$58</definedName>
    <definedName name="HEALTH_REFUNDED" localSheetId="53">'Investors Equity'!$S$6:$S$58</definedName>
    <definedName name="HEALTH_REFUNDED" localSheetId="54">'Kentucky Central'!$S$6:$S$58</definedName>
    <definedName name="HEALTH_REFUNDED" localSheetId="55">'Land of Lincoln'!$S$6:$S$58</definedName>
    <definedName name="HEALTH_REFUNDED" localSheetId="56">Legion!$S$6:$S$58</definedName>
    <definedName name="HEALTH_REFUNDED" localSheetId="57">'Life Health America'!$S$6:$S$58</definedName>
    <definedName name="HEALTH_REFUNDED" localSheetId="58">'Lincoln Memorial'!$S$6:$S$58</definedName>
    <definedName name="HEALTH_REFUNDED" localSheetId="59">'London Pac'!$S$6:$S$58</definedName>
    <definedName name="HEALTH_REFUNDED" localSheetId="60">Lumbermens!$S$6:$S$58</definedName>
    <definedName name="HEALTH_REFUNDED" localSheetId="61">'Medical Savings'!$S$6:$S$58</definedName>
    <definedName name="HEALTH_REFUNDED" localSheetId="62">'Memorial Service'!$S$6:$S$58</definedName>
    <definedName name="HEALTH_REFUNDED" localSheetId="63">Midcontinent!$S$6:$S$58</definedName>
    <definedName name="HEALTH_REFUNDED" localSheetId="64">'Midwest Life'!$S$6:$S$58</definedName>
    <definedName name="HEALTH_REFUNDED" localSheetId="65">'Monarch Life'!$S$6:$S$58</definedName>
    <definedName name="HEALTH_REFUNDED" localSheetId="66">'Mutual Benefit'!$S$6:$S$58</definedName>
    <definedName name="HEALTH_REFUNDED" localSheetId="67">'Mutual Security'!$S$6:$S$58</definedName>
    <definedName name="HEALTH_REFUNDED" localSheetId="68">'National Affiliated'!$S$6:$S$58</definedName>
    <definedName name="HEALTH_REFUNDED" localSheetId="70">'National Heritage'!$S$6:$S$58</definedName>
    <definedName name="HEALTH_REFUNDED" localSheetId="71">'National States'!$S$6:$S$58</definedName>
    <definedName name="HEALTH_REFUNDED" localSheetId="69">'Natl American'!$S$6:$S$58</definedName>
    <definedName name="HEALTH_REFUNDED" localSheetId="72">'New Jersey Life'!$S$6:$S$58</definedName>
    <definedName name="HEALTH_REFUNDED" localSheetId="74">NNIC!$S$6:$S$58</definedName>
    <definedName name="HEALTH_REFUNDED" localSheetId="73">'North Carolina Mutual'!$S$6:$S$58</definedName>
    <definedName name="HEALTH_REFUNDED" localSheetId="75">'Old Colony Life'!$S$6:$S$58</definedName>
    <definedName name="HEALTH_REFUNDED" localSheetId="76">'Old Faithful'!$S$6:$S$58</definedName>
    <definedName name="HEALTH_REFUNDED" localSheetId="77">'Pacific Standard'!$S$6:$S$58</definedName>
    <definedName name="HEALTH_REFUNDED" localSheetId="78">'Pavonia Life'!$S$6:$S$58</definedName>
    <definedName name="HEALTH_REFUNDED" localSheetId="79">'Pen  Treaty'!$S$6:$S$58</definedName>
    <definedName name="HEALTH_REFUNDED" localSheetId="80">'Red Rock'!$S$6:$S$58</definedName>
    <definedName name="HEALTH_REFUNDED" localSheetId="81">Reliance!$S$6:$S$58</definedName>
    <definedName name="HEALTH_REFUNDED" localSheetId="82">SeeChange!$S$6:$S$58</definedName>
    <definedName name="HEALTH_REFUNDED" localSheetId="83">'Senior American'!$S$6:$S$58</definedName>
    <definedName name="HEALTH_REFUNDED" localSheetId="84">Settlers!$S$6:$S$58</definedName>
    <definedName name="HEALTH_REFUNDED" localSheetId="85">Shenandoah!$S$6:$S$58</definedName>
    <definedName name="HEALTH_REFUNDED" localSheetId="86">'Southland National Life'!$S$6:$S$58</definedName>
    <definedName name="HEALTH_REFUNDED" localSheetId="87">'Standard Life IN'!$S$6:$S$58</definedName>
    <definedName name="HEALTH_REFUNDED" localSheetId="88">'States General'!$S$6:$S$58</definedName>
    <definedName name="HEALTH_REFUNDED" localSheetId="89">Statesman!$S$6:$S$58</definedName>
    <definedName name="HEALTH_REFUNDED" localSheetId="90">'Summit National'!$S$6:$S$58</definedName>
    <definedName name="HEALTH_REFUNDED" localSheetId="91">Supreme!$S$6:$S$58</definedName>
    <definedName name="HEALTH_REFUNDED" localSheetId="92">Time!$S$6:$S$58</definedName>
    <definedName name="HEALTH_REFUNDED" localSheetId="106">'Total Summary'!$P$6:$P$59</definedName>
    <definedName name="HEALTH_REFUNDED" localSheetId="93">Underwriters!$S$6:$S$58</definedName>
    <definedName name="HEALTH_REFUNDED" localSheetId="94">Unison!$S$6:$S$58</definedName>
    <definedName name="HEALTH_REFUNDED" localSheetId="95">'United Republic'!$S$6:$S$58</definedName>
    <definedName name="HEALTH_REFUNDED" localSheetId="96">'Universal Health Care'!$S$6:$S$58</definedName>
    <definedName name="HEALTH_REFUNDED" localSheetId="97">'Universal Life'!$S$6:$S$58</definedName>
    <definedName name="HEALTH_REFUNDED" localSheetId="98">Universe!$S$6:$S$58</definedName>
    <definedName name="HEALTH_REFUNDED" localSheetId="99">Villanova!$S$6:$S$58</definedName>
    <definedName name="HI_FINANCIAL" localSheetId="0">'AF&amp;L'!$B$17:$F$17</definedName>
    <definedName name="HI_FINANCIAL" localSheetId="1">'Alabama Life'!$B$17:$F$17</definedName>
    <definedName name="HI_FINANCIAL" localSheetId="6">'Amer Life Asr'!$B$17:$F$17</definedName>
    <definedName name="HI_FINANCIAL" localSheetId="9">'Amer Std Life Acc'!$B$17:$F$17</definedName>
    <definedName name="HI_FINANCIAL" localSheetId="2">'American Chambers'!$B$17:$F$17</definedName>
    <definedName name="HI_FINANCIAL" localSheetId="3">'American Community'!$B$17:$F$17</definedName>
    <definedName name="HI_FINANCIAL" localSheetId="4">'American Educators'!$B$17:$F$17</definedName>
    <definedName name="HI_FINANCIAL" localSheetId="5">'American Integrity'!$B$17:$F$17</definedName>
    <definedName name="HI_FINANCIAL" localSheetId="7">'American Medical'!$B$17:$F$17</definedName>
    <definedName name="HI_FINANCIAL" localSheetId="8">'American Network'!$B$17:$F$17</definedName>
    <definedName name="HI_FINANCIAL" localSheetId="10">AmerWstrn!$B$17:$F$17</definedName>
    <definedName name="HI_FINANCIAL" localSheetId="11">'AMS Life'!$B$17:$F$17</definedName>
    <definedName name="HI_FINANCIAL" localSheetId="12">'Andrew Jackson'!$B$17:$F$17</definedName>
    <definedName name="HI_FINANCIAL" localSheetId="13">'Bankers Commercial'!$B$17:$F$17</definedName>
    <definedName name="HI_FINANCIAL" localSheetId="14">'Bankers Life'!$B$17:$F$17</definedName>
    <definedName name="HI_FINANCIAL" localSheetId="15">Benicorp!$B$17:$F$17</definedName>
    <definedName name="HI_FINANCIAL" localSheetId="16">'Booker T Washington'!$B$17:$F$17</definedName>
    <definedName name="HI_FINANCIAL" localSheetId="17">Centennial!$B$17:$F$17</definedName>
    <definedName name="HI_FINANCIAL" localSheetId="19">'CO Bankers'!$B$17:$F$17</definedName>
    <definedName name="HI_FINANCIAL" localSheetId="18">'Coastal States'!$B$17:$F$17</definedName>
    <definedName name="HI_FINANCIAL" localSheetId="20">'Colorado Health'!$B$17:$F$17</definedName>
    <definedName name="HI_FINANCIAL" localSheetId="21">'Compass (dbs Meritus)'!$B$17:$F$17</definedName>
    <definedName name="HI_FINANCIAL" localSheetId="22">'Confed Life &amp; Annty (CLIAC)'!$B$17:$F$17</definedName>
    <definedName name="HI_FINANCIAL" localSheetId="23">'Confed Life (CLIC)'!$B$17:$F$17</definedName>
    <definedName name="HI_FINANCIAL" localSheetId="24">'Consolidated National'!$B$17:$F$17</definedName>
    <definedName name="HI_FINANCIAL" localSheetId="25">'Consumers Choice'!$B$17:$F$17</definedName>
    <definedName name="HI_FINANCIAL" localSheetId="26">'Consumers Mutual'!$B$17:$F$17</definedName>
    <definedName name="HI_FINANCIAL" localSheetId="27">'Consumers United'!$B$17:$F$17</definedName>
    <definedName name="HI_FINANCIAL" localSheetId="28">CoOportunity!$B$17:$F$17</definedName>
    <definedName name="HI_FINANCIAL" localSheetId="29">'Coordinated Hlth'!$B$17:$F$17</definedName>
    <definedName name="HI_FINANCIAL" localSheetId="30">'Corporate Life'!$B$17:$F$17</definedName>
    <definedName name="HI_FINANCIAL" localSheetId="31">'Diamond Benefits'!$B$17:$F$17</definedName>
    <definedName name="HI_FINANCIAL" localSheetId="32">'EBL Life'!$B$17:$F$17</definedName>
    <definedName name="HI_FINANCIAL" localSheetId="34">ELNY!$B$17:$F$17</definedName>
    <definedName name="HI_FINANCIAL" localSheetId="33">'Executive Life'!$B$17:$F$17</definedName>
    <definedName name="HI_FINANCIAL" localSheetId="35">'Family Guaranty'!$B$17:$F$17</definedName>
    <definedName name="HI_FINANCIAL" localSheetId="36">'Fidelity Bankers'!$B$17:$F$17</definedName>
    <definedName name="HI_FINANCIAL" localSheetId="37">'Fidelity Mutual'!$B$17:$F$17</definedName>
    <definedName name="HI_FINANCIAL" localSheetId="38">'First Capital'!$B$17:$F$17</definedName>
    <definedName name="HI_FINANCIAL" localSheetId="39">'First Natl'!$B$17:$F$17</definedName>
    <definedName name="HI_FINANCIAL" localSheetId="40">'First Natl (Thrnr)'!$B$17:$F$17</definedName>
    <definedName name="HI_FINANCIAL" localSheetId="41">'Franklin American'!$B$17:$F$17</definedName>
    <definedName name="HI_FINANCIAL" localSheetId="42">'Franklin Protective'!$B$17:$F$17</definedName>
    <definedName name="HI_FINANCIAL" localSheetId="43">'Freelancers CO-OP'!$B$17:$F$17</definedName>
    <definedName name="HI_FINANCIAL" localSheetId="44">Freestone!$B$17:$F$17</definedName>
    <definedName name="HI_FINANCIAL" localSheetId="45">'George Washington'!$B$17:$F$17</definedName>
    <definedName name="HI_FINANCIAL" localSheetId="46">'Golden State'!$B$17:$F$17</definedName>
    <definedName name="HI_FINANCIAL" localSheetId="47">'Guarantee Security'!$B$17:$F$17</definedName>
    <definedName name="HI_FINANCIAL" localSheetId="48">HealthyCT!$B$17:$F$17</definedName>
    <definedName name="HI_FINANCIAL" localSheetId="49">Imerica!$B$17:$F$17</definedName>
    <definedName name="HI_FINANCIAL" localSheetId="50">'Inter-American'!$B$17:$F$17</definedName>
    <definedName name="HI_FINANCIAL" localSheetId="51">'International Fin'!$B$17:$F$17</definedName>
    <definedName name="HI_FINANCIAL" localSheetId="52">'Investment Life of America'!$B$17:$F$17</definedName>
    <definedName name="HI_FINANCIAL" localSheetId="53">'Investors Equity'!$B$17:$F$17</definedName>
    <definedName name="HI_FINANCIAL" localSheetId="54">'Kentucky Central'!$B$17:$F$17</definedName>
    <definedName name="HI_FINANCIAL" localSheetId="55">'Land of Lincoln'!$B$17:$F$17</definedName>
    <definedName name="HI_FINANCIAL" localSheetId="56">Legion!$B$17:$F$17</definedName>
    <definedName name="HI_FINANCIAL" localSheetId="57">'Life Health America'!$B$17:$F$17</definedName>
    <definedName name="HI_FINANCIAL" localSheetId="58">'Lincoln Memorial'!$B$17:$F$17</definedName>
    <definedName name="HI_FINANCIAL" localSheetId="59">'London Pac'!$B$17:$F$17</definedName>
    <definedName name="HI_FINANCIAL" localSheetId="60">Lumbermens!$B$17:$F$17</definedName>
    <definedName name="HI_FINANCIAL" localSheetId="61">'Medical Savings'!$B$17:$F$17</definedName>
    <definedName name="HI_FINANCIAL" localSheetId="62">'Memorial Service'!$B$17:$F$17</definedName>
    <definedName name="HI_FINANCIAL" localSheetId="63">Midcontinent!$B$17:$F$17</definedName>
    <definedName name="HI_FINANCIAL" localSheetId="64">'Midwest Life'!$B$17:$F$17</definedName>
    <definedName name="HI_FINANCIAL" localSheetId="65">'Monarch Life'!$B$17:$F$17</definedName>
    <definedName name="HI_FINANCIAL" localSheetId="66">'Mutual Benefit'!$B$17:$F$17</definedName>
    <definedName name="HI_FINANCIAL" localSheetId="67">'Mutual Security'!$B$17:$F$17</definedName>
    <definedName name="HI_FINANCIAL" localSheetId="68">'National Affiliated'!$B$17:$F$17</definedName>
    <definedName name="HI_FINANCIAL" localSheetId="70">'National Heritage'!$B$17:$F$17</definedName>
    <definedName name="HI_FINANCIAL" localSheetId="71">'National States'!$B$17:$F$17</definedName>
    <definedName name="HI_FINANCIAL" localSheetId="69">'Natl American'!$B$17:$F$17</definedName>
    <definedName name="HI_FINANCIAL" localSheetId="72">'New Jersey Life'!$B$17:$F$17</definedName>
    <definedName name="HI_FINANCIAL" localSheetId="74">NNIC!$B$17:$F$17</definedName>
    <definedName name="HI_FINANCIAL" localSheetId="73">'North Carolina Mutual'!$B$17:$F$17</definedName>
    <definedName name="HI_FINANCIAL" localSheetId="75">'Old Colony Life'!$B$17:$F$17</definedName>
    <definedName name="HI_FINANCIAL" localSheetId="76">'Old Faithful'!$B$17:$F$17</definedName>
    <definedName name="HI_FINANCIAL" localSheetId="77">'Pacific Standard'!$B$17:$F$17</definedName>
    <definedName name="HI_FINANCIAL" localSheetId="78">'Pavonia Life'!$B$17:$F$17</definedName>
    <definedName name="HI_FINANCIAL" localSheetId="79">'Pen  Treaty'!$B$17:$F$17</definedName>
    <definedName name="HI_FINANCIAL" localSheetId="80">'Red Rock'!$B$17:$F$17</definedName>
    <definedName name="HI_FINANCIAL" localSheetId="81">Reliance!$B$17:$F$17</definedName>
    <definedName name="HI_FINANCIAL" localSheetId="82">SeeChange!$B$17:$F$17</definedName>
    <definedName name="HI_FINANCIAL" localSheetId="83">'Senior American'!$B$17:$F$17</definedName>
    <definedName name="HI_FINANCIAL" localSheetId="84">Settlers!$B$17:$F$17</definedName>
    <definedName name="HI_FINANCIAL" localSheetId="85">Shenandoah!$B$17:$F$17</definedName>
    <definedName name="HI_FINANCIAL" localSheetId="86">'Southland National Life'!$B$17:$F$17</definedName>
    <definedName name="HI_FINANCIAL" localSheetId="87">'Standard Life IN'!$B$17:$F$17</definedName>
    <definedName name="HI_FINANCIAL" localSheetId="88">'States General'!$B$17:$F$17</definedName>
    <definedName name="HI_FINANCIAL" localSheetId="89">Statesman!$B$17:$F$17</definedName>
    <definedName name="HI_FINANCIAL" localSheetId="90">'Summit National'!$B$17:$F$17</definedName>
    <definedName name="HI_FINANCIAL" localSheetId="91">Supreme!$B$17:$F$17</definedName>
    <definedName name="HI_FINANCIAL" localSheetId="92">Time!$B$17:$F$17</definedName>
    <definedName name="HI_FINANCIAL" localSheetId="106">'Total Summary'!$B$17:$F$17</definedName>
    <definedName name="HI_FINANCIAL" localSheetId="93">Underwriters!$B$17:$F$17</definedName>
    <definedName name="HI_FINANCIAL" localSheetId="94">Unison!$B$17:$F$17</definedName>
    <definedName name="HI_FINANCIAL" localSheetId="95">'United Republic'!$B$17:$F$17</definedName>
    <definedName name="HI_FINANCIAL" localSheetId="96">'Universal Health Care'!$B$17:$F$17</definedName>
    <definedName name="HI_FINANCIAL" localSheetId="97">'Universal Life'!$B$17:$F$17</definedName>
    <definedName name="HI_FINANCIAL" localSheetId="98">Universe!$B$17:$F$17</definedName>
    <definedName name="HI_FINANCIAL" localSheetId="99">Villanova!$B$17:$F$17</definedName>
    <definedName name="IA_FINANCIAL" localSheetId="0">'AF&amp;L'!$B$21:$F$21</definedName>
    <definedName name="IA_FINANCIAL" localSheetId="1">'Alabama Life'!$B$21:$F$21</definedName>
    <definedName name="IA_FINANCIAL" localSheetId="6">'Amer Life Asr'!$B$21:$F$21</definedName>
    <definedName name="IA_FINANCIAL" localSheetId="9">'Amer Std Life Acc'!$B$21:$F$21</definedName>
    <definedName name="IA_FINANCIAL" localSheetId="2">'American Chambers'!$B$21:$F$21</definedName>
    <definedName name="IA_FINANCIAL" localSheetId="3">'American Community'!$B$21:$F$21</definedName>
    <definedName name="IA_FINANCIAL" localSheetId="4">'American Educators'!$B$21:$F$21</definedName>
    <definedName name="IA_FINANCIAL" localSheetId="5">'American Integrity'!$B$21:$F$21</definedName>
    <definedName name="IA_FINANCIAL" localSheetId="7">'American Medical'!$B$21:$F$21</definedName>
    <definedName name="IA_FINANCIAL" localSheetId="8">'American Network'!$B$21:$F$21</definedName>
    <definedName name="IA_FINANCIAL" localSheetId="10">AmerWstrn!$B$21:$F$21</definedName>
    <definedName name="IA_FINANCIAL" localSheetId="11">'AMS Life'!$B$21:$F$21</definedName>
    <definedName name="IA_FINANCIAL" localSheetId="12">'Andrew Jackson'!$B$21:$F$21</definedName>
    <definedName name="IA_FINANCIAL" localSheetId="13">'Bankers Commercial'!$B$21:$F$21</definedName>
    <definedName name="IA_FINANCIAL" localSheetId="14">'Bankers Life'!$B$21:$F$21</definedName>
    <definedName name="IA_FINANCIAL" localSheetId="15">Benicorp!$B$21:$F$21</definedName>
    <definedName name="IA_FINANCIAL" localSheetId="16">'Booker T Washington'!$B$21:$F$21</definedName>
    <definedName name="IA_FINANCIAL" localSheetId="17">Centennial!$B$21:$F$21</definedName>
    <definedName name="IA_FINANCIAL" localSheetId="19">'CO Bankers'!$B$21:$F$21</definedName>
    <definedName name="IA_FINANCIAL" localSheetId="18">'Coastal States'!$B$21:$F$21</definedName>
    <definedName name="IA_FINANCIAL" localSheetId="20">'Colorado Health'!$B$21:$F$21</definedName>
    <definedName name="IA_FINANCIAL" localSheetId="21">'Compass (dbs Meritus)'!$B$21:$F$21</definedName>
    <definedName name="IA_FINANCIAL" localSheetId="22">'Confed Life &amp; Annty (CLIAC)'!$B$21:$F$21</definedName>
    <definedName name="IA_FINANCIAL" localSheetId="23">'Confed Life (CLIC)'!$B$21:$F$21</definedName>
    <definedName name="IA_FINANCIAL" localSheetId="24">'Consolidated National'!$B$21:$F$21</definedName>
    <definedName name="IA_FINANCIAL" localSheetId="25">'Consumers Choice'!$B$21:$F$21</definedName>
    <definedName name="IA_FINANCIAL" localSheetId="26">'Consumers Mutual'!$B$21:$F$21</definedName>
    <definedName name="IA_FINANCIAL" localSheetId="27">'Consumers United'!$B$21:$F$21</definedName>
    <definedName name="IA_FINANCIAL" localSheetId="28">CoOportunity!$B$21:$F$21</definedName>
    <definedName name="IA_FINANCIAL" localSheetId="29">'Coordinated Hlth'!$B$21:$F$21</definedName>
    <definedName name="IA_FINANCIAL" localSheetId="30">'Corporate Life'!$B$21:$F$21</definedName>
    <definedName name="IA_FINANCIAL" localSheetId="31">'Diamond Benefits'!$B$21:$F$21</definedName>
    <definedName name="IA_FINANCIAL" localSheetId="32">'EBL Life'!$B$21:$F$21</definedName>
    <definedName name="IA_FINANCIAL" localSheetId="34">ELNY!$B$21:$F$21</definedName>
    <definedName name="IA_FINANCIAL" localSheetId="33">'Executive Life'!$B$21:$F$21</definedName>
    <definedName name="IA_FINANCIAL" localSheetId="35">'Family Guaranty'!$B$21:$F$21</definedName>
    <definedName name="IA_FINANCIAL" localSheetId="36">'Fidelity Bankers'!$B$21:$F$21</definedName>
    <definedName name="IA_FINANCIAL" localSheetId="37">'Fidelity Mutual'!$B$21:$F$21</definedName>
    <definedName name="IA_FINANCIAL" localSheetId="38">'First Capital'!$B$21:$F$21</definedName>
    <definedName name="IA_FINANCIAL" localSheetId="39">'First Natl'!$B$21:$F$21</definedName>
    <definedName name="IA_FINANCIAL" localSheetId="40">'First Natl (Thrnr)'!$B$21:$F$21</definedName>
    <definedName name="IA_FINANCIAL" localSheetId="41">'Franklin American'!$B$21:$F$21</definedName>
    <definedName name="IA_FINANCIAL" localSheetId="42">'Franklin Protective'!$B$21:$F$21</definedName>
    <definedName name="IA_FINANCIAL" localSheetId="43">'Freelancers CO-OP'!$B$21:$F$21</definedName>
    <definedName name="IA_FINANCIAL" localSheetId="44">Freestone!$B$21:$F$21</definedName>
    <definedName name="IA_FINANCIAL" localSheetId="45">'George Washington'!$B$21:$F$21</definedName>
    <definedName name="IA_FINANCIAL" localSheetId="46">'Golden State'!$B$21:$F$21</definedName>
    <definedName name="IA_FINANCIAL" localSheetId="47">'Guarantee Security'!$B$21:$F$21</definedName>
    <definedName name="IA_FINANCIAL" localSheetId="48">HealthyCT!$B$21:$F$21</definedName>
    <definedName name="IA_FINANCIAL" localSheetId="49">Imerica!$B$21:$F$21</definedName>
    <definedName name="IA_FINANCIAL" localSheetId="50">'Inter-American'!$B$21:$F$21</definedName>
    <definedName name="IA_FINANCIAL" localSheetId="51">'International Fin'!$B$21:$F$21</definedName>
    <definedName name="IA_FINANCIAL" localSheetId="52">'Investment Life of America'!$B$21:$F$21</definedName>
    <definedName name="IA_FINANCIAL" localSheetId="53">'Investors Equity'!$B$21:$F$21</definedName>
    <definedName name="IA_FINANCIAL" localSheetId="54">'Kentucky Central'!$B$21:$F$21</definedName>
    <definedName name="IA_FINANCIAL" localSheetId="55">'Land of Lincoln'!$B$21:$F$21</definedName>
    <definedName name="IA_FINANCIAL" localSheetId="56">Legion!$B$21:$F$21</definedName>
    <definedName name="IA_FINANCIAL" localSheetId="57">'Life Health America'!$B$21:$F$21</definedName>
    <definedName name="IA_FINANCIAL" localSheetId="58">'Lincoln Memorial'!$B$21:$F$21</definedName>
    <definedName name="IA_FINANCIAL" localSheetId="59">'London Pac'!$B$21:$F$21</definedName>
    <definedName name="IA_FINANCIAL" localSheetId="60">Lumbermens!$B$21:$F$21</definedName>
    <definedName name="IA_FINANCIAL" localSheetId="61">'Medical Savings'!$B$21:$F$21</definedName>
    <definedName name="IA_FINANCIAL" localSheetId="62">'Memorial Service'!$B$21:$F$21</definedName>
    <definedName name="IA_FINANCIAL" localSheetId="63">Midcontinent!$B$21:$F$21</definedName>
    <definedName name="IA_FINANCIAL" localSheetId="64">'Midwest Life'!$B$21:$F$21</definedName>
    <definedName name="IA_FINANCIAL" localSheetId="65">'Monarch Life'!$B$21:$F$21</definedName>
    <definedName name="IA_FINANCIAL" localSheetId="66">'Mutual Benefit'!$B$21:$F$21</definedName>
    <definedName name="IA_FINANCIAL" localSheetId="67">'Mutual Security'!$B$21:$F$21</definedName>
    <definedName name="IA_FINANCIAL" localSheetId="68">'National Affiliated'!$B$21:$F$21</definedName>
    <definedName name="IA_FINANCIAL" localSheetId="70">'National Heritage'!$B$21:$F$21</definedName>
    <definedName name="IA_FINANCIAL" localSheetId="71">'National States'!$B$21:$F$21</definedName>
    <definedName name="IA_FINANCIAL" localSheetId="69">'Natl American'!$B$21:$F$21</definedName>
    <definedName name="IA_FINANCIAL" localSheetId="72">'New Jersey Life'!$B$21:$F$21</definedName>
    <definedName name="IA_FINANCIAL" localSheetId="74">NNIC!$B$21:$F$21</definedName>
    <definedName name="IA_FINANCIAL" localSheetId="73">'North Carolina Mutual'!$B$21:$F$21</definedName>
    <definedName name="IA_FINANCIAL" localSheetId="75">'Old Colony Life'!$B$21:$F$21</definedName>
    <definedName name="IA_FINANCIAL" localSheetId="76">'Old Faithful'!$B$21:$F$21</definedName>
    <definedName name="IA_FINANCIAL" localSheetId="77">'Pacific Standard'!$B$21:$F$21</definedName>
    <definedName name="IA_FINANCIAL" localSheetId="78">'Pavonia Life'!$B$21:$F$21</definedName>
    <definedName name="IA_FINANCIAL" localSheetId="79">'Pen  Treaty'!$B$21:$F$21</definedName>
    <definedName name="IA_FINANCIAL" localSheetId="80">'Red Rock'!$B$21:$F$21</definedName>
    <definedName name="IA_FINANCIAL" localSheetId="81">Reliance!$B$21:$F$21</definedName>
    <definedName name="IA_FINANCIAL" localSheetId="82">SeeChange!$B$21:$F$21</definedName>
    <definedName name="IA_FINANCIAL" localSheetId="83">'Senior American'!$B$21:$F$21</definedName>
    <definedName name="IA_FINANCIAL" localSheetId="84">Settlers!$B$21:$F$21</definedName>
    <definedName name="IA_FINANCIAL" localSheetId="85">Shenandoah!$B$21:$F$21</definedName>
    <definedName name="IA_FINANCIAL" localSheetId="86">'Southland National Life'!$B$21:$F$21</definedName>
    <definedName name="IA_FINANCIAL" localSheetId="87">'Standard Life IN'!$B$21:$F$21</definedName>
    <definedName name="IA_FINANCIAL" localSheetId="88">'States General'!$B$21:$F$21</definedName>
    <definedName name="IA_FINANCIAL" localSheetId="89">Statesman!$B$21:$F$21</definedName>
    <definedName name="IA_FINANCIAL" localSheetId="90">'Summit National'!$B$21:$F$21</definedName>
    <definedName name="IA_FINANCIAL" localSheetId="91">Supreme!$B$21:$F$21</definedName>
    <definedName name="IA_FINANCIAL" localSheetId="92">Time!$B$21:$F$21</definedName>
    <definedName name="IA_FINANCIAL" localSheetId="106">'Total Summary'!$B$21:$F$21</definedName>
    <definedName name="IA_FINANCIAL" localSheetId="93">Underwriters!$B$21:$F$21</definedName>
    <definedName name="IA_FINANCIAL" localSheetId="94">Unison!$B$21:$F$21</definedName>
    <definedName name="IA_FINANCIAL" localSheetId="95">'United Republic'!$B$21:$F$21</definedName>
    <definedName name="IA_FINANCIAL" localSheetId="96">'Universal Health Care'!$B$21:$F$21</definedName>
    <definedName name="IA_FINANCIAL" localSheetId="97">'Universal Life'!$B$21:$F$21</definedName>
    <definedName name="IA_FINANCIAL" localSheetId="98">Universe!$B$21:$F$21</definedName>
    <definedName name="IA_FINANCIAL" localSheetId="99">Villanova!$B$21:$F$21</definedName>
    <definedName name="ID_FINANCIAL" localSheetId="0">'AF&amp;L'!$B$18:$F$18</definedName>
    <definedName name="ID_FINANCIAL" localSheetId="1">'Alabama Life'!$B$18:$F$18</definedName>
    <definedName name="ID_FINANCIAL" localSheetId="6">'Amer Life Asr'!$B$18:$F$18</definedName>
    <definedName name="ID_FINANCIAL" localSheetId="9">'Amer Std Life Acc'!$B$18:$F$18</definedName>
    <definedName name="ID_FINANCIAL" localSheetId="2">'American Chambers'!$B$18:$F$18</definedName>
    <definedName name="ID_FINANCIAL" localSheetId="3">'American Community'!$B$18:$F$18</definedName>
    <definedName name="ID_FINANCIAL" localSheetId="4">'American Educators'!$B$18:$F$18</definedName>
    <definedName name="ID_FINANCIAL" localSheetId="5">'American Integrity'!$B$18:$F$18</definedName>
    <definedName name="ID_FINANCIAL" localSheetId="7">'American Medical'!$B$18:$F$18</definedName>
    <definedName name="ID_FINANCIAL" localSheetId="8">'American Network'!$B$18:$F$18</definedName>
    <definedName name="ID_FINANCIAL" localSheetId="10">AmerWstrn!$B$18:$F$18</definedName>
    <definedName name="ID_FINANCIAL" localSheetId="11">'AMS Life'!$B$18:$F$18</definedName>
    <definedName name="ID_FINANCIAL" localSheetId="12">'Andrew Jackson'!$B$18:$F$18</definedName>
    <definedName name="ID_FINANCIAL" localSheetId="13">'Bankers Commercial'!$B$18:$F$18</definedName>
    <definedName name="ID_FINANCIAL" localSheetId="14">'Bankers Life'!$B$18:$F$18</definedName>
    <definedName name="ID_FINANCIAL" localSheetId="15">Benicorp!$B$18:$F$18</definedName>
    <definedName name="ID_FINANCIAL" localSheetId="16">'Booker T Washington'!$B$18:$F$18</definedName>
    <definedName name="ID_FINANCIAL" localSheetId="17">Centennial!$B$18:$F$18</definedName>
    <definedName name="ID_FINANCIAL" localSheetId="19">'CO Bankers'!$B$18:$F$18</definedName>
    <definedName name="ID_FINANCIAL" localSheetId="18">'Coastal States'!$B$18:$F$18</definedName>
    <definedName name="ID_FINANCIAL" localSheetId="20">'Colorado Health'!$B$18:$F$18</definedName>
    <definedName name="ID_FINANCIAL" localSheetId="21">'Compass (dbs Meritus)'!$B$18:$F$18</definedName>
    <definedName name="ID_FINANCIAL" localSheetId="22">'Confed Life &amp; Annty (CLIAC)'!$B$18:$F$18</definedName>
    <definedName name="ID_FINANCIAL" localSheetId="23">'Confed Life (CLIC)'!$B$18:$F$18</definedName>
    <definedName name="ID_FINANCIAL" localSheetId="24">'Consolidated National'!$B$18:$F$18</definedName>
    <definedName name="ID_FINANCIAL" localSheetId="25">'Consumers Choice'!$B$18:$F$18</definedName>
    <definedName name="ID_FINANCIAL" localSheetId="26">'Consumers Mutual'!$B$18:$F$18</definedName>
    <definedName name="ID_FINANCIAL" localSheetId="27">'Consumers United'!$B$18:$F$18</definedName>
    <definedName name="ID_FINANCIAL" localSheetId="28">CoOportunity!$B$18:$F$18</definedName>
    <definedName name="ID_FINANCIAL" localSheetId="29">'Coordinated Hlth'!$B$18:$F$18</definedName>
    <definedName name="ID_FINANCIAL" localSheetId="30">'Corporate Life'!$B$18:$F$18</definedName>
    <definedName name="ID_FINANCIAL" localSheetId="31">'Diamond Benefits'!$B$18:$F$18</definedName>
    <definedName name="ID_FINANCIAL" localSheetId="32">'EBL Life'!$B$18:$F$18</definedName>
    <definedName name="ID_FINANCIAL" localSheetId="34">ELNY!$B$18:$F$18</definedName>
    <definedName name="ID_FINANCIAL" localSheetId="33">'Executive Life'!$B$18:$F$18</definedName>
    <definedName name="ID_FINANCIAL" localSheetId="35">'Family Guaranty'!$B$18:$F$18</definedName>
    <definedName name="ID_FINANCIAL" localSheetId="36">'Fidelity Bankers'!$B$18:$F$18</definedName>
    <definedName name="ID_FINANCIAL" localSheetId="37">'Fidelity Mutual'!$B$18:$F$18</definedName>
    <definedName name="ID_FINANCIAL" localSheetId="38">'First Capital'!$B$18:$F$18</definedName>
    <definedName name="ID_FINANCIAL" localSheetId="39">'First Natl'!$B$18:$F$18</definedName>
    <definedName name="ID_FINANCIAL" localSheetId="40">'First Natl (Thrnr)'!$B$18:$F$18</definedName>
    <definedName name="ID_FINANCIAL" localSheetId="41">'Franklin American'!$B$18:$F$18</definedName>
    <definedName name="ID_FINANCIAL" localSheetId="42">'Franklin Protective'!$B$18:$F$18</definedName>
    <definedName name="ID_FINANCIAL" localSheetId="43">'Freelancers CO-OP'!$B$18:$F$18</definedName>
    <definedName name="ID_FINANCIAL" localSheetId="44">Freestone!$B$18:$F$18</definedName>
    <definedName name="ID_FINANCIAL" localSheetId="45">'George Washington'!$B$18:$F$18</definedName>
    <definedName name="ID_FINANCIAL" localSheetId="46">'Golden State'!$B$18:$F$18</definedName>
    <definedName name="ID_FINANCIAL" localSheetId="47">'Guarantee Security'!$B$18:$F$18</definedName>
    <definedName name="ID_FINANCIAL" localSheetId="48">HealthyCT!$B$18:$F$18</definedName>
    <definedName name="ID_FINANCIAL" localSheetId="49">Imerica!$B$18:$F$18</definedName>
    <definedName name="ID_FINANCIAL" localSheetId="50">'Inter-American'!$B$18:$F$18</definedName>
    <definedName name="ID_FINANCIAL" localSheetId="51">'International Fin'!$B$18:$F$18</definedName>
    <definedName name="ID_FINANCIAL" localSheetId="52">'Investment Life of America'!$B$18:$F$18</definedName>
    <definedName name="ID_FINANCIAL" localSheetId="53">'Investors Equity'!$B$18:$F$18</definedName>
    <definedName name="ID_FINANCIAL" localSheetId="54">'Kentucky Central'!$B$18:$F$18</definedName>
    <definedName name="ID_FINANCIAL" localSheetId="55">'Land of Lincoln'!$B$18:$F$18</definedName>
    <definedName name="ID_FINANCIAL" localSheetId="56">Legion!$B$18:$F$18</definedName>
    <definedName name="ID_FINANCIAL" localSheetId="57">'Life Health America'!$B$18:$F$18</definedName>
    <definedName name="ID_FINANCIAL" localSheetId="58">'Lincoln Memorial'!$B$18:$F$18</definedName>
    <definedName name="ID_FINANCIAL" localSheetId="59">'London Pac'!$B$18:$F$18</definedName>
    <definedName name="ID_FINANCIAL" localSheetId="60">Lumbermens!$B$18:$F$18</definedName>
    <definedName name="ID_FINANCIAL" localSheetId="61">'Medical Savings'!$B$18:$F$18</definedName>
    <definedName name="ID_FINANCIAL" localSheetId="62">'Memorial Service'!$B$18:$F$18</definedName>
    <definedName name="ID_FINANCIAL" localSheetId="63">Midcontinent!$B$18:$F$18</definedName>
    <definedName name="ID_FINANCIAL" localSheetId="64">'Midwest Life'!$B$18:$F$18</definedName>
    <definedName name="ID_FINANCIAL" localSheetId="65">'Monarch Life'!$B$18:$F$18</definedName>
    <definedName name="ID_FINANCIAL" localSheetId="66">'Mutual Benefit'!$B$18:$F$18</definedName>
    <definedName name="ID_FINANCIAL" localSheetId="67">'Mutual Security'!$B$18:$F$18</definedName>
    <definedName name="ID_FINANCIAL" localSheetId="68">'National Affiliated'!$B$18:$F$18</definedName>
    <definedName name="ID_FINANCIAL" localSheetId="70">'National Heritage'!$B$18:$F$18</definedName>
    <definedName name="ID_FINANCIAL" localSheetId="71">'National States'!$B$18:$F$18</definedName>
    <definedName name="ID_FINANCIAL" localSheetId="69">'Natl American'!$B$18:$F$18</definedName>
    <definedName name="ID_FINANCIAL" localSheetId="72">'New Jersey Life'!$B$18:$F$18</definedName>
    <definedName name="ID_FINANCIAL" localSheetId="74">NNIC!$B$18:$F$18</definedName>
    <definedName name="ID_FINANCIAL" localSheetId="73">'North Carolina Mutual'!$B$18:$F$18</definedName>
    <definedName name="ID_FINANCIAL" localSheetId="75">'Old Colony Life'!$B$18:$F$18</definedName>
    <definedName name="ID_FINANCIAL" localSheetId="76">'Old Faithful'!$B$18:$F$18</definedName>
    <definedName name="ID_FINANCIAL" localSheetId="77">'Pacific Standard'!$B$18:$F$18</definedName>
    <definedName name="ID_FINANCIAL" localSheetId="78">'Pavonia Life'!$B$18:$F$18</definedName>
    <definedName name="ID_FINANCIAL" localSheetId="79">'Pen  Treaty'!$B$18:$F$18</definedName>
    <definedName name="ID_FINANCIAL" localSheetId="80">'Red Rock'!$B$18:$F$18</definedName>
    <definedName name="ID_FINANCIAL" localSheetId="81">Reliance!$B$18:$F$18</definedName>
    <definedName name="ID_FINANCIAL" localSheetId="82">SeeChange!$B$18:$F$18</definedName>
    <definedName name="ID_FINANCIAL" localSheetId="83">'Senior American'!$B$18:$F$18</definedName>
    <definedName name="ID_FINANCIAL" localSheetId="84">Settlers!$B$18:$F$18</definedName>
    <definedName name="ID_FINANCIAL" localSheetId="85">Shenandoah!$B$18:$F$18</definedName>
    <definedName name="ID_FINANCIAL" localSheetId="86">'Southland National Life'!$B$18:$F$18</definedName>
    <definedName name="ID_FINANCIAL" localSheetId="87">'Standard Life IN'!$B$18:$F$18</definedName>
    <definedName name="ID_FINANCIAL" localSheetId="88">'States General'!$B$18:$F$18</definedName>
    <definedName name="ID_FINANCIAL" localSheetId="89">Statesman!$B$18:$F$18</definedName>
    <definedName name="ID_FINANCIAL" localSheetId="90">'Summit National'!$B$18:$F$18</definedName>
    <definedName name="ID_FINANCIAL" localSheetId="91">Supreme!$B$18:$F$18</definedName>
    <definedName name="ID_FINANCIAL" localSheetId="92">Time!$B$18:$F$18</definedName>
    <definedName name="ID_FINANCIAL" localSheetId="106">'Total Summary'!$B$18:$F$18</definedName>
    <definedName name="ID_FINANCIAL" localSheetId="93">Underwriters!$B$18:$F$18</definedName>
    <definedName name="ID_FINANCIAL" localSheetId="94">Unison!$B$18:$F$18</definedName>
    <definedName name="ID_FINANCIAL" localSheetId="95">'United Republic'!$B$18:$F$18</definedName>
    <definedName name="ID_FINANCIAL" localSheetId="96">'Universal Health Care'!$B$18:$F$18</definedName>
    <definedName name="ID_FINANCIAL" localSheetId="97">'Universal Life'!$B$18:$F$18</definedName>
    <definedName name="ID_FINANCIAL" localSheetId="98">Universe!$B$18:$F$18</definedName>
    <definedName name="ID_FINANCIAL" localSheetId="99">Villanova!$B$18:$F$18</definedName>
    <definedName name="IL_FINANCIAL" localSheetId="0">'AF&amp;L'!$B$19:$F$19</definedName>
    <definedName name="IL_FINANCIAL" localSheetId="1">'Alabama Life'!$B$19:$F$19</definedName>
    <definedName name="IL_FINANCIAL" localSheetId="6">'Amer Life Asr'!$B$19:$F$19</definedName>
    <definedName name="IL_FINANCIAL" localSheetId="9">'Amer Std Life Acc'!$B$19:$F$19</definedName>
    <definedName name="IL_FINANCIAL" localSheetId="2">'American Chambers'!$B$19:$F$19</definedName>
    <definedName name="IL_FINANCIAL" localSheetId="3">'American Community'!$B$19:$F$19</definedName>
    <definedName name="IL_FINANCIAL" localSheetId="4">'American Educators'!$B$19:$F$19</definedName>
    <definedName name="IL_FINANCIAL" localSheetId="5">'American Integrity'!$B$19:$F$19</definedName>
    <definedName name="IL_FINANCIAL" localSheetId="7">'American Medical'!$B$19:$F$19</definedName>
    <definedName name="IL_FINANCIAL" localSheetId="8">'American Network'!$B$19:$F$19</definedName>
    <definedName name="IL_FINANCIAL" localSheetId="10">AmerWstrn!$B$19:$F$19</definedName>
    <definedName name="IL_FINANCIAL" localSheetId="11">'AMS Life'!$B$19:$F$19</definedName>
    <definedName name="IL_FINANCIAL" localSheetId="12">'Andrew Jackson'!$B$19:$F$19</definedName>
    <definedName name="IL_FINANCIAL" localSheetId="13">'Bankers Commercial'!$B$19:$F$19</definedName>
    <definedName name="IL_FINANCIAL" localSheetId="14">'Bankers Life'!$B$19:$F$19</definedName>
    <definedName name="IL_FINANCIAL" localSheetId="15">Benicorp!$B$19:$F$19</definedName>
    <definedName name="IL_FINANCIAL" localSheetId="16">'Booker T Washington'!$B$19:$F$19</definedName>
    <definedName name="IL_FINANCIAL" localSheetId="17">Centennial!$B$19:$F$19</definedName>
    <definedName name="IL_FINANCIAL" localSheetId="19">'CO Bankers'!$B$19:$F$19</definedName>
    <definedName name="IL_FINANCIAL" localSheetId="18">'Coastal States'!$B$19:$F$19</definedName>
    <definedName name="IL_FINANCIAL" localSheetId="20">'Colorado Health'!$B$19:$F$19</definedName>
    <definedName name="IL_FINANCIAL" localSheetId="21">'Compass (dbs Meritus)'!$B$19:$F$19</definedName>
    <definedName name="IL_FINANCIAL" localSheetId="22">'Confed Life &amp; Annty (CLIAC)'!$B$19:$F$19</definedName>
    <definedName name="IL_FINANCIAL" localSheetId="23">'Confed Life (CLIC)'!$B$19:$F$19</definedName>
    <definedName name="IL_FINANCIAL" localSheetId="24">'Consolidated National'!$B$19:$F$19</definedName>
    <definedName name="IL_FINANCIAL" localSheetId="25">'Consumers Choice'!$B$19:$F$19</definedName>
    <definedName name="IL_FINANCIAL" localSheetId="26">'Consumers Mutual'!$B$19:$F$19</definedName>
    <definedName name="IL_FINANCIAL" localSheetId="27">'Consumers United'!$B$19:$F$19</definedName>
    <definedName name="IL_FINANCIAL" localSheetId="28">CoOportunity!$B$19:$F$19</definedName>
    <definedName name="IL_FINANCIAL" localSheetId="29">'Coordinated Hlth'!$B$19:$F$19</definedName>
    <definedName name="IL_FINANCIAL" localSheetId="30">'Corporate Life'!$B$19:$F$19</definedName>
    <definedName name="IL_FINANCIAL" localSheetId="31">'Diamond Benefits'!$B$19:$F$19</definedName>
    <definedName name="IL_FINANCIAL" localSheetId="32">'EBL Life'!$B$19:$F$19</definedName>
    <definedName name="IL_FINANCIAL" localSheetId="34">ELNY!$B$19:$F$19</definedName>
    <definedName name="IL_FINANCIAL" localSheetId="33">'Executive Life'!$B$19:$F$19</definedName>
    <definedName name="IL_FINANCIAL" localSheetId="35">'Family Guaranty'!$B$19:$F$19</definedName>
    <definedName name="IL_FINANCIAL" localSheetId="36">'Fidelity Bankers'!$B$19:$F$19</definedName>
    <definedName name="IL_FINANCIAL" localSheetId="37">'Fidelity Mutual'!$B$19:$F$19</definedName>
    <definedName name="IL_FINANCIAL" localSheetId="38">'First Capital'!$B$19:$F$19</definedName>
    <definedName name="IL_FINANCIAL" localSheetId="39">'First Natl'!$B$19:$F$19</definedName>
    <definedName name="IL_FINANCIAL" localSheetId="40">'First Natl (Thrnr)'!$B$19:$F$19</definedName>
    <definedName name="IL_FINANCIAL" localSheetId="41">'Franklin American'!$B$19:$F$19</definedName>
    <definedName name="IL_FINANCIAL" localSheetId="42">'Franklin Protective'!$B$19:$F$19</definedName>
    <definedName name="IL_FINANCIAL" localSheetId="43">'Freelancers CO-OP'!$B$19:$F$19</definedName>
    <definedName name="IL_FINANCIAL" localSheetId="44">Freestone!$B$19:$F$19</definedName>
    <definedName name="IL_FINANCIAL" localSheetId="45">'George Washington'!$B$19:$F$19</definedName>
    <definedName name="IL_FINANCIAL" localSheetId="46">'Golden State'!$B$19:$F$19</definedName>
    <definedName name="IL_FINANCIAL" localSheetId="47">'Guarantee Security'!$B$19:$F$19</definedName>
    <definedName name="IL_FINANCIAL" localSheetId="48">HealthyCT!$B$19:$F$19</definedName>
    <definedName name="IL_FINANCIAL" localSheetId="49">Imerica!$B$19:$F$19</definedName>
    <definedName name="IL_FINANCIAL" localSheetId="50">'Inter-American'!$B$19:$F$19</definedName>
    <definedName name="IL_FINANCIAL" localSheetId="51">'International Fin'!$B$19:$F$19</definedName>
    <definedName name="IL_FINANCIAL" localSheetId="52">'Investment Life of America'!$B$19:$F$19</definedName>
    <definedName name="IL_FINANCIAL" localSheetId="53">'Investors Equity'!$B$19:$F$19</definedName>
    <definedName name="IL_FINANCIAL" localSheetId="54">'Kentucky Central'!$B$19:$F$19</definedName>
    <definedName name="IL_FINANCIAL" localSheetId="55">'Land of Lincoln'!$B$19:$F$19</definedName>
    <definedName name="IL_FINANCIAL" localSheetId="56">Legion!$B$19:$F$19</definedName>
    <definedName name="IL_FINANCIAL" localSheetId="57">'Life Health America'!$B$19:$F$19</definedName>
    <definedName name="IL_FINANCIAL" localSheetId="58">'Lincoln Memorial'!$B$19:$F$19</definedName>
    <definedName name="IL_FINANCIAL" localSheetId="59">'London Pac'!$B$19:$F$19</definedName>
    <definedName name="IL_FINANCIAL" localSheetId="60">Lumbermens!$B$19:$F$19</definedName>
    <definedName name="IL_FINANCIAL" localSheetId="61">'Medical Savings'!$B$19:$F$19</definedName>
    <definedName name="IL_FINANCIAL" localSheetId="62">'Memorial Service'!$B$19:$F$19</definedName>
    <definedName name="IL_FINANCIAL" localSheetId="63">Midcontinent!$B$19:$F$19</definedName>
    <definedName name="IL_FINANCIAL" localSheetId="64">'Midwest Life'!$B$19:$F$19</definedName>
    <definedName name="IL_FINANCIAL" localSheetId="65">'Monarch Life'!$B$19:$F$19</definedName>
    <definedName name="IL_FINANCIAL" localSheetId="66">'Mutual Benefit'!$B$19:$F$19</definedName>
    <definedName name="IL_FINANCIAL" localSheetId="67">'Mutual Security'!$B$19:$F$19</definedName>
    <definedName name="IL_FINANCIAL" localSheetId="68">'National Affiliated'!$B$19:$F$19</definedName>
    <definedName name="IL_FINANCIAL" localSheetId="70">'National Heritage'!$B$19:$F$19</definedName>
    <definedName name="IL_FINANCIAL" localSheetId="71">'National States'!$B$19:$F$19</definedName>
    <definedName name="IL_FINANCIAL" localSheetId="69">'Natl American'!$B$19:$F$19</definedName>
    <definedName name="IL_FINANCIAL" localSheetId="72">'New Jersey Life'!$B$19:$F$19</definedName>
    <definedName name="IL_FINANCIAL" localSheetId="74">NNIC!$B$19:$F$19</definedName>
    <definedName name="IL_FINANCIAL" localSheetId="73">'North Carolina Mutual'!$B$19:$F$19</definedName>
    <definedName name="IL_FINANCIAL" localSheetId="75">'Old Colony Life'!$B$19:$F$19</definedName>
    <definedName name="IL_FINANCIAL" localSheetId="76">'Old Faithful'!$B$19:$F$19</definedName>
    <definedName name="IL_FINANCIAL" localSheetId="77">'Pacific Standard'!$B$19:$F$19</definedName>
    <definedName name="IL_FINANCIAL" localSheetId="78">'Pavonia Life'!$B$19:$F$19</definedName>
    <definedName name="IL_FINANCIAL" localSheetId="79">'Pen  Treaty'!$B$19:$F$19</definedName>
    <definedName name="IL_FINANCIAL" localSheetId="80">'Red Rock'!$B$19:$F$19</definedName>
    <definedName name="IL_FINANCIAL" localSheetId="81">Reliance!$B$19:$F$19</definedName>
    <definedName name="IL_FINANCIAL" localSheetId="82">SeeChange!$B$19:$F$19</definedName>
    <definedName name="IL_FINANCIAL" localSheetId="83">'Senior American'!$B$19:$F$19</definedName>
    <definedName name="IL_FINANCIAL" localSheetId="84">Settlers!$B$19:$F$19</definedName>
    <definedName name="IL_FINANCIAL" localSheetId="85">Shenandoah!$B$19:$F$19</definedName>
    <definedName name="IL_FINANCIAL" localSheetId="86">'Southland National Life'!$B$19:$F$19</definedName>
    <definedName name="IL_FINANCIAL" localSheetId="87">'Standard Life IN'!$B$19:$F$19</definedName>
    <definedName name="IL_FINANCIAL" localSheetId="88">'States General'!$B$19:$F$19</definedName>
    <definedName name="IL_FINANCIAL" localSheetId="89">Statesman!$B$19:$F$19</definedName>
    <definedName name="IL_FINANCIAL" localSheetId="90">'Summit National'!$B$19:$F$19</definedName>
    <definedName name="IL_FINANCIAL" localSheetId="91">Supreme!$B$19:$F$19</definedName>
    <definedName name="IL_FINANCIAL" localSheetId="92">Time!$B$19:$F$19</definedName>
    <definedName name="IL_FINANCIAL" localSheetId="106">'Total Summary'!$B$19:$F$19</definedName>
    <definedName name="IL_FINANCIAL" localSheetId="93">Underwriters!$B$19:$F$19</definedName>
    <definedName name="IL_FINANCIAL" localSheetId="94">Unison!$B$19:$F$19</definedName>
    <definedName name="IL_FINANCIAL" localSheetId="95">'United Republic'!$B$19:$F$19</definedName>
    <definedName name="IL_FINANCIAL" localSheetId="96">'Universal Health Care'!$B$19:$F$19</definedName>
    <definedName name="IL_FINANCIAL" localSheetId="97">'Universal Life'!$B$19:$F$19</definedName>
    <definedName name="IL_FINANCIAL" localSheetId="98">Universe!$B$19:$F$19</definedName>
    <definedName name="IL_FINANCIAL" localSheetId="99">Villanova!$B$19:$F$19</definedName>
    <definedName name="IN_FINANCIAL" localSheetId="0">'AF&amp;L'!$B$20:$F$20</definedName>
    <definedName name="IN_FINANCIAL" localSheetId="1">'Alabama Life'!$B$20:$F$20</definedName>
    <definedName name="IN_FINANCIAL" localSheetId="6">'Amer Life Asr'!$B$20:$F$20</definedName>
    <definedName name="IN_FINANCIAL" localSheetId="9">'Amer Std Life Acc'!$B$20:$F$20</definedName>
    <definedName name="IN_FINANCIAL" localSheetId="2">'American Chambers'!$B$20:$F$20</definedName>
    <definedName name="IN_FINANCIAL" localSheetId="3">'American Community'!$B$20:$F$20</definedName>
    <definedName name="IN_FINANCIAL" localSheetId="4">'American Educators'!$B$20:$F$20</definedName>
    <definedName name="IN_FINANCIAL" localSheetId="5">'American Integrity'!$B$20:$F$20</definedName>
    <definedName name="IN_FINANCIAL" localSheetId="7">'American Medical'!$B$20:$F$20</definedName>
    <definedName name="IN_FINANCIAL" localSheetId="8">'American Network'!$B$20:$F$20</definedName>
    <definedName name="IN_FINANCIAL" localSheetId="10">AmerWstrn!$B$20:$F$20</definedName>
    <definedName name="IN_FINANCIAL" localSheetId="11">'AMS Life'!$B$20:$F$20</definedName>
    <definedName name="IN_FINANCIAL" localSheetId="12">'Andrew Jackson'!$B$20:$F$20</definedName>
    <definedName name="IN_FINANCIAL" localSheetId="13">'Bankers Commercial'!$B$20:$F$20</definedName>
    <definedName name="IN_FINANCIAL" localSheetId="14">'Bankers Life'!$B$20:$F$20</definedName>
    <definedName name="IN_FINANCIAL" localSheetId="15">Benicorp!$B$20:$F$20</definedName>
    <definedName name="IN_FINANCIAL" localSheetId="16">'Booker T Washington'!$B$20:$F$20</definedName>
    <definedName name="IN_FINANCIAL" localSheetId="17">Centennial!$B$20:$F$20</definedName>
    <definedName name="IN_FINANCIAL" localSheetId="19">'CO Bankers'!$B$20:$F$20</definedName>
    <definedName name="IN_FINANCIAL" localSheetId="18">'Coastal States'!$B$20:$F$20</definedName>
    <definedName name="IN_FINANCIAL" localSheetId="20">'Colorado Health'!$B$20:$F$20</definedName>
    <definedName name="IN_FINANCIAL" localSheetId="21">'Compass (dbs Meritus)'!$B$20:$F$20</definedName>
    <definedName name="IN_FINANCIAL" localSheetId="22">'Confed Life &amp; Annty (CLIAC)'!$B$20:$F$20</definedName>
    <definedName name="IN_FINANCIAL" localSheetId="23">'Confed Life (CLIC)'!$B$20:$F$20</definedName>
    <definedName name="IN_FINANCIAL" localSheetId="24">'Consolidated National'!$B$20:$F$20</definedName>
    <definedName name="IN_FINANCIAL" localSheetId="25">'Consumers Choice'!$B$20:$F$20</definedName>
    <definedName name="IN_FINANCIAL" localSheetId="26">'Consumers Mutual'!$B$20:$F$20</definedName>
    <definedName name="IN_FINANCIAL" localSheetId="27">'Consumers United'!$B$20:$F$20</definedName>
    <definedName name="IN_FINANCIAL" localSheetId="28">CoOportunity!$B$20:$F$20</definedName>
    <definedName name="IN_FINANCIAL" localSheetId="29">'Coordinated Hlth'!$B$20:$F$20</definedName>
    <definedName name="IN_FINANCIAL" localSheetId="30">'Corporate Life'!$B$20:$F$20</definedName>
    <definedName name="IN_FINANCIAL" localSheetId="31">'Diamond Benefits'!$B$20:$F$20</definedName>
    <definedName name="IN_FINANCIAL" localSheetId="32">'EBL Life'!$B$20:$F$20</definedName>
    <definedName name="IN_FINANCIAL" localSheetId="34">ELNY!$B$20:$F$20</definedName>
    <definedName name="IN_FINANCIAL" localSheetId="33">'Executive Life'!$B$20:$F$20</definedName>
    <definedName name="IN_FINANCIAL" localSheetId="35">'Family Guaranty'!$B$20:$F$20</definedName>
    <definedName name="IN_FINANCIAL" localSheetId="36">'Fidelity Bankers'!$B$20:$F$20</definedName>
    <definedName name="IN_FINANCIAL" localSheetId="37">'Fidelity Mutual'!$B$20:$F$20</definedName>
    <definedName name="IN_FINANCIAL" localSheetId="38">'First Capital'!$B$20:$F$20</definedName>
    <definedName name="IN_FINANCIAL" localSheetId="39">'First Natl'!$B$20:$F$20</definedName>
    <definedName name="IN_FINANCIAL" localSheetId="40">'First Natl (Thrnr)'!$B$20:$F$20</definedName>
    <definedName name="IN_FINANCIAL" localSheetId="41">'Franklin American'!$B$20:$F$20</definedName>
    <definedName name="IN_FINANCIAL" localSheetId="42">'Franklin Protective'!$B$20:$F$20</definedName>
    <definedName name="IN_FINANCIAL" localSheetId="43">'Freelancers CO-OP'!$B$20:$F$20</definedName>
    <definedName name="IN_FINANCIAL" localSheetId="44">Freestone!$B$20:$F$20</definedName>
    <definedName name="IN_FINANCIAL" localSheetId="45">'George Washington'!$B$20:$F$20</definedName>
    <definedName name="IN_FINANCIAL" localSheetId="46">'Golden State'!$B$20:$F$20</definedName>
    <definedName name="IN_FINANCIAL" localSheetId="47">'Guarantee Security'!$B$20:$F$20</definedName>
    <definedName name="IN_FINANCIAL" localSheetId="48">HealthyCT!$B$20:$F$20</definedName>
    <definedName name="IN_FINANCIAL" localSheetId="49">Imerica!$B$20:$F$20</definedName>
    <definedName name="IN_FINANCIAL" localSheetId="50">'Inter-American'!$B$20:$F$20</definedName>
    <definedName name="IN_FINANCIAL" localSheetId="51">'International Fin'!$B$20:$F$20</definedName>
    <definedName name="IN_FINANCIAL" localSheetId="52">'Investment Life of America'!$B$20:$F$20</definedName>
    <definedName name="IN_FINANCIAL" localSheetId="53">'Investors Equity'!$B$20:$F$20</definedName>
    <definedName name="IN_FINANCIAL" localSheetId="54">'Kentucky Central'!$B$20:$F$20</definedName>
    <definedName name="IN_FINANCIAL" localSheetId="55">'Land of Lincoln'!$B$20:$F$20</definedName>
    <definedName name="IN_FINANCIAL" localSheetId="56">Legion!$B$20:$F$20</definedName>
    <definedName name="IN_FINANCIAL" localSheetId="57">'Life Health America'!$B$20:$F$20</definedName>
    <definedName name="IN_FINANCIAL" localSheetId="58">'Lincoln Memorial'!$B$20:$F$20</definedName>
    <definedName name="IN_FINANCIAL" localSheetId="59">'London Pac'!$B$20:$F$20</definedName>
    <definedName name="IN_FINANCIAL" localSheetId="60">Lumbermens!$B$20:$F$20</definedName>
    <definedName name="IN_FINANCIAL" localSheetId="61">'Medical Savings'!$B$20:$F$20</definedName>
    <definedName name="IN_FINANCIAL" localSheetId="62">'Memorial Service'!$B$20:$F$20</definedName>
    <definedName name="IN_FINANCIAL" localSheetId="63">Midcontinent!$B$20:$F$20</definedName>
    <definedName name="IN_FINANCIAL" localSheetId="64">'Midwest Life'!$B$20:$F$20</definedName>
    <definedName name="IN_FINANCIAL" localSheetId="65">'Monarch Life'!$B$20:$F$20</definedName>
    <definedName name="IN_FINANCIAL" localSheetId="66">'Mutual Benefit'!$B$20:$F$20</definedName>
    <definedName name="IN_FINANCIAL" localSheetId="67">'Mutual Security'!$B$20:$F$20</definedName>
    <definedName name="IN_FINANCIAL" localSheetId="68">'National Affiliated'!$B$20:$F$20</definedName>
    <definedName name="IN_FINANCIAL" localSheetId="70">'National Heritage'!$B$20:$F$20</definedName>
    <definedName name="IN_FINANCIAL" localSheetId="71">'National States'!$B$20:$F$20</definedName>
    <definedName name="IN_FINANCIAL" localSheetId="69">'Natl American'!$B$20:$F$20</definedName>
    <definedName name="IN_FINANCIAL" localSheetId="72">'New Jersey Life'!$B$20:$F$20</definedName>
    <definedName name="IN_FINANCIAL" localSheetId="74">NNIC!$B$20:$F$20</definedName>
    <definedName name="IN_FINANCIAL" localSheetId="73">'North Carolina Mutual'!$B$20:$F$20</definedName>
    <definedName name="IN_FINANCIAL" localSheetId="75">'Old Colony Life'!$B$20:$F$20</definedName>
    <definedName name="IN_FINANCIAL" localSheetId="76">'Old Faithful'!$B$20:$F$20</definedName>
    <definedName name="IN_FINANCIAL" localSheetId="77">'Pacific Standard'!$B$20:$F$20</definedName>
    <definedName name="IN_FINANCIAL" localSheetId="78">'Pavonia Life'!$B$20:$F$20</definedName>
    <definedName name="IN_FINANCIAL" localSheetId="79">'Pen  Treaty'!$B$20:$F$20</definedName>
    <definedName name="IN_FINANCIAL" localSheetId="80">'Red Rock'!$B$20:$F$20</definedName>
    <definedName name="IN_FINANCIAL" localSheetId="81">Reliance!$B$20:$F$20</definedName>
    <definedName name="IN_FINANCIAL" localSheetId="82">SeeChange!$B$20:$F$20</definedName>
    <definedName name="IN_FINANCIAL" localSheetId="83">'Senior American'!$B$20:$F$20</definedName>
    <definedName name="IN_FINANCIAL" localSheetId="84">Settlers!$B$20:$F$20</definedName>
    <definedName name="IN_FINANCIAL" localSheetId="85">Shenandoah!$B$20:$F$20</definedName>
    <definedName name="IN_FINANCIAL" localSheetId="86">'Southland National Life'!$B$20:$F$20</definedName>
    <definedName name="IN_FINANCIAL" localSheetId="87">'Standard Life IN'!$B$20:$F$20</definedName>
    <definedName name="IN_FINANCIAL" localSheetId="88">'States General'!$B$20:$F$20</definedName>
    <definedName name="IN_FINANCIAL" localSheetId="89">Statesman!$B$20:$F$20</definedName>
    <definedName name="IN_FINANCIAL" localSheetId="90">'Summit National'!$B$20:$F$20</definedName>
    <definedName name="IN_FINANCIAL" localSheetId="91">Supreme!$B$20:$F$20</definedName>
    <definedName name="IN_FINANCIAL" localSheetId="92">Time!$B$20:$F$20</definedName>
    <definedName name="IN_FINANCIAL" localSheetId="106">'Total Summary'!$B$20:$F$20</definedName>
    <definedName name="IN_FINANCIAL" localSheetId="93">Underwriters!$B$20:$F$20</definedName>
    <definedName name="IN_FINANCIAL" localSheetId="94">Unison!$B$20:$F$20</definedName>
    <definedName name="IN_FINANCIAL" localSheetId="95">'United Republic'!$B$20:$F$20</definedName>
    <definedName name="IN_FINANCIAL" localSheetId="96">'Universal Health Care'!$B$20:$F$20</definedName>
    <definedName name="IN_FINANCIAL" localSheetId="97">'Universal Life'!$B$20:$F$20</definedName>
    <definedName name="IN_FINANCIAL" localSheetId="98">Universe!$B$20:$F$20</definedName>
    <definedName name="IN_FINANCIAL" localSheetId="99">Villanova!$B$20:$F$20</definedName>
    <definedName name="KS_FINANCIAL" localSheetId="0">'AF&amp;L'!$B$22:$F$22</definedName>
    <definedName name="KS_FINANCIAL" localSheetId="1">'Alabama Life'!$B$22:$F$22</definedName>
    <definedName name="KS_FINANCIAL" localSheetId="6">'Amer Life Asr'!$B$22:$F$22</definedName>
    <definedName name="KS_FINANCIAL" localSheetId="9">'Amer Std Life Acc'!$B$22:$F$22</definedName>
    <definedName name="KS_FINANCIAL" localSheetId="2">'American Chambers'!$B$22:$F$22</definedName>
    <definedName name="KS_FINANCIAL" localSheetId="3">'American Community'!$B$22:$F$22</definedName>
    <definedName name="KS_FINANCIAL" localSheetId="4">'American Educators'!$B$22:$F$22</definedName>
    <definedName name="KS_FINANCIAL" localSheetId="5">'American Integrity'!$B$22:$F$22</definedName>
    <definedName name="KS_FINANCIAL" localSheetId="7">'American Medical'!$B$22:$F$22</definedName>
    <definedName name="KS_FINANCIAL" localSheetId="8">'American Network'!$B$22:$F$22</definedName>
    <definedName name="KS_FINANCIAL" localSheetId="10">AmerWstrn!$B$22:$F$22</definedName>
    <definedName name="KS_FINANCIAL" localSheetId="11">'AMS Life'!$B$22:$F$22</definedName>
    <definedName name="KS_FINANCIAL" localSheetId="12">'Andrew Jackson'!$B$22:$F$22</definedName>
    <definedName name="KS_FINANCIAL" localSheetId="13">'Bankers Commercial'!$B$22:$F$22</definedName>
    <definedName name="KS_FINANCIAL" localSheetId="14">'Bankers Life'!$B$22:$F$22</definedName>
    <definedName name="KS_FINANCIAL" localSheetId="15">Benicorp!$B$22:$F$22</definedName>
    <definedName name="KS_FINANCIAL" localSheetId="16">'Booker T Washington'!$B$22:$F$22</definedName>
    <definedName name="KS_FINANCIAL" localSheetId="17">Centennial!$B$22:$F$22</definedName>
    <definedName name="KS_FINANCIAL" localSheetId="19">'CO Bankers'!$B$22:$F$22</definedName>
    <definedName name="KS_FINANCIAL" localSheetId="18">'Coastal States'!$B$22:$F$22</definedName>
    <definedName name="KS_FINANCIAL" localSheetId="20">'Colorado Health'!$B$22:$F$22</definedName>
    <definedName name="KS_FINANCIAL" localSheetId="21">'Compass (dbs Meritus)'!$B$22:$F$22</definedName>
    <definedName name="KS_FINANCIAL" localSheetId="22">'Confed Life &amp; Annty (CLIAC)'!$B$22:$F$22</definedName>
    <definedName name="KS_FINANCIAL" localSheetId="23">'Confed Life (CLIC)'!$B$22:$F$22</definedName>
    <definedName name="KS_FINANCIAL" localSheetId="24">'Consolidated National'!$B$22:$F$22</definedName>
    <definedName name="KS_FINANCIAL" localSheetId="25">'Consumers Choice'!$B$22:$F$22</definedName>
    <definedName name="KS_FINANCIAL" localSheetId="26">'Consumers Mutual'!$B$22:$F$22</definedName>
    <definedName name="KS_FINANCIAL" localSheetId="27">'Consumers United'!$B$22:$F$22</definedName>
    <definedName name="KS_FINANCIAL" localSheetId="28">CoOportunity!$B$22:$F$22</definedName>
    <definedName name="KS_FINANCIAL" localSheetId="29">'Coordinated Hlth'!$B$22:$F$22</definedName>
    <definedName name="KS_FINANCIAL" localSheetId="30">'Corporate Life'!$B$22:$F$22</definedName>
    <definedName name="KS_FINANCIAL" localSheetId="31">'Diamond Benefits'!$B$22:$F$22</definedName>
    <definedName name="KS_FINANCIAL" localSheetId="32">'EBL Life'!$B$22:$F$22</definedName>
    <definedName name="KS_FINANCIAL" localSheetId="34">ELNY!$B$22:$F$22</definedName>
    <definedName name="KS_FINANCIAL" localSheetId="33">'Executive Life'!$B$22:$F$22</definedName>
    <definedName name="KS_FINANCIAL" localSheetId="35">'Family Guaranty'!$B$22:$F$22</definedName>
    <definedName name="KS_FINANCIAL" localSheetId="36">'Fidelity Bankers'!$B$22:$F$22</definedName>
    <definedName name="KS_FINANCIAL" localSheetId="37">'Fidelity Mutual'!$B$22:$F$22</definedName>
    <definedName name="KS_FINANCIAL" localSheetId="38">'First Capital'!$B$22:$F$22</definedName>
    <definedName name="KS_FINANCIAL" localSheetId="39">'First Natl'!$B$22:$F$22</definedName>
    <definedName name="KS_FINANCIAL" localSheetId="40">'First Natl (Thrnr)'!$B$22:$F$22</definedName>
    <definedName name="KS_FINANCIAL" localSheetId="41">'Franklin American'!$B$22:$F$22</definedName>
    <definedName name="KS_FINANCIAL" localSheetId="42">'Franklin Protective'!$B$22:$F$22</definedName>
    <definedName name="KS_FINANCIAL" localSheetId="43">'Freelancers CO-OP'!$B$22:$F$22</definedName>
    <definedName name="KS_FINANCIAL" localSheetId="44">Freestone!$B$22:$F$22</definedName>
    <definedName name="KS_FINANCIAL" localSheetId="45">'George Washington'!$B$22:$F$22</definedName>
    <definedName name="KS_FINANCIAL" localSheetId="46">'Golden State'!$B$22:$F$22</definedName>
    <definedName name="KS_FINANCIAL" localSheetId="47">'Guarantee Security'!$B$22:$F$22</definedName>
    <definedName name="KS_FINANCIAL" localSheetId="48">HealthyCT!$B$22:$F$22</definedName>
    <definedName name="KS_FINANCIAL" localSheetId="49">Imerica!$B$22:$F$22</definedName>
    <definedName name="KS_FINANCIAL" localSheetId="50">'Inter-American'!$B$22:$F$22</definedName>
    <definedName name="KS_FINANCIAL" localSheetId="51">'International Fin'!$B$22:$F$22</definedName>
    <definedName name="KS_FINANCIAL" localSheetId="52">'Investment Life of America'!$B$22:$F$22</definedName>
    <definedName name="KS_FINANCIAL" localSheetId="53">'Investors Equity'!$B$22:$F$22</definedName>
    <definedName name="KS_FINANCIAL" localSheetId="54">'Kentucky Central'!$B$22:$F$22</definedName>
    <definedName name="KS_FINANCIAL" localSheetId="55">'Land of Lincoln'!$B$22:$F$22</definedName>
    <definedName name="KS_FINANCIAL" localSheetId="56">Legion!$B$22:$F$22</definedName>
    <definedName name="KS_FINANCIAL" localSheetId="57">'Life Health America'!$B$22:$F$22</definedName>
    <definedName name="KS_FINANCIAL" localSheetId="58">'Lincoln Memorial'!$B$22:$F$22</definedName>
    <definedName name="KS_FINANCIAL" localSheetId="59">'London Pac'!$B$22:$F$22</definedName>
    <definedName name="KS_FINANCIAL" localSheetId="60">Lumbermens!$B$22:$F$22</definedName>
    <definedName name="KS_FINANCIAL" localSheetId="61">'Medical Savings'!$B$22:$F$22</definedName>
    <definedName name="KS_FINANCIAL" localSheetId="62">'Memorial Service'!$B$22:$F$22</definedName>
    <definedName name="KS_FINANCIAL" localSheetId="63">Midcontinent!$B$22:$F$22</definedName>
    <definedName name="KS_FINANCIAL" localSheetId="64">'Midwest Life'!$B$22:$F$22</definedName>
    <definedName name="KS_FINANCIAL" localSheetId="65">'Monarch Life'!$B$22:$F$22</definedName>
    <definedName name="KS_FINANCIAL" localSheetId="66">'Mutual Benefit'!$B$22:$F$22</definedName>
    <definedName name="KS_FINANCIAL" localSheetId="67">'Mutual Security'!$B$22:$F$22</definedName>
    <definedName name="KS_FINANCIAL" localSheetId="68">'National Affiliated'!$B$22:$F$22</definedName>
    <definedName name="KS_FINANCIAL" localSheetId="70">'National Heritage'!$B$22:$F$22</definedName>
    <definedName name="KS_FINANCIAL" localSheetId="71">'National States'!$B$22:$F$22</definedName>
    <definedName name="KS_FINANCIAL" localSheetId="69">'Natl American'!$B$22:$F$22</definedName>
    <definedName name="KS_FINANCIAL" localSheetId="72">'New Jersey Life'!$B$22:$F$22</definedName>
    <definedName name="KS_FINANCIAL" localSheetId="74">NNIC!$B$22:$F$22</definedName>
    <definedName name="KS_FINANCIAL" localSheetId="73">'North Carolina Mutual'!$B$22:$F$22</definedName>
    <definedName name="KS_FINANCIAL" localSheetId="75">'Old Colony Life'!$B$22:$F$22</definedName>
    <definedName name="KS_FINANCIAL" localSheetId="76">'Old Faithful'!$B$22:$F$22</definedName>
    <definedName name="KS_FINANCIAL" localSheetId="77">'Pacific Standard'!$B$22:$F$22</definedName>
    <definedName name="KS_FINANCIAL" localSheetId="78">'Pavonia Life'!$B$22:$F$22</definedName>
    <definedName name="KS_FINANCIAL" localSheetId="79">'Pen  Treaty'!$B$22:$F$22</definedName>
    <definedName name="KS_FINANCIAL" localSheetId="80">'Red Rock'!$B$22:$F$22</definedName>
    <definedName name="KS_FINANCIAL" localSheetId="81">Reliance!$B$22:$F$22</definedName>
    <definedName name="KS_FINANCIAL" localSheetId="82">SeeChange!$B$22:$F$22</definedName>
    <definedName name="KS_FINANCIAL" localSheetId="83">'Senior American'!$B$22:$F$22</definedName>
    <definedName name="KS_FINANCIAL" localSheetId="84">Settlers!$B$22:$F$22</definedName>
    <definedName name="KS_FINANCIAL" localSheetId="85">Shenandoah!$B$22:$F$22</definedName>
    <definedName name="KS_FINANCIAL" localSheetId="86">'Southland National Life'!$B$22:$F$22</definedName>
    <definedName name="KS_FINANCIAL" localSheetId="87">'Standard Life IN'!$B$22:$F$22</definedName>
    <definedName name="KS_FINANCIAL" localSheetId="88">'States General'!$B$22:$F$22</definedName>
    <definedName name="KS_FINANCIAL" localSheetId="89">Statesman!$B$22:$F$22</definedName>
    <definedName name="KS_FINANCIAL" localSheetId="90">'Summit National'!$B$22:$F$22</definedName>
    <definedName name="KS_FINANCIAL" localSheetId="91">Supreme!$B$22:$F$22</definedName>
    <definedName name="KS_FINANCIAL" localSheetId="92">Time!$B$22:$F$22</definedName>
    <definedName name="KS_FINANCIAL" localSheetId="106">'Total Summary'!$B$22:$F$22</definedName>
    <definedName name="KS_FINANCIAL" localSheetId="93">Underwriters!$B$22:$F$22</definedName>
    <definedName name="KS_FINANCIAL" localSheetId="94">Unison!$B$22:$F$22</definedName>
    <definedName name="KS_FINANCIAL" localSheetId="95">'United Republic'!$B$22:$F$22</definedName>
    <definedName name="KS_FINANCIAL" localSheetId="96">'Universal Health Care'!$B$22:$F$22</definedName>
    <definedName name="KS_FINANCIAL" localSheetId="97">'Universal Life'!$B$22:$F$22</definedName>
    <definedName name="KS_FINANCIAL" localSheetId="98">Universe!$B$22:$F$22</definedName>
    <definedName name="KS_FINANCIAL" localSheetId="99">Villanova!$B$22:$F$22</definedName>
    <definedName name="KY_FINANCIAL" localSheetId="0">'AF&amp;L'!$B$23:$F$23</definedName>
    <definedName name="KY_FINANCIAL" localSheetId="1">'Alabama Life'!$B$23:$F$23</definedName>
    <definedName name="KY_FINANCIAL" localSheetId="6">'Amer Life Asr'!$B$23:$F$23</definedName>
    <definedName name="KY_FINANCIAL" localSheetId="9">'Amer Std Life Acc'!$B$23:$F$23</definedName>
    <definedName name="KY_FINANCIAL" localSheetId="2">'American Chambers'!$B$23:$F$23</definedName>
    <definedName name="KY_FINANCIAL" localSheetId="3">'American Community'!$B$23:$F$23</definedName>
    <definedName name="KY_FINANCIAL" localSheetId="4">'American Educators'!$B$23:$F$23</definedName>
    <definedName name="KY_FINANCIAL" localSheetId="5">'American Integrity'!$B$23:$F$23</definedName>
    <definedName name="KY_FINANCIAL" localSheetId="7">'American Medical'!$B$23:$F$23</definedName>
    <definedName name="KY_FINANCIAL" localSheetId="8">'American Network'!$B$23:$F$23</definedName>
    <definedName name="KY_FINANCIAL" localSheetId="10">AmerWstrn!$B$23:$F$23</definedName>
    <definedName name="KY_FINANCIAL" localSheetId="11">'AMS Life'!$B$23:$F$23</definedName>
    <definedName name="KY_FINANCIAL" localSheetId="12">'Andrew Jackson'!$B$23:$F$23</definedName>
    <definedName name="KY_FINANCIAL" localSheetId="13">'Bankers Commercial'!$B$23:$F$23</definedName>
    <definedName name="KY_FINANCIAL" localSheetId="14">'Bankers Life'!$B$23:$F$23</definedName>
    <definedName name="KY_FINANCIAL" localSheetId="15">Benicorp!$B$23:$F$23</definedName>
    <definedName name="KY_FINANCIAL" localSheetId="16">'Booker T Washington'!$B$23:$F$23</definedName>
    <definedName name="KY_FINANCIAL" localSheetId="17">Centennial!$B$23:$F$23</definedName>
    <definedName name="KY_FINANCIAL" localSheetId="19">'CO Bankers'!$B$23:$F$23</definedName>
    <definedName name="KY_FINANCIAL" localSheetId="18">'Coastal States'!$B$23:$F$23</definedName>
    <definedName name="KY_FINANCIAL" localSheetId="20">'Colorado Health'!$B$23:$F$23</definedName>
    <definedName name="KY_FINANCIAL" localSheetId="21">'Compass (dbs Meritus)'!$B$23:$F$23</definedName>
    <definedName name="KY_FINANCIAL" localSheetId="22">'Confed Life &amp; Annty (CLIAC)'!$B$23:$F$23</definedName>
    <definedName name="KY_FINANCIAL" localSheetId="23">'Confed Life (CLIC)'!$B$23:$F$23</definedName>
    <definedName name="KY_FINANCIAL" localSheetId="24">'Consolidated National'!$B$23:$F$23</definedName>
    <definedName name="KY_FINANCIAL" localSheetId="25">'Consumers Choice'!$B$23:$F$23</definedName>
    <definedName name="KY_FINANCIAL" localSheetId="26">'Consumers Mutual'!$B$23:$F$23</definedName>
    <definedName name="KY_FINANCIAL" localSheetId="27">'Consumers United'!$B$23:$F$23</definedName>
    <definedName name="KY_FINANCIAL" localSheetId="28">CoOportunity!$B$23:$F$23</definedName>
    <definedName name="KY_FINANCIAL" localSheetId="29">'Coordinated Hlth'!$B$23:$F$23</definedName>
    <definedName name="KY_FINANCIAL" localSheetId="30">'Corporate Life'!$B$23:$F$23</definedName>
    <definedName name="KY_FINANCIAL" localSheetId="31">'Diamond Benefits'!$B$23:$F$23</definedName>
    <definedName name="KY_FINANCIAL" localSheetId="32">'EBL Life'!$B$23:$F$23</definedName>
    <definedName name="KY_FINANCIAL" localSheetId="34">ELNY!$B$23:$F$23</definedName>
    <definedName name="KY_FINANCIAL" localSheetId="33">'Executive Life'!$B$23:$F$23</definedName>
    <definedName name="KY_FINANCIAL" localSheetId="35">'Family Guaranty'!$B$23:$F$23</definedName>
    <definedName name="KY_FINANCIAL" localSheetId="36">'Fidelity Bankers'!$B$23:$F$23</definedName>
    <definedName name="KY_FINANCIAL" localSheetId="37">'Fidelity Mutual'!$B$23:$F$23</definedName>
    <definedName name="KY_FINANCIAL" localSheetId="38">'First Capital'!$B$23:$F$23</definedName>
    <definedName name="KY_FINANCIAL" localSheetId="39">'First Natl'!$B$23:$F$23</definedName>
    <definedName name="KY_FINANCIAL" localSheetId="40">'First Natl (Thrnr)'!$B$23:$F$23</definedName>
    <definedName name="KY_FINANCIAL" localSheetId="41">'Franklin American'!$B$23:$F$23</definedName>
    <definedName name="KY_FINANCIAL" localSheetId="42">'Franklin Protective'!$B$23:$F$23</definedName>
    <definedName name="KY_FINANCIAL" localSheetId="43">'Freelancers CO-OP'!$B$23:$F$23</definedName>
    <definedName name="KY_FINANCIAL" localSheetId="44">Freestone!$B$23:$F$23</definedName>
    <definedName name="KY_FINANCIAL" localSheetId="45">'George Washington'!$B$23:$F$23</definedName>
    <definedName name="KY_FINANCIAL" localSheetId="46">'Golden State'!$B$23:$F$23</definedName>
    <definedName name="KY_FINANCIAL" localSheetId="47">'Guarantee Security'!$B$23:$F$23</definedName>
    <definedName name="KY_FINANCIAL" localSheetId="48">HealthyCT!$B$23:$F$23</definedName>
    <definedName name="KY_FINANCIAL" localSheetId="49">Imerica!$B$23:$F$23</definedName>
    <definedName name="KY_FINANCIAL" localSheetId="50">'Inter-American'!$B$23:$F$23</definedName>
    <definedName name="KY_FINANCIAL" localSheetId="51">'International Fin'!$B$23:$F$23</definedName>
    <definedName name="KY_FINANCIAL" localSheetId="52">'Investment Life of America'!$B$23:$F$23</definedName>
    <definedName name="KY_FINANCIAL" localSheetId="53">'Investors Equity'!$B$23:$F$23</definedName>
    <definedName name="KY_FINANCIAL" localSheetId="54">'Kentucky Central'!$B$23:$F$23</definedName>
    <definedName name="KY_FINANCIAL" localSheetId="55">'Land of Lincoln'!$B$23:$F$23</definedName>
    <definedName name="KY_FINANCIAL" localSheetId="56">Legion!$B$23:$F$23</definedName>
    <definedName name="KY_FINANCIAL" localSheetId="57">'Life Health America'!$B$23:$F$23</definedName>
    <definedName name="KY_FINANCIAL" localSheetId="58">'Lincoln Memorial'!$B$23:$F$23</definedName>
    <definedName name="KY_FINANCIAL" localSheetId="59">'London Pac'!$B$23:$F$23</definedName>
    <definedName name="KY_FINANCIAL" localSheetId="60">Lumbermens!$B$23:$F$23</definedName>
    <definedName name="KY_FINANCIAL" localSheetId="61">'Medical Savings'!$B$23:$F$23</definedName>
    <definedName name="KY_FINANCIAL" localSheetId="62">'Memorial Service'!$B$23:$F$23</definedName>
    <definedName name="KY_FINANCIAL" localSheetId="63">Midcontinent!$B$23:$F$23</definedName>
    <definedName name="KY_FINANCIAL" localSheetId="64">'Midwest Life'!$B$23:$F$23</definedName>
    <definedName name="KY_FINANCIAL" localSheetId="65">'Monarch Life'!$B$23:$F$23</definedName>
    <definedName name="KY_FINANCIAL" localSheetId="66">'Mutual Benefit'!$B$23:$F$23</definedName>
    <definedName name="KY_FINANCIAL" localSheetId="67">'Mutual Security'!$B$23:$F$23</definedName>
    <definedName name="KY_FINANCIAL" localSheetId="68">'National Affiliated'!$B$23:$F$23</definedName>
    <definedName name="KY_FINANCIAL" localSheetId="70">'National Heritage'!$B$23:$F$23</definedName>
    <definedName name="KY_FINANCIAL" localSheetId="71">'National States'!$B$23:$F$23</definedName>
    <definedName name="KY_FINANCIAL" localSheetId="69">'Natl American'!$B$23:$F$23</definedName>
    <definedName name="KY_FINANCIAL" localSheetId="72">'New Jersey Life'!$B$23:$F$23</definedName>
    <definedName name="KY_FINANCIAL" localSheetId="74">NNIC!$B$23:$F$23</definedName>
    <definedName name="KY_FINANCIAL" localSheetId="73">'North Carolina Mutual'!$B$23:$F$23</definedName>
    <definedName name="KY_FINANCIAL" localSheetId="75">'Old Colony Life'!$B$23:$F$23</definedName>
    <definedName name="KY_FINANCIAL" localSheetId="76">'Old Faithful'!$B$23:$F$23</definedName>
    <definedName name="KY_FINANCIAL" localSheetId="77">'Pacific Standard'!$B$23:$F$23</definedName>
    <definedName name="KY_FINANCIAL" localSheetId="78">'Pavonia Life'!$B$23:$F$23</definedName>
    <definedName name="KY_FINANCIAL" localSheetId="79">'Pen  Treaty'!$B$23:$F$23</definedName>
    <definedName name="KY_FINANCIAL" localSheetId="80">'Red Rock'!$B$23:$F$23</definedName>
    <definedName name="KY_FINANCIAL" localSheetId="81">Reliance!$B$23:$F$23</definedName>
    <definedName name="KY_FINANCIAL" localSheetId="82">SeeChange!$B$23:$F$23</definedName>
    <definedName name="KY_FINANCIAL" localSheetId="83">'Senior American'!$B$23:$F$23</definedName>
    <definedName name="KY_FINANCIAL" localSheetId="84">Settlers!$B$23:$F$23</definedName>
    <definedName name="KY_FINANCIAL" localSheetId="85">Shenandoah!$B$23:$F$23</definedName>
    <definedName name="KY_FINANCIAL" localSheetId="86">'Southland National Life'!$B$23:$F$23</definedName>
    <definedName name="KY_FINANCIAL" localSheetId="87">'Standard Life IN'!$B$23:$F$23</definedName>
    <definedName name="KY_FINANCIAL" localSheetId="88">'States General'!$B$23:$F$23</definedName>
    <definedName name="KY_FINANCIAL" localSheetId="89">Statesman!$B$23:$F$23</definedName>
    <definedName name="KY_FINANCIAL" localSheetId="90">'Summit National'!$B$23:$F$23</definedName>
    <definedName name="KY_FINANCIAL" localSheetId="91">Supreme!$B$23:$F$23</definedName>
    <definedName name="KY_FINANCIAL" localSheetId="92">Time!$B$23:$F$23</definedName>
    <definedName name="KY_FINANCIAL" localSheetId="106">'Total Summary'!$B$23:$F$23</definedName>
    <definedName name="KY_FINANCIAL" localSheetId="93">Underwriters!$B$23:$F$23</definedName>
    <definedName name="KY_FINANCIAL" localSheetId="94">Unison!$B$23:$F$23</definedName>
    <definedName name="KY_FINANCIAL" localSheetId="95">'United Republic'!$B$23:$F$23</definedName>
    <definedName name="KY_FINANCIAL" localSheetId="96">'Universal Health Care'!$B$23:$F$23</definedName>
    <definedName name="KY_FINANCIAL" localSheetId="97">'Universal Life'!$B$23:$F$23</definedName>
    <definedName name="KY_FINANCIAL" localSheetId="98">Universe!$B$23:$F$23</definedName>
    <definedName name="KY_FINANCIAL" localSheetId="99">Villanova!$B$23:$F$23</definedName>
    <definedName name="LA_FINANCIAL" localSheetId="0">'AF&amp;L'!$B$24:$F$24</definedName>
    <definedName name="LA_FINANCIAL" localSheetId="1">'Alabama Life'!$B$24:$F$24</definedName>
    <definedName name="LA_FINANCIAL" localSheetId="6">'Amer Life Asr'!$B$24:$F$24</definedName>
    <definedName name="LA_FINANCIAL" localSheetId="9">'Amer Std Life Acc'!$B$24:$F$24</definedName>
    <definedName name="LA_FINANCIAL" localSheetId="2">'American Chambers'!$B$24:$F$24</definedName>
    <definedName name="LA_FINANCIAL" localSheetId="3">'American Community'!$B$24:$F$24</definedName>
    <definedName name="LA_FINANCIAL" localSheetId="4">'American Educators'!$B$24:$F$24</definedName>
    <definedName name="LA_FINANCIAL" localSheetId="5">'American Integrity'!$B$24:$F$24</definedName>
    <definedName name="LA_FINANCIAL" localSheetId="7">'American Medical'!$B$24:$F$24</definedName>
    <definedName name="LA_FINANCIAL" localSheetId="8">'American Network'!$B$24:$F$24</definedName>
    <definedName name="LA_FINANCIAL" localSheetId="10">AmerWstrn!$B$24:$F$24</definedName>
    <definedName name="LA_FINANCIAL" localSheetId="11">'AMS Life'!$B$24:$F$24</definedName>
    <definedName name="LA_FINANCIAL" localSheetId="12">'Andrew Jackson'!$B$24:$F$24</definedName>
    <definedName name="LA_FINANCIAL" localSheetId="13">'Bankers Commercial'!$B$24:$F$24</definedName>
    <definedName name="LA_FINANCIAL" localSheetId="14">'Bankers Life'!$B$24:$F$24</definedName>
    <definedName name="LA_FINANCIAL" localSheetId="15">Benicorp!$B$24:$F$24</definedName>
    <definedName name="LA_FINANCIAL" localSheetId="16">'Booker T Washington'!$B$24:$F$24</definedName>
    <definedName name="LA_FINANCIAL" localSheetId="17">Centennial!$B$24:$F$24</definedName>
    <definedName name="LA_FINANCIAL" localSheetId="19">'CO Bankers'!$B$24:$F$24</definedName>
    <definedName name="LA_FINANCIAL" localSheetId="18">'Coastal States'!$B$24:$F$24</definedName>
    <definedName name="LA_FINANCIAL" localSheetId="20">'Colorado Health'!$B$24:$F$24</definedName>
    <definedName name="LA_FINANCIAL" localSheetId="21">'Compass (dbs Meritus)'!$B$24:$F$24</definedName>
    <definedName name="LA_FINANCIAL" localSheetId="22">'Confed Life &amp; Annty (CLIAC)'!$B$24:$F$24</definedName>
    <definedName name="LA_FINANCIAL" localSheetId="23">'Confed Life (CLIC)'!$B$24:$F$24</definedName>
    <definedName name="LA_FINANCIAL" localSheetId="24">'Consolidated National'!$B$24:$F$24</definedName>
    <definedName name="LA_FINANCIAL" localSheetId="25">'Consumers Choice'!$B$24:$F$24</definedName>
    <definedName name="LA_FINANCIAL" localSheetId="26">'Consumers Mutual'!$B$24:$F$24</definedName>
    <definedName name="LA_FINANCIAL" localSheetId="27">'Consumers United'!$B$24:$F$24</definedName>
    <definedName name="LA_FINANCIAL" localSheetId="28">CoOportunity!$B$24:$F$24</definedName>
    <definedName name="LA_FINANCIAL" localSheetId="29">'Coordinated Hlth'!$B$24:$F$24</definedName>
    <definedName name="LA_FINANCIAL" localSheetId="30">'Corporate Life'!$B$24:$F$24</definedName>
    <definedName name="LA_FINANCIAL" localSheetId="31">'Diamond Benefits'!$B$24:$F$24</definedName>
    <definedName name="LA_FINANCIAL" localSheetId="32">'EBL Life'!$B$24:$F$24</definedName>
    <definedName name="LA_FINANCIAL" localSheetId="34">ELNY!$B$24:$F$24</definedName>
    <definedName name="LA_FINANCIAL" localSheetId="33">'Executive Life'!$B$24:$F$24</definedName>
    <definedName name="LA_FINANCIAL" localSheetId="35">'Family Guaranty'!$B$24:$F$24</definedName>
    <definedName name="LA_FINANCIAL" localSheetId="36">'Fidelity Bankers'!$B$24:$F$24</definedName>
    <definedName name="LA_FINANCIAL" localSheetId="37">'Fidelity Mutual'!$B$24:$F$24</definedName>
    <definedName name="LA_FINANCIAL" localSheetId="38">'First Capital'!$B$24:$F$24</definedName>
    <definedName name="LA_FINANCIAL" localSheetId="39">'First Natl'!$B$24:$F$24</definedName>
    <definedName name="LA_FINANCIAL" localSheetId="40">'First Natl (Thrnr)'!$B$24:$F$24</definedName>
    <definedName name="LA_FINANCIAL" localSheetId="41">'Franklin American'!$B$24:$F$24</definedName>
    <definedName name="LA_FINANCIAL" localSheetId="42">'Franklin Protective'!$B$24:$F$24</definedName>
    <definedName name="LA_FINANCIAL" localSheetId="43">'Freelancers CO-OP'!$B$24:$F$24</definedName>
    <definedName name="LA_FINANCIAL" localSheetId="44">Freestone!$B$24:$F$24</definedName>
    <definedName name="LA_FINANCIAL" localSheetId="45">'George Washington'!$B$24:$F$24</definedName>
    <definedName name="LA_FINANCIAL" localSheetId="46">'Golden State'!$B$24:$F$24</definedName>
    <definedName name="LA_FINANCIAL" localSheetId="47">'Guarantee Security'!$B$24:$F$24</definedName>
    <definedName name="LA_FINANCIAL" localSheetId="48">HealthyCT!$B$24:$F$24</definedName>
    <definedName name="LA_FINANCIAL" localSheetId="49">Imerica!$B$24:$F$24</definedName>
    <definedName name="LA_FINANCIAL" localSheetId="50">'Inter-American'!$B$24:$F$24</definedName>
    <definedName name="LA_FINANCIAL" localSheetId="51">'International Fin'!$B$24:$F$24</definedName>
    <definedName name="LA_FINANCIAL" localSheetId="52">'Investment Life of America'!$B$24:$F$24</definedName>
    <definedName name="LA_FINANCIAL" localSheetId="53">'Investors Equity'!$B$24:$F$24</definedName>
    <definedName name="LA_FINANCIAL" localSheetId="54">'Kentucky Central'!$B$24:$F$24</definedName>
    <definedName name="LA_FINANCIAL" localSheetId="55">'Land of Lincoln'!$B$24:$F$24</definedName>
    <definedName name="LA_FINANCIAL" localSheetId="56">Legion!$B$24:$F$24</definedName>
    <definedName name="LA_FINANCIAL" localSheetId="57">'Life Health America'!$B$24:$F$24</definedName>
    <definedName name="LA_FINANCIAL" localSheetId="58">'Lincoln Memorial'!$B$24:$F$24</definedName>
    <definedName name="LA_FINANCIAL" localSheetId="59">'London Pac'!$B$24:$F$24</definedName>
    <definedName name="LA_FINANCIAL" localSheetId="60">Lumbermens!$B$24:$F$24</definedName>
    <definedName name="LA_FINANCIAL" localSheetId="61">'Medical Savings'!$B$24:$F$24</definedName>
    <definedName name="LA_FINANCIAL" localSheetId="62">'Memorial Service'!$B$24:$F$24</definedName>
    <definedName name="LA_FINANCIAL" localSheetId="63">Midcontinent!$B$24:$F$24</definedName>
    <definedName name="LA_FINANCIAL" localSheetId="64">'Midwest Life'!$B$24:$F$24</definedName>
    <definedName name="LA_FINANCIAL" localSheetId="65">'Monarch Life'!$B$24:$F$24</definedName>
    <definedName name="LA_FINANCIAL" localSheetId="66">'Mutual Benefit'!$B$24:$F$24</definedName>
    <definedName name="LA_FINANCIAL" localSheetId="67">'Mutual Security'!$B$24:$F$24</definedName>
    <definedName name="LA_FINANCIAL" localSheetId="68">'National Affiliated'!$B$24:$F$24</definedName>
    <definedName name="LA_FINANCIAL" localSheetId="70">'National Heritage'!$B$24:$F$24</definedName>
    <definedName name="LA_FINANCIAL" localSheetId="71">'National States'!$B$24:$F$24</definedName>
    <definedName name="LA_FINANCIAL" localSheetId="69">'Natl American'!$B$24:$F$24</definedName>
    <definedName name="LA_FINANCIAL" localSheetId="72">'New Jersey Life'!$B$24:$F$24</definedName>
    <definedName name="LA_FINANCIAL" localSheetId="74">NNIC!$B$24:$F$24</definedName>
    <definedName name="LA_FINANCIAL" localSheetId="73">'North Carolina Mutual'!$B$24:$F$24</definedName>
    <definedName name="LA_FINANCIAL" localSheetId="75">'Old Colony Life'!$B$24:$F$24</definedName>
    <definedName name="LA_FINANCIAL" localSheetId="76">'Old Faithful'!$B$24:$F$24</definedName>
    <definedName name="LA_FINANCIAL" localSheetId="77">'Pacific Standard'!$B$24:$F$24</definedName>
    <definedName name="LA_FINANCIAL" localSheetId="78">'Pavonia Life'!$B$24:$F$24</definedName>
    <definedName name="LA_FINANCIAL" localSheetId="79">'Pen  Treaty'!$B$24:$F$24</definedName>
    <definedName name="LA_FINANCIAL" localSheetId="80">'Red Rock'!$B$24:$F$24</definedName>
    <definedName name="LA_FINANCIAL" localSheetId="81">Reliance!$B$24:$F$24</definedName>
    <definedName name="LA_FINANCIAL" localSheetId="82">SeeChange!$B$24:$F$24</definedName>
    <definedName name="LA_FINANCIAL" localSheetId="83">'Senior American'!$B$24:$F$24</definedName>
    <definedName name="LA_FINANCIAL" localSheetId="84">Settlers!$B$24:$F$24</definedName>
    <definedName name="LA_FINANCIAL" localSheetId="85">Shenandoah!$B$24:$F$24</definedName>
    <definedName name="LA_FINANCIAL" localSheetId="86">'Southland National Life'!$B$24:$F$24</definedName>
    <definedName name="LA_FINANCIAL" localSheetId="87">'Standard Life IN'!$B$24:$F$24</definedName>
    <definedName name="LA_FINANCIAL" localSheetId="88">'States General'!$B$24:$F$24</definedName>
    <definedName name="LA_FINANCIAL" localSheetId="89">Statesman!$B$24:$F$24</definedName>
    <definedName name="LA_FINANCIAL" localSheetId="90">'Summit National'!$B$24:$F$24</definedName>
    <definedName name="LA_FINANCIAL" localSheetId="91">Supreme!$B$24:$F$24</definedName>
    <definedName name="LA_FINANCIAL" localSheetId="92">Time!$B$24:$F$24</definedName>
    <definedName name="LA_FINANCIAL" localSheetId="106">'Total Summary'!$B$24:$F$24</definedName>
    <definedName name="LA_FINANCIAL" localSheetId="93">Underwriters!$B$24:$F$24</definedName>
    <definedName name="LA_FINANCIAL" localSheetId="94">Unison!$B$24:$F$24</definedName>
    <definedName name="LA_FINANCIAL" localSheetId="95">'United Republic'!$B$24:$F$24</definedName>
    <definedName name="LA_FINANCIAL" localSheetId="96">'Universal Health Care'!$B$24:$F$24</definedName>
    <definedName name="LA_FINANCIAL" localSheetId="97">'Universal Life'!$B$24:$F$24</definedName>
    <definedName name="LA_FINANCIAL" localSheetId="98">Universe!$B$24:$F$24</definedName>
    <definedName name="LA_FINANCIAL" localSheetId="99">Villanova!$B$24:$F$24</definedName>
    <definedName name="LESS_FINANCIAL" localSheetId="0">'AF&amp;L'!$J$19:$J$24</definedName>
    <definedName name="LESS_FINANCIAL" localSheetId="1">'Alabama Life'!$J$19:$J$24</definedName>
    <definedName name="LESS_FINANCIAL" localSheetId="6">'Amer Life Asr'!$J$19:$J$24</definedName>
    <definedName name="LESS_FINANCIAL" localSheetId="9">'Amer Std Life Acc'!$J$19:$J$24</definedName>
    <definedName name="LESS_FINANCIAL" localSheetId="2">'American Chambers'!$J$19:$J$24</definedName>
    <definedName name="LESS_FINANCIAL" localSheetId="3">'American Community'!$J$19:$J$24</definedName>
    <definedName name="LESS_FINANCIAL" localSheetId="4">'American Educators'!$J$19:$J$24</definedName>
    <definedName name="LESS_FINANCIAL" localSheetId="5">'American Integrity'!$J$19:$J$24</definedName>
    <definedName name="LESS_FINANCIAL" localSheetId="7">'American Medical'!$J$19:$J$24</definedName>
    <definedName name="LESS_FINANCIAL" localSheetId="8">'American Network'!$J$19:$J$24</definedName>
    <definedName name="LESS_FINANCIAL" localSheetId="10">AmerWstrn!$J$19:$J$24</definedName>
    <definedName name="LESS_FINANCIAL" localSheetId="11">'AMS Life'!$J$19:$J$24</definedName>
    <definedName name="LESS_FINANCIAL" localSheetId="12">'Andrew Jackson'!$J$19:$J$24</definedName>
    <definedName name="LESS_FINANCIAL" localSheetId="13">'Bankers Commercial'!$J$19:$J$24</definedName>
    <definedName name="LESS_FINANCIAL" localSheetId="14">'Bankers Life'!$J$19:$J$24</definedName>
    <definedName name="LESS_FINANCIAL" localSheetId="15">Benicorp!$J$19:$J$24</definedName>
    <definedName name="LESS_FINANCIAL" localSheetId="16">'Booker T Washington'!$J$19:$J$24</definedName>
    <definedName name="LESS_FINANCIAL" localSheetId="17">Centennial!$J$19:$J$24</definedName>
    <definedName name="LESS_FINANCIAL" localSheetId="19">'CO Bankers'!$J$19:$J$24</definedName>
    <definedName name="LESS_FINANCIAL" localSheetId="18">'Coastal States'!$J$19:$J$24</definedName>
    <definedName name="LESS_FINANCIAL" localSheetId="20">'Colorado Health'!$J$19:$J$24</definedName>
    <definedName name="LESS_FINANCIAL" localSheetId="21">'Compass (dbs Meritus)'!$J$19:$J$24</definedName>
    <definedName name="LESS_FINANCIAL" localSheetId="22">'Confed Life &amp; Annty (CLIAC)'!$J$19:$J$24</definedName>
    <definedName name="LESS_FINANCIAL" localSheetId="23">'Confed Life (CLIC)'!$J$19:$J$24</definedName>
    <definedName name="LESS_FINANCIAL" localSheetId="24">'Consolidated National'!$J$19:$J$24</definedName>
    <definedName name="LESS_FINANCIAL" localSheetId="25">'Consumers Choice'!$J$19:$J$24</definedName>
    <definedName name="LESS_FINANCIAL" localSheetId="26">'Consumers Mutual'!$J$19:$J$24</definedName>
    <definedName name="LESS_FINANCIAL" localSheetId="27">'Consumers United'!$J$19:$J$24</definedName>
    <definedName name="LESS_FINANCIAL" localSheetId="28">CoOportunity!$J$19:$J$24</definedName>
    <definedName name="LESS_FINANCIAL" localSheetId="29">'Coordinated Hlth'!$J$19:$J$24</definedName>
    <definedName name="LESS_FINANCIAL" localSheetId="30">'Corporate Life'!$J$19:$J$24</definedName>
    <definedName name="LESS_FINANCIAL" localSheetId="31">'Diamond Benefits'!$J$19:$J$24</definedName>
    <definedName name="LESS_FINANCIAL" localSheetId="32">'EBL Life'!$J$19:$J$24</definedName>
    <definedName name="LESS_FINANCIAL" localSheetId="34">ELNY!$J$19:$J$24</definedName>
    <definedName name="LESS_FINANCIAL" localSheetId="33">'Executive Life'!$J$19:$J$24</definedName>
    <definedName name="LESS_FINANCIAL" localSheetId="35">'Family Guaranty'!$J$19:$J$24</definedName>
    <definedName name="LESS_FINANCIAL" localSheetId="36">'Fidelity Bankers'!$J$19:$J$24</definedName>
    <definedName name="LESS_FINANCIAL" localSheetId="37">'Fidelity Mutual'!$J$19:$J$24</definedName>
    <definedName name="LESS_FINANCIAL" localSheetId="38">'First Capital'!$J$19:$J$24</definedName>
    <definedName name="LESS_FINANCIAL" localSheetId="39">'First Natl'!$J$19:$J$24</definedName>
    <definedName name="LESS_FINANCIAL" localSheetId="40">'First Natl (Thrnr)'!$J$19:$J$24</definedName>
    <definedName name="LESS_FINANCIAL" localSheetId="41">'Franklin American'!$J$19:$J$24</definedName>
    <definedName name="LESS_FINANCIAL" localSheetId="42">'Franklin Protective'!$J$19:$J$24</definedName>
    <definedName name="LESS_FINANCIAL" localSheetId="43">'Freelancers CO-OP'!$J$19:$J$24</definedName>
    <definedName name="LESS_FINANCIAL" localSheetId="44">Freestone!$J$19:$J$24</definedName>
    <definedName name="LESS_FINANCIAL" localSheetId="45">'George Washington'!$J$19:$J$24</definedName>
    <definedName name="LESS_FINANCIAL" localSheetId="46">'Golden State'!$J$19:$J$24</definedName>
    <definedName name="LESS_FINANCIAL" localSheetId="47">'Guarantee Security'!$J$19:$J$24</definedName>
    <definedName name="LESS_FINANCIAL" localSheetId="48">HealthyCT!$J$19:$J$24</definedName>
    <definedName name="LESS_FINANCIAL" localSheetId="49">Imerica!$J$19:$J$24</definedName>
    <definedName name="LESS_FINANCIAL" localSheetId="50">'Inter-American'!$J$19:$J$24</definedName>
    <definedName name="LESS_FINANCIAL" localSheetId="51">'International Fin'!$J$19:$J$24</definedName>
    <definedName name="LESS_FINANCIAL" localSheetId="52">'Investment Life of America'!$J$19:$J$24</definedName>
    <definedName name="LESS_FINANCIAL" localSheetId="53">'Investors Equity'!$J$19:$J$24</definedName>
    <definedName name="LESS_FINANCIAL" localSheetId="54">'Kentucky Central'!$J$19:$J$24</definedName>
    <definedName name="LESS_FINANCIAL" localSheetId="55">'Land of Lincoln'!$J$19:$J$24</definedName>
    <definedName name="LESS_FINANCIAL" localSheetId="56">Legion!$J$19:$J$24</definedName>
    <definedName name="LESS_FINANCIAL" localSheetId="57">'Life Health America'!$J$19:$J$24</definedName>
    <definedName name="LESS_FINANCIAL" localSheetId="58">'Lincoln Memorial'!$J$19:$J$24</definedName>
    <definedName name="LESS_FINANCIAL" localSheetId="59">'London Pac'!$J$19:$J$24</definedName>
    <definedName name="LESS_FINANCIAL" localSheetId="60">Lumbermens!$J$19:$J$24</definedName>
    <definedName name="LESS_FINANCIAL" localSheetId="61">'Medical Savings'!$J$19:$J$24</definedName>
    <definedName name="LESS_FINANCIAL" localSheetId="62">'Memorial Service'!$J$19:$J$24</definedName>
    <definedName name="LESS_FINANCIAL" localSheetId="63">Midcontinent!$J$19:$J$24</definedName>
    <definedName name="LESS_FINANCIAL" localSheetId="64">'Midwest Life'!$J$19:$J$24</definedName>
    <definedName name="LESS_FINANCIAL" localSheetId="65">'Monarch Life'!$J$19:$J$24</definedName>
    <definedName name="LESS_FINANCIAL" localSheetId="66">'Mutual Benefit'!$J$19:$J$24</definedName>
    <definedName name="LESS_FINANCIAL" localSheetId="67">'Mutual Security'!$J$19:$J$24</definedName>
    <definedName name="LESS_FINANCIAL" localSheetId="68">'National Affiliated'!$J$19:$J$24</definedName>
    <definedName name="LESS_FINANCIAL" localSheetId="70">'National Heritage'!$J$19:$J$24</definedName>
    <definedName name="LESS_FINANCIAL" localSheetId="71">'National States'!$J$19:$J$24</definedName>
    <definedName name="LESS_FINANCIAL" localSheetId="69">'Natl American'!$J$19:$J$24</definedName>
    <definedName name="LESS_FINANCIAL" localSheetId="72">'New Jersey Life'!$J$19:$J$24</definedName>
    <definedName name="LESS_FINANCIAL" localSheetId="74">NNIC!$J$19:$J$24</definedName>
    <definedName name="LESS_FINANCIAL" localSheetId="73">'North Carolina Mutual'!$J$19:$J$24</definedName>
    <definedName name="LESS_FINANCIAL" localSheetId="75">'Old Colony Life'!$J$19:$J$24</definedName>
    <definedName name="LESS_FINANCIAL" localSheetId="76">'Old Faithful'!$J$19:$J$24</definedName>
    <definedName name="LESS_FINANCIAL" localSheetId="77">'Pacific Standard'!$J$19:$J$24</definedName>
    <definedName name="LESS_FINANCIAL" localSheetId="78">'Pavonia Life'!$J$19:$J$24</definedName>
    <definedName name="LESS_FINANCIAL" localSheetId="79">'Pen  Treaty'!$J$19:$J$24</definedName>
    <definedName name="LESS_FINANCIAL" localSheetId="80">'Red Rock'!$J$19:$J$24</definedName>
    <definedName name="LESS_FINANCIAL" localSheetId="81">Reliance!$J$19:$J$24</definedName>
    <definedName name="LESS_FINANCIAL" localSheetId="82">SeeChange!$J$19:$J$24</definedName>
    <definedName name="LESS_FINANCIAL" localSheetId="83">'Senior American'!$J$19:$J$24</definedName>
    <definedName name="LESS_FINANCIAL" localSheetId="84">Settlers!$J$19:$J$24</definedName>
    <definedName name="LESS_FINANCIAL" localSheetId="85">Shenandoah!$J$19:$J$24</definedName>
    <definedName name="LESS_FINANCIAL" localSheetId="86">'Southland National Life'!$J$19:$J$24</definedName>
    <definedName name="LESS_FINANCIAL" localSheetId="87">'Standard Life IN'!$J$19:$J$24</definedName>
    <definedName name="LESS_FINANCIAL" localSheetId="88">'States General'!$J$19:$J$24</definedName>
    <definedName name="LESS_FINANCIAL" localSheetId="89">Statesman!$J$19:$J$24</definedName>
    <definedName name="LESS_FINANCIAL" localSheetId="90">'Summit National'!$J$19:$J$24</definedName>
    <definedName name="LESS_FINANCIAL" localSheetId="91">Supreme!$J$19:$J$24</definedName>
    <definedName name="LESS_FINANCIAL" localSheetId="92">Time!$J$19:$J$24</definedName>
    <definedName name="LESS_FINANCIAL" localSheetId="93">Underwriters!$J$19:$J$24</definedName>
    <definedName name="LESS_FINANCIAL" localSheetId="94">Unison!$J$19:$J$24</definedName>
    <definedName name="LESS_FINANCIAL" localSheetId="95">'United Republic'!$J$19:$J$24</definedName>
    <definedName name="LESS_FINANCIAL" localSheetId="96">'Universal Health Care'!$J$19:$J$24</definedName>
    <definedName name="LESS_FINANCIAL" localSheetId="97">'Universal Life'!$J$19:$J$24</definedName>
    <definedName name="LESS_FINANCIAL" localSheetId="98">Universe!$J$19:$J$24</definedName>
    <definedName name="LESS_FINANCIAL" localSheetId="99">Villanova!$J$19:$J$24</definedName>
    <definedName name="LIFE" localSheetId="0">'AF&amp;L'!$B$6:$B$59</definedName>
    <definedName name="LIFE" localSheetId="1">'Alabama Life'!$B$6:$B$59</definedName>
    <definedName name="LIFE" localSheetId="6">'Amer Life Asr'!$B$6:$B$59</definedName>
    <definedName name="LIFE" localSheetId="9">'Amer Std Life Acc'!$B$6:$B$59</definedName>
    <definedName name="LIFE" localSheetId="2">'American Chambers'!$B$6:$B$59</definedName>
    <definedName name="LIFE" localSheetId="3">'American Community'!$B$6:$B$59</definedName>
    <definedName name="LIFE" localSheetId="4">'American Educators'!$B$6:$B$59</definedName>
    <definedName name="LIFE" localSheetId="5">'American Integrity'!$B$6:$B$59</definedName>
    <definedName name="LIFE" localSheetId="7">'American Medical'!$B$6:$B$59</definedName>
    <definedName name="LIFE" localSheetId="8">'American Network'!$B$6:$B$59</definedName>
    <definedName name="LIFE" localSheetId="10">AmerWstrn!$B$6:$B$59</definedName>
    <definedName name="LIFE" localSheetId="11">'AMS Life'!$B$6:$B$59</definedName>
    <definedName name="LIFE" localSheetId="12">'Andrew Jackson'!$B$6:$B$59</definedName>
    <definedName name="LIFE" localSheetId="13">'Bankers Commercial'!$B$6:$B$59</definedName>
    <definedName name="LIFE" localSheetId="14">'Bankers Life'!$B$6:$B$59</definedName>
    <definedName name="LIFE" localSheetId="15">Benicorp!$B$6:$B$59</definedName>
    <definedName name="LIFE" localSheetId="16">'Booker T Washington'!$B$6:$B$59</definedName>
    <definedName name="LIFE" localSheetId="17">Centennial!$B$6:$B$59</definedName>
    <definedName name="LIFE" localSheetId="103">'Closed Summary'!$B$6:$B$58</definedName>
    <definedName name="LIFE" localSheetId="19">'CO Bankers'!$B$6:$B$59</definedName>
    <definedName name="LIFE" localSheetId="18">'Coastal States'!$B$6:$B$59</definedName>
    <definedName name="LIFE" localSheetId="20">'Colorado Health'!$B$6:$B$59</definedName>
    <definedName name="LIFE" localSheetId="21">'Compass (dbs Meritus)'!$B$6:$B$59</definedName>
    <definedName name="LIFE" localSheetId="22">'Confed Life &amp; Annty (CLIAC)'!$B$6:$B$59</definedName>
    <definedName name="LIFE" localSheetId="23">'Confed Life (CLIC)'!$B$6:$B$59</definedName>
    <definedName name="LIFE" localSheetId="24">'Consolidated National'!$B$6:$B$59</definedName>
    <definedName name="LIFE" localSheetId="25">'Consumers Choice'!$B$6:$B$59</definedName>
    <definedName name="LIFE" localSheetId="26">'Consumers Mutual'!$B$6:$B$59</definedName>
    <definedName name="LIFE" localSheetId="27">'Consumers United'!$B$6:$B$59</definedName>
    <definedName name="LIFE" localSheetId="28">CoOportunity!$B$6:$B$59</definedName>
    <definedName name="LIFE" localSheetId="29">'Coordinated Hlth'!$B$6:$B$59</definedName>
    <definedName name="LIFE" localSheetId="30">'Corporate Life'!$B$6:$B$59</definedName>
    <definedName name="LIFE" localSheetId="31">'Diamond Benefits'!$B$6:$B$59</definedName>
    <definedName name="LIFE" localSheetId="32">'EBL Life'!$B$6:$B$59</definedName>
    <definedName name="LIFE" localSheetId="34">ELNY!$B$6:$B$59</definedName>
    <definedName name="LIFE" localSheetId="104">'Estate Closed Summary'!$B$6:$B$58</definedName>
    <definedName name="LIFE" localSheetId="33">'Executive Life'!$B$6:$B$59</definedName>
    <definedName name="LIFE" localSheetId="35">'Family Guaranty'!$B$6:$B$59</definedName>
    <definedName name="LIFE" localSheetId="36">'Fidelity Bankers'!$B$6:$B$59</definedName>
    <definedName name="LIFE" localSheetId="37">'Fidelity Mutual'!$B$6:$B$59</definedName>
    <definedName name="LIFE" localSheetId="38">'First Capital'!$B$6:$B$59</definedName>
    <definedName name="LIFE" localSheetId="39">'First Natl'!$B$6:$B$59</definedName>
    <definedName name="LIFE" localSheetId="40">'First Natl (Thrnr)'!$B$6:$B$59</definedName>
    <definedName name="LIFE" localSheetId="41">'Franklin American'!$B$6:$B$59</definedName>
    <definedName name="LIFE" localSheetId="42">'Franklin Protective'!$B$6:$B$59</definedName>
    <definedName name="LIFE" localSheetId="43">'Freelancers CO-OP'!$B$6:$B$59</definedName>
    <definedName name="LIFE" localSheetId="44">Freestone!$B$6:$B$59</definedName>
    <definedName name="LIFE" localSheetId="45">'George Washington'!$B$6:$B$59</definedName>
    <definedName name="LIFE" localSheetId="46">'Golden State'!$B$6:$B$59</definedName>
    <definedName name="LIFE" localSheetId="47">'Guarantee Security'!$B$6:$B$59</definedName>
    <definedName name="LIFE" localSheetId="48">HealthyCT!$B$6:$B$59</definedName>
    <definedName name="LIFE" localSheetId="49">Imerica!$B$6:$B$59</definedName>
    <definedName name="LIFE" localSheetId="50">'Inter-American'!$B$6:$B$59</definedName>
    <definedName name="LIFE" localSheetId="51">'International Fin'!$B$6:$B$59</definedName>
    <definedName name="LIFE" localSheetId="52">'Investment Life of America'!$B$6:$B$59</definedName>
    <definedName name="LIFE" localSheetId="53">'Investors Equity'!$B$6:$B$59</definedName>
    <definedName name="LIFE" localSheetId="54">'Kentucky Central'!$B$6:$B$59</definedName>
    <definedName name="LIFE" localSheetId="55">'Land of Lincoln'!$B$6:$B$59</definedName>
    <definedName name="LIFE" localSheetId="56">Legion!$B$6:$B$59</definedName>
    <definedName name="LIFE" localSheetId="57">'Life Health America'!$B$6:$B$59</definedName>
    <definedName name="LIFE" localSheetId="58">'Lincoln Memorial'!$B$6:$B$59</definedName>
    <definedName name="LIFE" localSheetId="59">'London Pac'!$B$6:$B$59</definedName>
    <definedName name="LIFE" localSheetId="60">Lumbermens!$B$6:$B$59</definedName>
    <definedName name="LIFE" localSheetId="61">'Medical Savings'!$B$6:$B$59</definedName>
    <definedName name="LIFE" localSheetId="62">'Memorial Service'!$B$6:$B$59</definedName>
    <definedName name="LIFE" localSheetId="63">Midcontinent!$B$6:$B$59</definedName>
    <definedName name="LIFE" localSheetId="64">'Midwest Life'!$B$6:$B$59</definedName>
    <definedName name="LIFE" localSheetId="65">'Monarch Life'!$B$6:$B$59</definedName>
    <definedName name="LIFE" localSheetId="66">'Mutual Benefit'!$B$6:$B$59</definedName>
    <definedName name="LIFE" localSheetId="67">'Mutual Security'!$B$6:$B$59</definedName>
    <definedName name="LIFE" localSheetId="68">'National Affiliated'!$B$6:$B$59</definedName>
    <definedName name="LIFE" localSheetId="70">'National Heritage'!$B$6:$B$59</definedName>
    <definedName name="LIFE" localSheetId="71">'National States'!$B$6:$B$59</definedName>
    <definedName name="LIFE" localSheetId="69">'Natl American'!$B$6:$B$59</definedName>
    <definedName name="LIFE" localSheetId="72">'New Jersey Life'!$B$6:$B$59</definedName>
    <definedName name="LIFE" localSheetId="74">NNIC!$B$6:$B$59</definedName>
    <definedName name="LIFE" localSheetId="73">'North Carolina Mutual'!$B$6:$B$59</definedName>
    <definedName name="LIFE" localSheetId="75">'Old Colony Life'!$B$6:$B$59</definedName>
    <definedName name="LIFE" localSheetId="76">'Old Faithful'!$B$6:$B$59</definedName>
    <definedName name="LIFE" localSheetId="102">'Open Summary'!$B$6:$B$58</definedName>
    <definedName name="LIFE" localSheetId="77">'Pacific Standard'!$B$6:$B$59</definedName>
    <definedName name="LIFE" localSheetId="78">'Pavonia Life'!$B$6:$B$59</definedName>
    <definedName name="LIFE" localSheetId="79">'Pen  Treaty'!$B$6:$B$59</definedName>
    <definedName name="LIFE" localSheetId="101">'Pre-Liquidation Summary'!$B$6:$B$58</definedName>
    <definedName name="LIFE" localSheetId="80">'Red Rock'!$B$6:$B$59</definedName>
    <definedName name="LIFE" localSheetId="105">'Released from Oversight Summary'!$B$6:$B$58</definedName>
    <definedName name="LIFE" localSheetId="81">Reliance!$B$6:$B$59</definedName>
    <definedName name="LIFE" localSheetId="82">SeeChange!$B$6:$B$59</definedName>
    <definedName name="LIFE" localSheetId="83">'Senior American'!$B$6:$B$59</definedName>
    <definedName name="LIFE" localSheetId="84">Settlers!$B$6:$B$59</definedName>
    <definedName name="LIFE" localSheetId="85">Shenandoah!$B$6:$B$59</definedName>
    <definedName name="LIFE" localSheetId="86">'Southland National Life'!$B$6:$B$59</definedName>
    <definedName name="LIFE" localSheetId="87">'Standard Life IN'!$B$6:$B$59</definedName>
    <definedName name="LIFE" localSheetId="88">'States General'!$B$6:$B$59</definedName>
    <definedName name="LIFE" localSheetId="89">Statesman!$B$6:$B$59</definedName>
    <definedName name="LIFE" localSheetId="90">'Summit National'!$B$6:$B$59</definedName>
    <definedName name="LIFE" localSheetId="91">Supreme!$B$6:$B$59</definedName>
    <definedName name="LIFE" localSheetId="92">Time!$B$6:$B$59</definedName>
    <definedName name="LIFE" localSheetId="106">'Total Summary'!$B$6:$B$59</definedName>
    <definedName name="LIFE" localSheetId="93">Underwriters!$B$6:$B$59</definedName>
    <definedName name="LIFE" localSheetId="94">Unison!$B$6:$B$59</definedName>
    <definedName name="LIFE" localSheetId="95">'United Republic'!$B$6:$B$59</definedName>
    <definedName name="LIFE" localSheetId="96">'Universal Health Care'!$B$6:$B$59</definedName>
    <definedName name="LIFE" localSheetId="97">'Universal Life'!$B$6:$B$59</definedName>
    <definedName name="LIFE" localSheetId="98">Universe!$B$6:$B$59</definedName>
    <definedName name="LIFE" localSheetId="99">Villanova!$B$6:$B$59</definedName>
    <definedName name="LIFE_CALLED" localSheetId="0">'AF&amp;L'!$L$6:$L$58</definedName>
    <definedName name="LIFE_CALLED" localSheetId="1">'Alabama Life'!$L$6:$L$58</definedName>
    <definedName name="LIFE_CALLED" localSheetId="6">'Amer Life Asr'!$L$6:$L$58</definedName>
    <definedName name="LIFE_CALLED" localSheetId="9">'Amer Std Life Acc'!$L$6:$L$58</definedName>
    <definedName name="LIFE_CALLED" localSheetId="2">'American Chambers'!$L$6:$L$58</definedName>
    <definedName name="LIFE_CALLED" localSheetId="3">'American Community'!$L$6:$L$58</definedName>
    <definedName name="LIFE_CALLED" localSheetId="4">'American Educators'!$L$6:$L$58</definedName>
    <definedName name="LIFE_CALLED" localSheetId="5">'American Integrity'!$L$6:$L$58</definedName>
    <definedName name="LIFE_CALLED" localSheetId="7">'American Medical'!$L$6:$L$58</definedName>
    <definedName name="LIFE_CALLED" localSheetId="8">'American Network'!$L$6:$L$58</definedName>
    <definedName name="LIFE_CALLED" localSheetId="10">AmerWstrn!$L$6:$L$58</definedName>
    <definedName name="LIFE_CALLED" localSheetId="11">'AMS Life'!$L$6:$L$58</definedName>
    <definedName name="LIFE_CALLED" localSheetId="12">'Andrew Jackson'!$L$6:$L$58</definedName>
    <definedName name="LIFE_CALLED" localSheetId="13">'Bankers Commercial'!$L$6:$L$58</definedName>
    <definedName name="LIFE_CALLED" localSheetId="14">'Bankers Life'!$L$6:$L$58</definedName>
    <definedName name="LIFE_CALLED" localSheetId="15">Benicorp!$L$6:$L$58</definedName>
    <definedName name="LIFE_CALLED" localSheetId="16">'Booker T Washington'!$L$6:$L$58</definedName>
    <definedName name="LIFE_CALLED" localSheetId="17">Centennial!$L$6:$L$58</definedName>
    <definedName name="LIFE_CALLED" localSheetId="19">'CO Bankers'!$L$6:$L$58</definedName>
    <definedName name="LIFE_CALLED" localSheetId="18">'Coastal States'!$L$6:$L$58</definedName>
    <definedName name="LIFE_CALLED" localSheetId="20">'Colorado Health'!$L$6:$L$58</definedName>
    <definedName name="LIFE_CALLED" localSheetId="21">'Compass (dbs Meritus)'!$L$6:$L$58</definedName>
    <definedName name="LIFE_CALLED" localSheetId="22">'Confed Life &amp; Annty (CLIAC)'!$L$6:$L$58</definedName>
    <definedName name="LIFE_CALLED" localSheetId="23">'Confed Life (CLIC)'!$L$6:$L$58</definedName>
    <definedName name="LIFE_CALLED" localSheetId="24">'Consolidated National'!$L$6:$L$58</definedName>
    <definedName name="LIFE_CALLED" localSheetId="25">'Consumers Choice'!$L$6:$L$58</definedName>
    <definedName name="LIFE_CALLED" localSheetId="26">'Consumers Mutual'!$L$6:$L$58</definedName>
    <definedName name="LIFE_CALLED" localSheetId="27">'Consumers United'!$L$6:$L$58</definedName>
    <definedName name="LIFE_CALLED" localSheetId="28">CoOportunity!$L$6:$L$58</definedName>
    <definedName name="LIFE_CALLED" localSheetId="29">'Coordinated Hlth'!$L$6:$L$58</definedName>
    <definedName name="LIFE_CALLED" localSheetId="30">'Corporate Life'!$L$6:$L$58</definedName>
    <definedName name="LIFE_CALLED" localSheetId="31">'Diamond Benefits'!$L$6:$L$58</definedName>
    <definedName name="LIFE_CALLED" localSheetId="32">'EBL Life'!$L$6:$L$58</definedName>
    <definedName name="LIFE_CALLED" localSheetId="34">ELNY!$L$6:$L$58</definedName>
    <definedName name="LIFE_CALLED" localSheetId="33">'Executive Life'!$L$6:$L$58</definedName>
    <definedName name="LIFE_CALLED" localSheetId="35">'Family Guaranty'!$L$6:$L$58</definedName>
    <definedName name="LIFE_CALLED" localSheetId="36">'Fidelity Bankers'!$L$6:$L$58</definedName>
    <definedName name="LIFE_CALLED" localSheetId="37">'Fidelity Mutual'!$L$6:$L$58</definedName>
    <definedName name="LIFE_CALLED" localSheetId="38">'First Capital'!$L$6:$L$58</definedName>
    <definedName name="LIFE_CALLED" localSheetId="39">'First Natl'!$L$6:$L$58</definedName>
    <definedName name="LIFE_CALLED" localSheetId="40">'First Natl (Thrnr)'!$L$6:$L$58</definedName>
    <definedName name="LIFE_CALLED" localSheetId="41">'Franklin American'!$L$6:$L$58</definedName>
    <definedName name="LIFE_CALLED" localSheetId="42">'Franklin Protective'!$L$6:$L$58</definedName>
    <definedName name="LIFE_CALLED" localSheetId="43">'Freelancers CO-OP'!$L$6:$L$58</definedName>
    <definedName name="LIFE_CALLED" localSheetId="44">Freestone!$L$6:$L$58</definedName>
    <definedName name="LIFE_CALLED" localSheetId="45">'George Washington'!$L$6:$L$58</definedName>
    <definedName name="LIFE_CALLED" localSheetId="46">'Golden State'!$L$6:$L$58</definedName>
    <definedName name="LIFE_CALLED" localSheetId="47">'Guarantee Security'!$L$6:$L$58</definedName>
    <definedName name="LIFE_CALLED" localSheetId="48">HealthyCT!$L$6:$L$58</definedName>
    <definedName name="LIFE_CALLED" localSheetId="49">Imerica!$L$6:$L$58</definedName>
    <definedName name="LIFE_CALLED" localSheetId="50">'Inter-American'!$L$6:$L$58</definedName>
    <definedName name="LIFE_CALLED" localSheetId="51">'International Fin'!$L$6:$L$58</definedName>
    <definedName name="LIFE_CALLED" localSheetId="52">'Investment Life of America'!$L$6:$L$58</definedName>
    <definedName name="LIFE_CALLED" localSheetId="53">'Investors Equity'!$L$6:$L$58</definedName>
    <definedName name="LIFE_CALLED" localSheetId="54">'Kentucky Central'!$L$6:$L$58</definedName>
    <definedName name="LIFE_CALLED" localSheetId="55">'Land of Lincoln'!$L$6:$L$58</definedName>
    <definedName name="LIFE_CALLED" localSheetId="56">Legion!$L$6:$L$58</definedName>
    <definedName name="LIFE_CALLED" localSheetId="57">'Life Health America'!$L$6:$L$58</definedName>
    <definedName name="LIFE_CALLED" localSheetId="58">'Lincoln Memorial'!$L$6:$L$58</definedName>
    <definedName name="LIFE_CALLED" localSheetId="59">'London Pac'!$L$6:$L$58</definedName>
    <definedName name="LIFE_CALLED" localSheetId="60">Lumbermens!$L$6:$L$58</definedName>
    <definedName name="LIFE_CALLED" localSheetId="61">'Medical Savings'!$L$6:$L$58</definedName>
    <definedName name="LIFE_CALLED" localSheetId="62">'Memorial Service'!$L$6:$L$58</definedName>
    <definedName name="LIFE_CALLED" localSheetId="63">Midcontinent!$L$6:$L$58</definedName>
    <definedName name="LIFE_CALLED" localSheetId="64">'Midwest Life'!$L$6:$L$58</definedName>
    <definedName name="LIFE_CALLED" localSheetId="65">'Monarch Life'!$L$6:$L$58</definedName>
    <definedName name="LIFE_CALLED" localSheetId="66">'Mutual Benefit'!$L$6:$L$58</definedName>
    <definedName name="LIFE_CALLED" localSheetId="67">'Mutual Security'!$L$6:$L$58</definedName>
    <definedName name="LIFE_CALLED" localSheetId="68">'National Affiliated'!$L$6:$L$58</definedName>
    <definedName name="LIFE_CALLED" localSheetId="70">'National Heritage'!$L$6:$L$58</definedName>
    <definedName name="LIFE_CALLED" localSheetId="71">'National States'!$L$6:$L$58</definedName>
    <definedName name="LIFE_CALLED" localSheetId="69">'Natl American'!$L$6:$L$58</definedName>
    <definedName name="LIFE_CALLED" localSheetId="72">'New Jersey Life'!$L$6:$L$58</definedName>
    <definedName name="LIFE_CALLED" localSheetId="74">NNIC!$L$6:$L$58</definedName>
    <definedName name="LIFE_CALLED" localSheetId="73">'North Carolina Mutual'!$L$6:$L$58</definedName>
    <definedName name="LIFE_CALLED" localSheetId="75">'Old Colony Life'!$L$6:$L$58</definedName>
    <definedName name="LIFE_CALLED" localSheetId="76">'Old Faithful'!$L$6:$L$58</definedName>
    <definedName name="LIFE_CALLED" localSheetId="77">'Pacific Standard'!$L$6:$L$58</definedName>
    <definedName name="LIFE_CALLED" localSheetId="78">'Pavonia Life'!$L$6:$L$58</definedName>
    <definedName name="LIFE_CALLED" localSheetId="79">'Pen  Treaty'!$L$6:$L$58</definedName>
    <definedName name="LIFE_CALLED" localSheetId="80">'Red Rock'!$L$6:$L$58</definedName>
    <definedName name="LIFE_CALLED" localSheetId="81">Reliance!$L$6:$L$58</definedName>
    <definedName name="LIFE_CALLED" localSheetId="82">SeeChange!$L$6:$L$58</definedName>
    <definedName name="LIFE_CALLED" localSheetId="83">'Senior American'!$L$6:$L$58</definedName>
    <definedName name="LIFE_CALLED" localSheetId="84">Settlers!$L$6:$L$58</definedName>
    <definedName name="LIFE_CALLED" localSheetId="85">Shenandoah!$L$6:$L$58</definedName>
    <definedName name="LIFE_CALLED" localSheetId="86">'Southland National Life'!$L$6:$L$58</definedName>
    <definedName name="LIFE_CALLED" localSheetId="87">'Standard Life IN'!$L$6:$L$58</definedName>
    <definedName name="LIFE_CALLED" localSheetId="88">'States General'!$L$6:$L$58</definedName>
    <definedName name="LIFE_CALLED" localSheetId="89">Statesman!$L$6:$L$58</definedName>
    <definedName name="LIFE_CALLED" localSheetId="90">'Summit National'!$L$6:$L$58</definedName>
    <definedName name="LIFE_CALLED" localSheetId="91">Supreme!$L$6:$L$58</definedName>
    <definedName name="LIFE_CALLED" localSheetId="92">Time!$L$6:$L$58</definedName>
    <definedName name="LIFE_CALLED" localSheetId="106">'Total Summary'!$I$6:$I$59</definedName>
    <definedName name="LIFE_CALLED" localSheetId="93">Underwriters!$L$6:$L$58</definedName>
    <definedName name="LIFE_CALLED" localSheetId="94">Unison!$L$6:$L$58</definedName>
    <definedName name="LIFE_CALLED" localSheetId="95">'United Republic'!$L$6:$L$58</definedName>
    <definedName name="LIFE_CALLED" localSheetId="96">'Universal Health Care'!$L$6:$L$58</definedName>
    <definedName name="LIFE_CALLED" localSheetId="97">'Universal Life'!$L$6:$L$58</definedName>
    <definedName name="LIFE_CALLED" localSheetId="98">Universe!$L$6:$L$58</definedName>
    <definedName name="LIFE_CALLED" localSheetId="99">Villanova!$L$6:$L$58</definedName>
    <definedName name="LIFE_REFUNDED" localSheetId="0">'AF&amp;L'!$M$6:$M$58</definedName>
    <definedName name="LIFE_REFUNDED" localSheetId="1">'Alabama Life'!$M$6:$M$58</definedName>
    <definedName name="LIFE_REFUNDED" localSheetId="6">'Amer Life Asr'!$M$6:$M$58</definedName>
    <definedName name="LIFE_REFUNDED" localSheetId="9">'Amer Std Life Acc'!$M$6:$M$58</definedName>
    <definedName name="LIFE_REFUNDED" localSheetId="2">'American Chambers'!$M$6:$M$58</definedName>
    <definedName name="LIFE_REFUNDED" localSheetId="3">'American Community'!$M$6:$M$58</definedName>
    <definedName name="LIFE_REFUNDED" localSheetId="4">'American Educators'!$M$6:$M$58</definedName>
    <definedName name="LIFE_REFUNDED" localSheetId="5">'American Integrity'!$M$6:$M$58</definedName>
    <definedName name="LIFE_REFUNDED" localSheetId="7">'American Medical'!$M$6:$M$58</definedName>
    <definedName name="LIFE_REFUNDED" localSheetId="8">'American Network'!$M$6:$M$58</definedName>
    <definedName name="LIFE_REFUNDED" localSheetId="10">AmerWstrn!$M$6:$M$58</definedName>
    <definedName name="LIFE_REFUNDED" localSheetId="11">'AMS Life'!$M$6:$M$58</definedName>
    <definedName name="LIFE_REFUNDED" localSheetId="12">'Andrew Jackson'!$M$6:$M$58</definedName>
    <definedName name="LIFE_REFUNDED" localSheetId="13">'Bankers Commercial'!$M$6:$M$58</definedName>
    <definedName name="LIFE_REFUNDED" localSheetId="14">'Bankers Life'!$M$6:$M$58</definedName>
    <definedName name="LIFE_REFUNDED" localSheetId="15">Benicorp!$M$6:$M$58</definedName>
    <definedName name="LIFE_REFUNDED" localSheetId="16">'Booker T Washington'!$M$6:$M$58</definedName>
    <definedName name="LIFE_REFUNDED" localSheetId="17">Centennial!$M$6:$M$58</definedName>
    <definedName name="LIFE_REFUNDED" localSheetId="19">'CO Bankers'!$M$6:$M$58</definedName>
    <definedName name="LIFE_REFUNDED" localSheetId="18">'Coastal States'!$M$6:$M$58</definedName>
    <definedName name="LIFE_REFUNDED" localSheetId="20">'Colorado Health'!$M$6:$M$58</definedName>
    <definedName name="LIFE_REFUNDED" localSheetId="21">'Compass (dbs Meritus)'!$M$6:$M$58</definedName>
    <definedName name="LIFE_REFUNDED" localSheetId="22">'Confed Life &amp; Annty (CLIAC)'!$M$6:$M$58</definedName>
    <definedName name="LIFE_REFUNDED" localSheetId="23">'Confed Life (CLIC)'!$M$6:$M$58</definedName>
    <definedName name="LIFE_REFUNDED" localSheetId="24">'Consolidated National'!$M$6:$M$58</definedName>
    <definedName name="LIFE_REFUNDED" localSheetId="25">'Consumers Choice'!$M$6:$M$58</definedName>
    <definedName name="LIFE_REFUNDED" localSheetId="26">'Consumers Mutual'!$M$6:$M$58</definedName>
    <definedName name="LIFE_REFUNDED" localSheetId="27">'Consumers United'!$M$6:$M$58</definedName>
    <definedName name="LIFE_REFUNDED" localSheetId="28">CoOportunity!$M$6:$M$58</definedName>
    <definedName name="LIFE_REFUNDED" localSheetId="29">'Coordinated Hlth'!$M$6:$M$58</definedName>
    <definedName name="LIFE_REFUNDED" localSheetId="30">'Corporate Life'!$M$6:$M$58</definedName>
    <definedName name="LIFE_REFUNDED" localSheetId="31">'Diamond Benefits'!$M$6:$M$58</definedName>
    <definedName name="LIFE_REFUNDED" localSheetId="32">'EBL Life'!$M$6:$M$58</definedName>
    <definedName name="LIFE_REFUNDED" localSheetId="34">ELNY!$M$6:$M$58</definedName>
    <definedName name="LIFE_REFUNDED" localSheetId="33">'Executive Life'!$M$6:$M$58</definedName>
    <definedName name="LIFE_REFUNDED" localSheetId="35">'Family Guaranty'!$M$6:$M$58</definedName>
    <definedName name="LIFE_REFUNDED" localSheetId="36">'Fidelity Bankers'!$M$6:$M$58</definedName>
    <definedName name="LIFE_REFUNDED" localSheetId="37">'Fidelity Mutual'!$M$6:$M$58</definedName>
    <definedName name="LIFE_REFUNDED" localSheetId="38">'First Capital'!$M$6:$M$58</definedName>
    <definedName name="LIFE_REFUNDED" localSheetId="39">'First Natl'!$M$6:$M$58</definedName>
    <definedName name="LIFE_REFUNDED" localSheetId="40">'First Natl (Thrnr)'!$M$6:$M$58</definedName>
    <definedName name="LIFE_REFUNDED" localSheetId="41">'Franklin American'!$M$6:$M$58</definedName>
    <definedName name="LIFE_REFUNDED" localSheetId="42">'Franklin Protective'!$M$6:$M$58</definedName>
    <definedName name="LIFE_REFUNDED" localSheetId="43">'Freelancers CO-OP'!$M$6:$M$58</definedName>
    <definedName name="LIFE_REFUNDED" localSheetId="44">Freestone!$M$6:$M$58</definedName>
    <definedName name="LIFE_REFUNDED" localSheetId="45">'George Washington'!$M$6:$M$58</definedName>
    <definedName name="LIFE_REFUNDED" localSheetId="46">'Golden State'!$M$6:$M$58</definedName>
    <definedName name="LIFE_REFUNDED" localSheetId="47">'Guarantee Security'!$M$6:$M$58</definedName>
    <definedName name="LIFE_REFUNDED" localSheetId="48">HealthyCT!$M$6:$M$58</definedName>
    <definedName name="LIFE_REFUNDED" localSheetId="49">Imerica!$M$6:$M$58</definedName>
    <definedName name="LIFE_REFUNDED" localSheetId="50">'Inter-American'!$M$6:$M$58</definedName>
    <definedName name="LIFE_REFUNDED" localSheetId="51">'International Fin'!$M$6:$M$58</definedName>
    <definedName name="LIFE_REFUNDED" localSheetId="52">'Investment Life of America'!$M$6:$M$58</definedName>
    <definedName name="LIFE_REFUNDED" localSheetId="53">'Investors Equity'!$M$6:$M$58</definedName>
    <definedName name="LIFE_REFUNDED" localSheetId="54">'Kentucky Central'!$M$6:$M$58</definedName>
    <definedName name="LIFE_REFUNDED" localSheetId="55">'Land of Lincoln'!$M$6:$M$58</definedName>
    <definedName name="LIFE_REFUNDED" localSheetId="56">Legion!$M$6:$M$58</definedName>
    <definedName name="LIFE_REFUNDED" localSheetId="57">'Life Health America'!$M$6:$M$58</definedName>
    <definedName name="LIFE_REFUNDED" localSheetId="58">'Lincoln Memorial'!$M$6:$M$58</definedName>
    <definedName name="LIFE_REFUNDED" localSheetId="59">'London Pac'!$M$6:$M$58</definedName>
    <definedName name="LIFE_REFUNDED" localSheetId="60">Lumbermens!$M$6:$M$58</definedName>
    <definedName name="LIFE_REFUNDED" localSheetId="61">'Medical Savings'!$M$6:$M$58</definedName>
    <definedName name="LIFE_REFUNDED" localSheetId="62">'Memorial Service'!$M$6:$M$58</definedName>
    <definedName name="LIFE_REFUNDED" localSheetId="63">Midcontinent!$M$6:$M$58</definedName>
    <definedName name="LIFE_REFUNDED" localSheetId="64">'Midwest Life'!$M$6:$M$58</definedName>
    <definedName name="LIFE_REFUNDED" localSheetId="65">'Monarch Life'!$M$6:$M$58</definedName>
    <definedName name="LIFE_REFUNDED" localSheetId="66">'Mutual Benefit'!$M$6:$M$58</definedName>
    <definedName name="LIFE_REFUNDED" localSheetId="67">'Mutual Security'!$M$6:$M$58</definedName>
    <definedName name="LIFE_REFUNDED" localSheetId="68">'National Affiliated'!$M$6:$M$58</definedName>
    <definedName name="LIFE_REFUNDED" localSheetId="70">'National Heritage'!$M$6:$M$58</definedName>
    <definedName name="LIFE_REFUNDED" localSheetId="71">'National States'!$M$6:$M$58</definedName>
    <definedName name="LIFE_REFUNDED" localSheetId="69">'Natl American'!$M$6:$M$58</definedName>
    <definedName name="LIFE_REFUNDED" localSheetId="72">'New Jersey Life'!$M$6:$M$58</definedName>
    <definedName name="LIFE_REFUNDED" localSheetId="74">NNIC!$M$6:$M$58</definedName>
    <definedName name="LIFE_REFUNDED" localSheetId="73">'North Carolina Mutual'!$M$6:$M$58</definedName>
    <definedName name="LIFE_REFUNDED" localSheetId="75">'Old Colony Life'!$M$6:$M$58</definedName>
    <definedName name="LIFE_REFUNDED" localSheetId="76">'Old Faithful'!$M$6:$M$58</definedName>
    <definedName name="LIFE_REFUNDED" localSheetId="77">'Pacific Standard'!$M$6:$M$58</definedName>
    <definedName name="LIFE_REFUNDED" localSheetId="78">'Pavonia Life'!$M$6:$M$58</definedName>
    <definedName name="LIFE_REFUNDED" localSheetId="79">'Pen  Treaty'!$M$6:$M$58</definedName>
    <definedName name="LIFE_REFUNDED" localSheetId="80">'Red Rock'!$M$6:$M$58</definedName>
    <definedName name="LIFE_REFUNDED" localSheetId="81">Reliance!$M$6:$M$58</definedName>
    <definedName name="LIFE_REFUNDED" localSheetId="82">SeeChange!$M$6:$M$58</definedName>
    <definedName name="LIFE_REFUNDED" localSheetId="83">'Senior American'!$M$6:$M$58</definedName>
    <definedName name="LIFE_REFUNDED" localSheetId="84">Settlers!$M$6:$M$58</definedName>
    <definedName name="LIFE_REFUNDED" localSheetId="85">Shenandoah!$M$6:$M$58</definedName>
    <definedName name="LIFE_REFUNDED" localSheetId="86">'Southland National Life'!$M$6:$M$58</definedName>
    <definedName name="LIFE_REFUNDED" localSheetId="87">'Standard Life IN'!$M$6:$M$58</definedName>
    <definedName name="LIFE_REFUNDED" localSheetId="88">'States General'!$M$6:$M$58</definedName>
    <definedName name="LIFE_REFUNDED" localSheetId="89">Statesman!$M$6:$M$58</definedName>
    <definedName name="LIFE_REFUNDED" localSheetId="90">'Summit National'!$M$6:$M$58</definedName>
    <definedName name="LIFE_REFUNDED" localSheetId="91">Supreme!$M$6:$M$58</definedName>
    <definedName name="LIFE_REFUNDED" localSheetId="92">Time!$M$6:$M$58</definedName>
    <definedName name="LIFE_REFUNDED" localSheetId="106">'Total Summary'!$J$6:$J$59</definedName>
    <definedName name="LIFE_REFUNDED" localSheetId="93">Underwriters!$M$6:$M$58</definedName>
    <definedName name="LIFE_REFUNDED" localSheetId="94">Unison!$M$6:$M$58</definedName>
    <definedName name="LIFE_REFUNDED" localSheetId="95">'United Republic'!$M$6:$M$58</definedName>
    <definedName name="LIFE_REFUNDED" localSheetId="96">'Universal Health Care'!$M$6:$M$58</definedName>
    <definedName name="LIFE_REFUNDED" localSheetId="97">'Universal Life'!$M$6:$M$58</definedName>
    <definedName name="LIFE_REFUNDED" localSheetId="98">Universe!$M$6:$M$58</definedName>
    <definedName name="LIFE_REFUNDED" localSheetId="99">Villanova!$M$6:$M$58</definedName>
    <definedName name="LTC" localSheetId="0">'AF&amp;L'!$F$6:$F$59</definedName>
    <definedName name="LTC" localSheetId="1">'Alabama Life'!$F$6:$F$59</definedName>
    <definedName name="LTC" localSheetId="6">'Amer Life Asr'!$F$6:$F$59</definedName>
    <definedName name="LTC" localSheetId="9">'Amer Std Life Acc'!$F$6:$F$59</definedName>
    <definedName name="LTC" localSheetId="2">'American Chambers'!$F$6:$F$59</definedName>
    <definedName name="LTC" localSheetId="3">'American Community'!$F$6:$F$59</definedName>
    <definedName name="LTC" localSheetId="4">'American Educators'!$F$6:$F$59</definedName>
    <definedName name="LTC" localSheetId="5">'American Integrity'!$F$6:$F$59</definedName>
    <definedName name="LTC" localSheetId="7">'American Medical'!$F$6:$F$59</definedName>
    <definedName name="LTC" localSheetId="8">'American Network'!$F$6:$F$59</definedName>
    <definedName name="LTC" localSheetId="10">AmerWstrn!$F$6:$F$59</definedName>
    <definedName name="LTC" localSheetId="11">'AMS Life'!$F$6:$F$59</definedName>
    <definedName name="LTC" localSheetId="12">'Andrew Jackson'!$F$6:$F$59</definedName>
    <definedName name="LTC" localSheetId="13">'Bankers Commercial'!$F$6:$F$59</definedName>
    <definedName name="LTC" localSheetId="14">'Bankers Life'!$F$6:$F$59</definedName>
    <definedName name="LTC" localSheetId="15">Benicorp!$F$6:$F$59</definedName>
    <definedName name="LTC" localSheetId="16">'Booker T Washington'!$F$6:$F$59</definedName>
    <definedName name="LTC" localSheetId="17">Centennial!$F$6:$F$59</definedName>
    <definedName name="LTC" localSheetId="103">'Closed Summary'!$F$6:$F$58</definedName>
    <definedName name="LTC" localSheetId="19">'CO Bankers'!$F$6:$F$59</definedName>
    <definedName name="LTC" localSheetId="18">'Coastal States'!$F$6:$F$59</definedName>
    <definedName name="LTC" localSheetId="20">'Colorado Health'!$F$6:$F$59</definedName>
    <definedName name="LTC" localSheetId="21">'Compass (dbs Meritus)'!$F$6:$F$59</definedName>
    <definedName name="LTC" localSheetId="22">'Confed Life &amp; Annty (CLIAC)'!$F$6:$F$59</definedName>
    <definedName name="LTC" localSheetId="23">'Confed Life (CLIC)'!$F$6:$F$59</definedName>
    <definedName name="LTC" localSheetId="24">'Consolidated National'!$F$6:$F$59</definedName>
    <definedName name="LTC" localSheetId="25">'Consumers Choice'!$F$6:$F$59</definedName>
    <definedName name="LTC" localSheetId="26">'Consumers Mutual'!$F$6:$F$59</definedName>
    <definedName name="LTC" localSheetId="27">'Consumers United'!$F$6:$F$59</definedName>
    <definedName name="LTC" localSheetId="28">CoOportunity!$F$6:$F$59</definedName>
    <definedName name="LTC" localSheetId="29">'Coordinated Hlth'!$F$6:$F$59</definedName>
    <definedName name="LTC" localSheetId="30">'Corporate Life'!$F$6:$F$59</definedName>
    <definedName name="LTC" localSheetId="31">'Diamond Benefits'!$F$6:$F$59</definedName>
    <definedName name="LTC" localSheetId="32">'EBL Life'!$F$6:$F$59</definedName>
    <definedName name="LTC" localSheetId="34">ELNY!$F$6:$F$59</definedName>
    <definedName name="LTC" localSheetId="104">'Estate Closed Summary'!$F$6:$F$58</definedName>
    <definedName name="LTC" localSheetId="33">'Executive Life'!$F$6:$F$59</definedName>
    <definedName name="LTC" localSheetId="35">'Family Guaranty'!$F$6:$F$59</definedName>
    <definedName name="LTC" localSheetId="36">'Fidelity Bankers'!$F$6:$F$59</definedName>
    <definedName name="LTC" localSheetId="37">'Fidelity Mutual'!$F$6:$F$59</definedName>
    <definedName name="LTC" localSheetId="38">'First Capital'!$F$6:$F$59</definedName>
    <definedName name="LTC" localSheetId="39">'First Natl'!$F$6:$F$59</definedName>
    <definedName name="LTC" localSheetId="40">'First Natl (Thrnr)'!$F$6:$F$59</definedName>
    <definedName name="LTC" localSheetId="41">'Franklin American'!$F$6:$F$59</definedName>
    <definedName name="LTC" localSheetId="42">'Franklin Protective'!$F$6:$F$59</definedName>
    <definedName name="LTC" localSheetId="43">'Freelancers CO-OP'!$F$6:$F$59</definedName>
    <definedName name="LTC" localSheetId="44">Freestone!$F$6:$F$59</definedName>
    <definedName name="LTC" localSheetId="45">'George Washington'!$F$6:$F$59</definedName>
    <definedName name="LTC" localSheetId="46">'Golden State'!$F$6:$F$59</definedName>
    <definedName name="LTC" localSheetId="47">'Guarantee Security'!$F$6:$F$59</definedName>
    <definedName name="LTC" localSheetId="48">HealthyCT!$F$6:$F$59</definedName>
    <definedName name="LTC" localSheetId="49">Imerica!$F$6:$F$59</definedName>
    <definedName name="LTC" localSheetId="50">'Inter-American'!$F$6:$F$59</definedName>
    <definedName name="LTC" localSheetId="51">'International Fin'!$F$6:$F$59</definedName>
    <definedName name="LTC" localSheetId="52">'Investment Life of America'!$F$6:$F$59</definedName>
    <definedName name="LTC" localSheetId="53">'Investors Equity'!$F$6:$F$59</definedName>
    <definedName name="LTC" localSheetId="54">'Kentucky Central'!$F$6:$F$59</definedName>
    <definedName name="LTC" localSheetId="55">'Land of Lincoln'!$F$6:$F$59</definedName>
    <definedName name="LTC" localSheetId="56">Legion!$F$6:$F$59</definedName>
    <definedName name="LTC" localSheetId="57">'Life Health America'!$F$6:$F$59</definedName>
    <definedName name="LTC" localSheetId="58">'Lincoln Memorial'!$F$6:$F$59</definedName>
    <definedName name="LTC" localSheetId="59">'London Pac'!$F$6:$F$59</definedName>
    <definedName name="LTC" localSheetId="60">Lumbermens!$F$6:$F$59</definedName>
    <definedName name="LTC" localSheetId="61">'Medical Savings'!$F$6:$F$59</definedName>
    <definedName name="LTC" localSheetId="62">'Memorial Service'!$F$6:$F$59</definedName>
    <definedName name="LTC" localSheetId="63">Midcontinent!$F$6:$F$59</definedName>
    <definedName name="LTC" localSheetId="64">'Midwest Life'!$F$6:$F$59</definedName>
    <definedName name="LTC" localSheetId="65">'Monarch Life'!$F$6:$F$59</definedName>
    <definedName name="LTC" localSheetId="66">'Mutual Benefit'!$F$6:$F$59</definedName>
    <definedName name="LTC" localSheetId="67">'Mutual Security'!$F$6:$F$59</definedName>
    <definedName name="LTC" localSheetId="68">'National Affiliated'!$F$6:$F$59</definedName>
    <definedName name="LTC" localSheetId="70">'National Heritage'!$F$6:$F$59</definedName>
    <definedName name="LTC" localSheetId="71">'National States'!$F$6:$F$59</definedName>
    <definedName name="LTC" localSheetId="69">'Natl American'!$F$6:$F$59</definedName>
    <definedName name="LTC" localSheetId="72">'New Jersey Life'!$F$6:$F$59</definedName>
    <definedName name="LTC" localSheetId="74">NNIC!$F$6:$F$59</definedName>
    <definedName name="LTC" localSheetId="73">'North Carolina Mutual'!$F$6:$F$59</definedName>
    <definedName name="LTC" localSheetId="75">'Old Colony Life'!$F$6:$F$59</definedName>
    <definedName name="LTC" localSheetId="76">'Old Faithful'!$F$6:$F$59</definedName>
    <definedName name="LTC" localSheetId="102">'Open Summary'!$F$6:$F$58</definedName>
    <definedName name="LTC" localSheetId="77">'Pacific Standard'!$F$6:$F$59</definedName>
    <definedName name="LTC" localSheetId="78">'Pavonia Life'!$F$6:$F$59</definedName>
    <definedName name="LTC" localSheetId="79">'Pen  Treaty'!$F$6:$F$59</definedName>
    <definedName name="LTC" localSheetId="101">'Pre-Liquidation Summary'!$F$6:$F$58</definedName>
    <definedName name="LTC" localSheetId="80">'Red Rock'!$F$6:$F$59</definedName>
    <definedName name="LTC" localSheetId="105">'Released from Oversight Summary'!$F$6:$F$58</definedName>
    <definedName name="LTC" localSheetId="81">Reliance!$F$6:$F$59</definedName>
    <definedName name="LTC" localSheetId="82">SeeChange!$F$6:$F$59</definedName>
    <definedName name="LTC" localSheetId="83">'Senior American'!$F$6:$F$59</definedName>
    <definedName name="LTC" localSheetId="84">Settlers!$F$6:$F$59</definedName>
    <definedName name="LTC" localSheetId="85">Shenandoah!$F$6:$F$59</definedName>
    <definedName name="LTC" localSheetId="86">'Southland National Life'!$F$6:$F$59</definedName>
    <definedName name="LTC" localSheetId="87">'Standard Life IN'!$F$6:$F$59</definedName>
    <definedName name="LTC" localSheetId="88">'States General'!$F$6:$F$59</definedName>
    <definedName name="LTC" localSheetId="89">Statesman!$F$6:$F$59</definedName>
    <definedName name="LTC" localSheetId="90">'Summit National'!$F$6:$F$59</definedName>
    <definedName name="LTC" localSheetId="91">Supreme!$F$6:$F$59</definedName>
    <definedName name="LTC" localSheetId="92">Time!$F$6:$F$59</definedName>
    <definedName name="LTC" localSheetId="106">'Total Summary'!$F$6:$F$59</definedName>
    <definedName name="LTC" localSheetId="93">Underwriters!$F$6:$F$59</definedName>
    <definedName name="LTC" localSheetId="94">Unison!$F$6:$F$59</definedName>
    <definedName name="LTC" localSheetId="95">'United Republic'!$F$6:$F$59</definedName>
    <definedName name="LTC" localSheetId="96">'Universal Health Care'!$F$6:$F$59</definedName>
    <definedName name="LTC" localSheetId="97">'Universal Life'!$F$6:$F$59</definedName>
    <definedName name="LTC" localSheetId="98">Universe!$F$6:$F$59</definedName>
    <definedName name="LTC" localSheetId="99">Villanova!$F$6:$F$59</definedName>
    <definedName name="MA_FINANCIAL" localSheetId="0">'AF&amp;L'!$B$27:$F$27</definedName>
    <definedName name="MA_FINANCIAL" localSheetId="1">'Alabama Life'!$B$27:$F$27</definedName>
    <definedName name="MA_FINANCIAL" localSheetId="6">'Amer Life Asr'!$B$27:$F$27</definedName>
    <definedName name="MA_FINANCIAL" localSheetId="9">'Amer Std Life Acc'!$B$27:$F$27</definedName>
    <definedName name="MA_FINANCIAL" localSheetId="2">'American Chambers'!$B$27:$F$27</definedName>
    <definedName name="MA_FINANCIAL" localSheetId="3">'American Community'!$B$27:$F$27</definedName>
    <definedName name="MA_FINANCIAL" localSheetId="4">'American Educators'!$B$27:$F$27</definedName>
    <definedName name="MA_FINANCIAL" localSheetId="5">'American Integrity'!$B$27:$F$27</definedName>
    <definedName name="MA_FINANCIAL" localSheetId="7">'American Medical'!$B$27:$F$27</definedName>
    <definedName name="MA_FINANCIAL" localSheetId="8">'American Network'!$B$27:$F$27</definedName>
    <definedName name="MA_FINANCIAL" localSheetId="10">AmerWstrn!$B$27:$F$27</definedName>
    <definedName name="MA_FINANCIAL" localSheetId="11">'AMS Life'!$B$27:$F$27</definedName>
    <definedName name="MA_FINANCIAL" localSheetId="12">'Andrew Jackson'!$B$27:$F$27</definedName>
    <definedName name="MA_FINANCIAL" localSheetId="13">'Bankers Commercial'!$B$27:$F$27</definedName>
    <definedName name="MA_FINANCIAL" localSheetId="14">'Bankers Life'!$B$27:$F$27</definedName>
    <definedName name="MA_FINANCIAL" localSheetId="15">Benicorp!$B$27:$F$27</definedName>
    <definedName name="MA_FINANCIAL" localSheetId="16">'Booker T Washington'!$B$27:$F$27</definedName>
    <definedName name="MA_FINANCIAL" localSheetId="17">Centennial!$B$27:$F$27</definedName>
    <definedName name="MA_FINANCIAL" localSheetId="19">'CO Bankers'!$B$27:$F$27</definedName>
    <definedName name="MA_FINANCIAL" localSheetId="18">'Coastal States'!$B$27:$F$27</definedName>
    <definedName name="MA_FINANCIAL" localSheetId="20">'Colorado Health'!$B$27:$F$27</definedName>
    <definedName name="MA_FINANCIAL" localSheetId="21">'Compass (dbs Meritus)'!$B$27:$F$27</definedName>
    <definedName name="MA_FINANCIAL" localSheetId="22">'Confed Life &amp; Annty (CLIAC)'!$B$27:$F$27</definedName>
    <definedName name="MA_FINANCIAL" localSheetId="23">'Confed Life (CLIC)'!$B$27:$F$27</definedName>
    <definedName name="MA_FINANCIAL" localSheetId="24">'Consolidated National'!$B$27:$F$27</definedName>
    <definedName name="MA_FINANCIAL" localSheetId="25">'Consumers Choice'!$B$27:$F$27</definedName>
    <definedName name="MA_FINANCIAL" localSheetId="26">'Consumers Mutual'!$B$27:$F$27</definedName>
    <definedName name="MA_FINANCIAL" localSheetId="27">'Consumers United'!$B$27:$F$27</definedName>
    <definedName name="MA_FINANCIAL" localSheetId="28">CoOportunity!$B$27:$F$27</definedName>
    <definedName name="MA_FINANCIAL" localSheetId="29">'Coordinated Hlth'!$B$27:$F$27</definedName>
    <definedName name="MA_FINANCIAL" localSheetId="30">'Corporate Life'!$B$27:$F$27</definedName>
    <definedName name="MA_FINANCIAL" localSheetId="31">'Diamond Benefits'!$B$27:$F$27</definedName>
    <definedName name="MA_FINANCIAL" localSheetId="32">'EBL Life'!$B$27:$F$27</definedName>
    <definedName name="MA_FINANCIAL" localSheetId="34">ELNY!$B$27:$F$27</definedName>
    <definedName name="MA_FINANCIAL" localSheetId="33">'Executive Life'!$B$27:$F$27</definedName>
    <definedName name="MA_FINANCIAL" localSheetId="35">'Family Guaranty'!$B$27:$F$27</definedName>
    <definedName name="MA_FINANCIAL" localSheetId="36">'Fidelity Bankers'!$B$27:$F$27</definedName>
    <definedName name="MA_FINANCIAL" localSheetId="37">'Fidelity Mutual'!$B$27:$F$27</definedName>
    <definedName name="MA_FINANCIAL" localSheetId="38">'First Capital'!$B$27:$F$27</definedName>
    <definedName name="MA_FINANCIAL" localSheetId="39">'First Natl'!$B$27:$F$27</definedName>
    <definedName name="MA_FINANCIAL" localSheetId="40">'First Natl (Thrnr)'!$B$27:$F$27</definedName>
    <definedName name="MA_FINANCIAL" localSheetId="41">'Franklin American'!$B$27:$F$27</definedName>
    <definedName name="MA_FINANCIAL" localSheetId="42">'Franklin Protective'!$B$27:$F$27</definedName>
    <definedName name="MA_FINANCIAL" localSheetId="43">'Freelancers CO-OP'!$B$27:$F$27</definedName>
    <definedName name="MA_FINANCIAL" localSheetId="44">Freestone!$B$27:$F$27</definedName>
    <definedName name="MA_FINANCIAL" localSheetId="45">'George Washington'!$B$27:$F$27</definedName>
    <definedName name="MA_FINANCIAL" localSheetId="46">'Golden State'!$B$27:$F$27</definedName>
    <definedName name="MA_FINANCIAL" localSheetId="47">'Guarantee Security'!$B$27:$F$27</definedName>
    <definedName name="MA_FINANCIAL" localSheetId="48">HealthyCT!$B$27:$F$27</definedName>
    <definedName name="MA_FINANCIAL" localSheetId="49">Imerica!$B$27:$F$27</definedName>
    <definedName name="MA_FINANCIAL" localSheetId="50">'Inter-American'!$B$27:$F$27</definedName>
    <definedName name="MA_FINANCIAL" localSheetId="51">'International Fin'!$B$27:$F$27</definedName>
    <definedName name="MA_FINANCIAL" localSheetId="52">'Investment Life of America'!$B$27:$F$27</definedName>
    <definedName name="MA_FINANCIAL" localSheetId="53">'Investors Equity'!$B$27:$F$27</definedName>
    <definedName name="MA_FINANCIAL" localSheetId="54">'Kentucky Central'!$B$27:$F$27</definedName>
    <definedName name="MA_FINANCIAL" localSheetId="55">'Land of Lincoln'!$B$27:$F$27</definedName>
    <definedName name="MA_FINANCIAL" localSheetId="56">Legion!$B$27:$F$27</definedName>
    <definedName name="MA_FINANCIAL" localSheetId="57">'Life Health America'!$B$27:$F$27</definedName>
    <definedName name="MA_FINANCIAL" localSheetId="58">'Lincoln Memorial'!$B$27:$F$27</definedName>
    <definedName name="MA_FINANCIAL" localSheetId="59">'London Pac'!$B$27:$F$27</definedName>
    <definedName name="MA_FINANCIAL" localSheetId="60">Lumbermens!$B$27:$F$27</definedName>
    <definedName name="MA_FINANCIAL" localSheetId="61">'Medical Savings'!$B$27:$F$27</definedName>
    <definedName name="MA_FINANCIAL" localSheetId="62">'Memorial Service'!$B$27:$F$27</definedName>
    <definedName name="MA_FINANCIAL" localSheetId="63">Midcontinent!$B$27:$F$27</definedName>
    <definedName name="MA_FINANCIAL" localSheetId="64">'Midwest Life'!$B$27:$F$27</definedName>
    <definedName name="MA_FINANCIAL" localSheetId="65">'Monarch Life'!$B$27:$F$27</definedName>
    <definedName name="MA_FINANCIAL" localSheetId="66">'Mutual Benefit'!$B$27:$F$27</definedName>
    <definedName name="MA_FINANCIAL" localSheetId="67">'Mutual Security'!$B$27:$F$27</definedName>
    <definedName name="MA_FINANCIAL" localSheetId="68">'National Affiliated'!$B$27:$F$27</definedName>
    <definedName name="MA_FINANCIAL" localSheetId="70">'National Heritage'!$B$27:$F$27</definedName>
    <definedName name="MA_FINANCIAL" localSheetId="71">'National States'!$B$27:$F$27</definedName>
    <definedName name="MA_FINANCIAL" localSheetId="69">'Natl American'!$B$27:$F$27</definedName>
    <definedName name="MA_FINANCIAL" localSheetId="72">'New Jersey Life'!$B$27:$F$27</definedName>
    <definedName name="MA_FINANCIAL" localSheetId="74">NNIC!$B$27:$F$27</definedName>
    <definedName name="MA_FINANCIAL" localSheetId="73">'North Carolina Mutual'!$B$27:$F$27</definedName>
    <definedName name="MA_FINANCIAL" localSheetId="75">'Old Colony Life'!$B$27:$F$27</definedName>
    <definedName name="MA_FINANCIAL" localSheetId="76">'Old Faithful'!$B$27:$F$27</definedName>
    <definedName name="MA_FINANCIAL" localSheetId="77">'Pacific Standard'!$B$27:$F$27</definedName>
    <definedName name="MA_FINANCIAL" localSheetId="78">'Pavonia Life'!$B$27:$F$27</definedName>
    <definedName name="MA_FINANCIAL" localSheetId="79">'Pen  Treaty'!$B$27:$F$27</definedName>
    <definedName name="MA_FINANCIAL" localSheetId="80">'Red Rock'!$B$27:$F$27</definedName>
    <definedName name="MA_FINANCIAL" localSheetId="81">Reliance!$B$27:$F$27</definedName>
    <definedName name="MA_FINANCIAL" localSheetId="82">SeeChange!$B$27:$F$27</definedName>
    <definedName name="MA_FINANCIAL" localSheetId="83">'Senior American'!$B$27:$F$27</definedName>
    <definedName name="MA_FINANCIAL" localSheetId="84">Settlers!$B$27:$F$27</definedName>
    <definedName name="MA_FINANCIAL" localSheetId="85">Shenandoah!$B$27:$F$27</definedName>
    <definedName name="MA_FINANCIAL" localSheetId="86">'Southland National Life'!$B$27:$F$27</definedName>
    <definedName name="MA_FINANCIAL" localSheetId="87">'Standard Life IN'!$B$27:$F$27</definedName>
    <definedName name="MA_FINANCIAL" localSheetId="88">'States General'!$B$27:$F$27</definedName>
    <definedName name="MA_FINANCIAL" localSheetId="89">Statesman!$B$27:$F$27</definedName>
    <definedName name="MA_FINANCIAL" localSheetId="90">'Summit National'!$B$27:$F$27</definedName>
    <definedName name="MA_FINANCIAL" localSheetId="91">Supreme!$B$27:$F$27</definedName>
    <definedName name="MA_FINANCIAL" localSheetId="92">Time!$B$27:$F$27</definedName>
    <definedName name="MA_FINANCIAL" localSheetId="106">'Total Summary'!$B$27:$F$27</definedName>
    <definedName name="MA_FINANCIAL" localSheetId="93">Underwriters!$B$27:$F$27</definedName>
    <definedName name="MA_FINANCIAL" localSheetId="94">Unison!$B$27:$F$27</definedName>
    <definedName name="MA_FINANCIAL" localSheetId="95">'United Republic'!$B$27:$F$27</definedName>
    <definedName name="MA_FINANCIAL" localSheetId="96">'Universal Health Care'!$B$27:$F$27</definedName>
    <definedName name="MA_FINANCIAL" localSheetId="97">'Universal Life'!$B$27:$F$27</definedName>
    <definedName name="MA_FINANCIAL" localSheetId="98">Universe!$B$27:$F$27</definedName>
    <definedName name="MA_FINANCIAL" localSheetId="99">Villanova!$B$27:$F$27</definedName>
    <definedName name="MD_FINANCIAL" localSheetId="0">'AF&amp;L'!$B$26:$F$26</definedName>
    <definedName name="MD_FINANCIAL" localSheetId="1">'Alabama Life'!$B$26:$F$26</definedName>
    <definedName name="MD_FINANCIAL" localSheetId="6">'Amer Life Asr'!$B$26:$F$26</definedName>
    <definedName name="MD_FINANCIAL" localSheetId="9">'Amer Std Life Acc'!$B$26:$F$26</definedName>
    <definedName name="MD_FINANCIAL" localSheetId="2">'American Chambers'!$B$26:$F$26</definedName>
    <definedName name="MD_FINANCIAL" localSheetId="3">'American Community'!$B$26:$F$26</definedName>
    <definedName name="MD_FINANCIAL" localSheetId="4">'American Educators'!$B$26:$F$26</definedName>
    <definedName name="MD_FINANCIAL" localSheetId="5">'American Integrity'!$B$26:$F$26</definedName>
    <definedName name="MD_FINANCIAL" localSheetId="7">'American Medical'!$B$26:$F$26</definedName>
    <definedName name="MD_FINANCIAL" localSheetId="8">'American Network'!$B$26:$F$26</definedName>
    <definedName name="MD_FINANCIAL" localSheetId="10">AmerWstrn!$B$26:$F$26</definedName>
    <definedName name="MD_FINANCIAL" localSheetId="11">'AMS Life'!$B$26:$F$26</definedName>
    <definedName name="MD_FINANCIAL" localSheetId="12">'Andrew Jackson'!$B$26:$F$26</definedName>
    <definedName name="MD_FINANCIAL" localSheetId="13">'Bankers Commercial'!$B$26:$F$26</definedName>
    <definedName name="MD_FINANCIAL" localSheetId="14">'Bankers Life'!$B$26:$F$26</definedName>
    <definedName name="MD_FINANCIAL" localSheetId="15">Benicorp!$B$26:$F$26</definedName>
    <definedName name="MD_FINANCIAL" localSheetId="16">'Booker T Washington'!$B$26:$F$26</definedName>
    <definedName name="MD_FINANCIAL" localSheetId="17">Centennial!$B$26:$F$26</definedName>
    <definedName name="MD_FINANCIAL" localSheetId="19">'CO Bankers'!$B$26:$F$26</definedName>
    <definedName name="MD_FINANCIAL" localSheetId="18">'Coastal States'!$B$26:$F$26</definedName>
    <definedName name="MD_FINANCIAL" localSheetId="20">'Colorado Health'!$B$26:$F$26</definedName>
    <definedName name="MD_FINANCIAL" localSheetId="21">'Compass (dbs Meritus)'!$B$26:$F$26</definedName>
    <definedName name="MD_FINANCIAL" localSheetId="22">'Confed Life &amp; Annty (CLIAC)'!$B$26:$F$26</definedName>
    <definedName name="MD_FINANCIAL" localSheetId="23">'Confed Life (CLIC)'!$B$26:$F$26</definedName>
    <definedName name="MD_FINANCIAL" localSheetId="24">'Consolidated National'!$B$26:$F$26</definedName>
    <definedName name="MD_FINANCIAL" localSheetId="25">'Consumers Choice'!$B$26:$F$26</definedName>
    <definedName name="MD_FINANCIAL" localSheetId="26">'Consumers Mutual'!$B$26:$F$26</definedName>
    <definedName name="MD_FINANCIAL" localSheetId="27">'Consumers United'!$B$26:$F$26</definedName>
    <definedName name="MD_FINANCIAL" localSheetId="28">CoOportunity!$B$26:$F$26</definedName>
    <definedName name="MD_FINANCIAL" localSheetId="29">'Coordinated Hlth'!$B$26:$F$26</definedName>
    <definedName name="MD_FINANCIAL" localSheetId="30">'Corporate Life'!$B$26:$F$26</definedName>
    <definedName name="MD_FINANCIAL" localSheetId="31">'Diamond Benefits'!$B$26:$F$26</definedName>
    <definedName name="MD_FINANCIAL" localSheetId="32">'EBL Life'!$B$26:$F$26</definedName>
    <definedName name="MD_FINANCIAL" localSheetId="34">ELNY!$B$26:$F$26</definedName>
    <definedName name="MD_FINANCIAL" localSheetId="33">'Executive Life'!$B$26:$F$26</definedName>
    <definedName name="MD_FINANCIAL" localSheetId="35">'Family Guaranty'!$B$26:$F$26</definedName>
    <definedName name="MD_FINANCIAL" localSheetId="36">'Fidelity Bankers'!$B$26:$F$26</definedName>
    <definedName name="MD_FINANCIAL" localSheetId="37">'Fidelity Mutual'!$B$26:$F$26</definedName>
    <definedName name="MD_FINANCIAL" localSheetId="38">'First Capital'!$B$26:$F$26</definedName>
    <definedName name="MD_FINANCIAL" localSheetId="39">'First Natl'!$B$26:$F$26</definedName>
    <definedName name="MD_FINANCIAL" localSheetId="40">'First Natl (Thrnr)'!$B$26:$F$26</definedName>
    <definedName name="MD_FINANCIAL" localSheetId="41">'Franklin American'!$B$26:$F$26</definedName>
    <definedName name="MD_FINANCIAL" localSheetId="42">'Franklin Protective'!$B$26:$F$26</definedName>
    <definedName name="MD_FINANCIAL" localSheetId="43">'Freelancers CO-OP'!$B$26:$F$26</definedName>
    <definedName name="MD_FINANCIAL" localSheetId="44">Freestone!$B$26:$F$26</definedName>
    <definedName name="MD_FINANCIAL" localSheetId="45">'George Washington'!$B$26:$F$26</definedName>
    <definedName name="MD_FINANCIAL" localSheetId="46">'Golden State'!$B$26:$F$26</definedName>
    <definedName name="MD_FINANCIAL" localSheetId="47">'Guarantee Security'!$B$26:$F$26</definedName>
    <definedName name="MD_FINANCIAL" localSheetId="48">HealthyCT!$B$26:$F$26</definedName>
    <definedName name="MD_FINANCIAL" localSheetId="49">Imerica!$B$26:$F$26</definedName>
    <definedName name="MD_FINANCIAL" localSheetId="50">'Inter-American'!$B$26:$F$26</definedName>
    <definedName name="MD_FINANCIAL" localSheetId="51">'International Fin'!$B$26:$F$26</definedName>
    <definedName name="MD_FINANCIAL" localSheetId="52">'Investment Life of America'!$B$26:$F$26</definedName>
    <definedName name="MD_FINANCIAL" localSheetId="53">'Investors Equity'!$B$26:$F$26</definedName>
    <definedName name="MD_FINANCIAL" localSheetId="54">'Kentucky Central'!$B$26:$F$26</definedName>
    <definedName name="MD_FINANCIAL" localSheetId="55">'Land of Lincoln'!$B$26:$F$26</definedName>
    <definedName name="MD_FINANCIAL" localSheetId="56">Legion!$B$26:$F$26</definedName>
    <definedName name="MD_FINANCIAL" localSheetId="57">'Life Health America'!$B$26:$F$26</definedName>
    <definedName name="MD_FINANCIAL" localSheetId="58">'Lincoln Memorial'!$B$26:$F$26</definedName>
    <definedName name="MD_FINANCIAL" localSheetId="59">'London Pac'!$B$26:$F$26</definedName>
    <definedName name="MD_FINANCIAL" localSheetId="60">Lumbermens!$B$26:$F$26</definedName>
    <definedName name="MD_FINANCIAL" localSheetId="61">'Medical Savings'!$B$26:$F$26</definedName>
    <definedName name="MD_FINANCIAL" localSheetId="62">'Memorial Service'!$B$26:$F$26</definedName>
    <definedName name="MD_FINANCIAL" localSheetId="63">Midcontinent!$B$26:$F$26</definedName>
    <definedName name="MD_FINANCIAL" localSheetId="64">'Midwest Life'!$B$26:$F$26</definedName>
    <definedName name="MD_FINANCIAL" localSheetId="65">'Monarch Life'!$B$26:$F$26</definedName>
    <definedName name="MD_FINANCIAL" localSheetId="66">'Mutual Benefit'!$B$26:$F$26</definedName>
    <definedName name="MD_FINANCIAL" localSheetId="67">'Mutual Security'!$B$26:$F$26</definedName>
    <definedName name="MD_FINANCIAL" localSheetId="68">'National Affiliated'!$B$26:$F$26</definedName>
    <definedName name="MD_FINANCIAL" localSheetId="70">'National Heritage'!$B$26:$F$26</definedName>
    <definedName name="MD_FINANCIAL" localSheetId="71">'National States'!$B$26:$F$26</definedName>
    <definedName name="MD_FINANCIAL" localSheetId="69">'Natl American'!$B$26:$F$26</definedName>
    <definedName name="MD_FINANCIAL" localSheetId="72">'New Jersey Life'!$B$26:$F$26</definedName>
    <definedName name="MD_FINANCIAL" localSheetId="74">NNIC!$B$26:$F$26</definedName>
    <definedName name="MD_FINANCIAL" localSheetId="73">'North Carolina Mutual'!$B$26:$F$26</definedName>
    <definedName name="MD_FINANCIAL" localSheetId="75">'Old Colony Life'!$B$26:$F$26</definedName>
    <definedName name="MD_FINANCIAL" localSheetId="76">'Old Faithful'!$B$26:$F$26</definedName>
    <definedName name="MD_FINANCIAL" localSheetId="77">'Pacific Standard'!$B$26:$F$26</definedName>
    <definedName name="MD_FINANCIAL" localSheetId="78">'Pavonia Life'!$B$26:$F$26</definedName>
    <definedName name="MD_FINANCIAL" localSheetId="79">'Pen  Treaty'!$B$26:$F$26</definedName>
    <definedName name="MD_FINANCIAL" localSheetId="80">'Red Rock'!$B$26:$F$26</definedName>
    <definedName name="MD_FINANCIAL" localSheetId="81">Reliance!$B$26:$F$26</definedName>
    <definedName name="MD_FINANCIAL" localSheetId="82">SeeChange!$B$26:$F$26</definedName>
    <definedName name="MD_FINANCIAL" localSheetId="83">'Senior American'!$B$26:$F$26</definedName>
    <definedName name="MD_FINANCIAL" localSheetId="84">Settlers!$B$26:$F$26</definedName>
    <definedName name="MD_FINANCIAL" localSheetId="85">Shenandoah!$B$26:$F$26</definedName>
    <definedName name="MD_FINANCIAL" localSheetId="86">'Southland National Life'!$B$26:$F$26</definedName>
    <definedName name="MD_FINANCIAL" localSheetId="87">'Standard Life IN'!$B$26:$F$26</definedName>
    <definedName name="MD_FINANCIAL" localSheetId="88">'States General'!$B$26:$F$26</definedName>
    <definedName name="MD_FINANCIAL" localSheetId="89">Statesman!$B$26:$F$26</definedName>
    <definedName name="MD_FINANCIAL" localSheetId="90">'Summit National'!$B$26:$F$26</definedName>
    <definedName name="MD_FINANCIAL" localSheetId="91">Supreme!$B$26:$F$26</definedName>
    <definedName name="MD_FINANCIAL" localSheetId="92">Time!$B$26:$F$26</definedName>
    <definedName name="MD_FINANCIAL" localSheetId="106">'Total Summary'!$B$26:$F$26</definedName>
    <definedName name="MD_FINANCIAL" localSheetId="93">Underwriters!$B$26:$F$26</definedName>
    <definedName name="MD_FINANCIAL" localSheetId="94">Unison!$B$26:$F$26</definedName>
    <definedName name="MD_FINANCIAL" localSheetId="95">'United Republic'!$B$26:$F$26</definedName>
    <definedName name="MD_FINANCIAL" localSheetId="96">'Universal Health Care'!$B$26:$F$26</definedName>
    <definedName name="MD_FINANCIAL" localSheetId="97">'Universal Life'!$B$26:$F$26</definedName>
    <definedName name="MD_FINANCIAL" localSheetId="98">Universe!$B$26:$F$26</definedName>
    <definedName name="MD_FINANCIAL" localSheetId="99">Villanova!$B$26:$F$26</definedName>
    <definedName name="ME_FINANCIAL" localSheetId="0">'AF&amp;L'!$B$25:$F$25</definedName>
    <definedName name="ME_FINANCIAL" localSheetId="1">'Alabama Life'!$B$25:$F$25</definedName>
    <definedName name="ME_FINANCIAL" localSheetId="6">'Amer Life Asr'!$B$25:$F$25</definedName>
    <definedName name="ME_FINANCIAL" localSheetId="9">'Amer Std Life Acc'!$B$25:$F$25</definedName>
    <definedName name="ME_FINANCIAL" localSheetId="2">'American Chambers'!$B$25:$F$25</definedName>
    <definedName name="ME_FINANCIAL" localSheetId="3">'American Community'!$B$25:$F$25</definedName>
    <definedName name="ME_FINANCIAL" localSheetId="4">'American Educators'!$B$25:$F$25</definedName>
    <definedName name="ME_FINANCIAL" localSheetId="5">'American Integrity'!$B$25:$F$25</definedName>
    <definedName name="ME_FINANCIAL" localSheetId="7">'American Medical'!$B$25:$F$25</definedName>
    <definedName name="ME_FINANCIAL" localSheetId="8">'American Network'!$B$25:$F$25</definedName>
    <definedName name="ME_FINANCIAL" localSheetId="10">AmerWstrn!$B$25:$F$25</definedName>
    <definedName name="ME_FINANCIAL" localSheetId="11">'AMS Life'!$B$25:$F$25</definedName>
    <definedName name="ME_FINANCIAL" localSheetId="12">'Andrew Jackson'!$B$25:$F$25</definedName>
    <definedName name="ME_FINANCIAL" localSheetId="13">'Bankers Commercial'!$B$25:$F$25</definedName>
    <definedName name="ME_FINANCIAL" localSheetId="14">'Bankers Life'!$B$25:$F$25</definedName>
    <definedName name="ME_FINANCIAL" localSheetId="15">Benicorp!$B$25:$F$25</definedName>
    <definedName name="ME_FINANCIAL" localSheetId="16">'Booker T Washington'!$B$25:$F$25</definedName>
    <definedName name="ME_FINANCIAL" localSheetId="17">Centennial!$B$25:$F$25</definedName>
    <definedName name="ME_FINANCIAL" localSheetId="19">'CO Bankers'!$B$25:$F$25</definedName>
    <definedName name="ME_FINANCIAL" localSheetId="18">'Coastal States'!$B$25:$F$25</definedName>
    <definedName name="ME_FINANCIAL" localSheetId="20">'Colorado Health'!$B$25:$F$25</definedName>
    <definedName name="ME_FINANCIAL" localSheetId="21">'Compass (dbs Meritus)'!$B$25:$F$25</definedName>
    <definedName name="ME_FINANCIAL" localSheetId="22">'Confed Life &amp; Annty (CLIAC)'!$B$25:$F$25</definedName>
    <definedName name="ME_FINANCIAL" localSheetId="23">'Confed Life (CLIC)'!$B$25:$F$25</definedName>
    <definedName name="ME_FINANCIAL" localSheetId="24">'Consolidated National'!$B$25:$F$25</definedName>
    <definedName name="ME_FINANCIAL" localSheetId="25">'Consumers Choice'!$B$25:$F$25</definedName>
    <definedName name="ME_FINANCIAL" localSheetId="26">'Consumers Mutual'!$B$25:$F$25</definedName>
    <definedName name="ME_FINANCIAL" localSheetId="27">'Consumers United'!$B$25:$F$25</definedName>
    <definedName name="ME_FINANCIAL" localSheetId="28">CoOportunity!$B$25:$F$25</definedName>
    <definedName name="ME_FINANCIAL" localSheetId="29">'Coordinated Hlth'!$B$25:$F$25</definedName>
    <definedName name="ME_FINANCIAL" localSheetId="30">'Corporate Life'!$B$25:$F$25</definedName>
    <definedName name="ME_FINANCIAL" localSheetId="31">'Diamond Benefits'!$B$25:$F$25</definedName>
    <definedName name="ME_FINANCIAL" localSheetId="32">'EBL Life'!$B$25:$F$25</definedName>
    <definedName name="ME_FINANCIAL" localSheetId="34">ELNY!$B$25:$F$25</definedName>
    <definedName name="ME_FINANCIAL" localSheetId="33">'Executive Life'!$B$25:$F$25</definedName>
    <definedName name="ME_FINANCIAL" localSheetId="35">'Family Guaranty'!$B$25:$F$25</definedName>
    <definedName name="ME_FINANCIAL" localSheetId="36">'Fidelity Bankers'!$B$25:$F$25</definedName>
    <definedName name="ME_FINANCIAL" localSheetId="37">'Fidelity Mutual'!$B$25:$F$25</definedName>
    <definedName name="ME_FINANCIAL" localSheetId="38">'First Capital'!$B$25:$F$25</definedName>
    <definedName name="ME_FINANCIAL" localSheetId="39">'First Natl'!$B$25:$F$25</definedName>
    <definedName name="ME_FINANCIAL" localSheetId="40">'First Natl (Thrnr)'!$B$25:$F$25</definedName>
    <definedName name="ME_FINANCIAL" localSheetId="41">'Franklin American'!$B$25:$F$25</definedName>
    <definedName name="ME_FINANCIAL" localSheetId="42">'Franklin Protective'!$B$25:$F$25</definedName>
    <definedName name="ME_FINANCIAL" localSheetId="43">'Freelancers CO-OP'!$B$25:$F$25</definedName>
    <definedName name="ME_FINANCIAL" localSheetId="44">Freestone!$B$25:$F$25</definedName>
    <definedName name="ME_FINANCIAL" localSheetId="45">'George Washington'!$B$25:$F$25</definedName>
    <definedName name="ME_FINANCIAL" localSheetId="46">'Golden State'!$B$25:$F$25</definedName>
    <definedName name="ME_FINANCIAL" localSheetId="47">'Guarantee Security'!$B$25:$F$25</definedName>
    <definedName name="ME_FINANCIAL" localSheetId="48">HealthyCT!$B$25:$F$25</definedName>
    <definedName name="ME_FINANCIAL" localSheetId="49">Imerica!$B$25:$F$25</definedName>
    <definedName name="ME_FINANCIAL" localSheetId="50">'Inter-American'!$B$25:$F$25</definedName>
    <definedName name="ME_FINANCIAL" localSheetId="51">'International Fin'!$B$25:$F$25</definedName>
    <definedName name="ME_FINANCIAL" localSheetId="52">'Investment Life of America'!$B$25:$F$25</definedName>
    <definedName name="ME_FINANCIAL" localSheetId="53">'Investors Equity'!$B$25:$F$25</definedName>
    <definedName name="ME_FINANCIAL" localSheetId="54">'Kentucky Central'!$B$25:$F$25</definedName>
    <definedName name="ME_FINANCIAL" localSheetId="55">'Land of Lincoln'!$B$25:$F$25</definedName>
    <definedName name="ME_FINANCIAL" localSheetId="56">Legion!$B$25:$F$25</definedName>
    <definedName name="ME_FINANCIAL" localSheetId="57">'Life Health America'!$B$25:$F$25</definedName>
    <definedName name="ME_FINANCIAL" localSheetId="58">'Lincoln Memorial'!$B$25:$F$25</definedName>
    <definedName name="ME_FINANCIAL" localSheetId="59">'London Pac'!$B$25:$F$25</definedName>
    <definedName name="ME_FINANCIAL" localSheetId="60">Lumbermens!$B$25:$F$25</definedName>
    <definedName name="ME_FINANCIAL" localSheetId="61">'Medical Savings'!$B$25:$F$25</definedName>
    <definedName name="ME_FINANCIAL" localSheetId="62">'Memorial Service'!$B$25:$F$25</definedName>
    <definedName name="ME_FINANCIAL" localSheetId="63">Midcontinent!$B$25:$F$25</definedName>
    <definedName name="ME_FINANCIAL" localSheetId="64">'Midwest Life'!$B$25:$F$25</definedName>
    <definedName name="ME_FINANCIAL" localSheetId="65">'Monarch Life'!$B$25:$F$25</definedName>
    <definedName name="ME_FINANCIAL" localSheetId="66">'Mutual Benefit'!$B$25:$F$25</definedName>
    <definedName name="ME_FINANCIAL" localSheetId="67">'Mutual Security'!$B$25:$F$25</definedName>
    <definedName name="ME_FINANCIAL" localSheetId="68">'National Affiliated'!$B$25:$F$25</definedName>
    <definedName name="ME_FINANCIAL" localSheetId="70">'National Heritage'!$B$25:$F$25</definedName>
    <definedName name="ME_FINANCIAL" localSheetId="71">'National States'!$B$25:$F$25</definedName>
    <definedName name="ME_FINANCIAL" localSheetId="69">'Natl American'!$B$25:$F$25</definedName>
    <definedName name="ME_FINANCIAL" localSheetId="72">'New Jersey Life'!$B$25:$F$25</definedName>
    <definedName name="ME_FINANCIAL" localSheetId="74">NNIC!$B$25:$F$25</definedName>
    <definedName name="ME_FINANCIAL" localSheetId="73">'North Carolina Mutual'!$B$25:$F$25</definedName>
    <definedName name="ME_FINANCIAL" localSheetId="75">'Old Colony Life'!$B$25:$F$25</definedName>
    <definedName name="ME_FINANCIAL" localSheetId="76">'Old Faithful'!$B$25:$F$25</definedName>
    <definedName name="ME_FINANCIAL" localSheetId="77">'Pacific Standard'!$B$25:$F$25</definedName>
    <definedName name="ME_FINANCIAL" localSheetId="78">'Pavonia Life'!$B$25:$F$25</definedName>
    <definedName name="ME_FINANCIAL" localSheetId="79">'Pen  Treaty'!$B$25:$F$25</definedName>
    <definedName name="ME_FINANCIAL" localSheetId="80">'Red Rock'!$B$25:$F$25</definedName>
    <definedName name="ME_FINANCIAL" localSheetId="81">Reliance!$B$25:$F$25</definedName>
    <definedName name="ME_FINANCIAL" localSheetId="82">SeeChange!$B$25:$F$25</definedName>
    <definedName name="ME_FINANCIAL" localSheetId="83">'Senior American'!$B$25:$F$25</definedName>
    <definedName name="ME_FINANCIAL" localSheetId="84">Settlers!$B$25:$F$25</definedName>
    <definedName name="ME_FINANCIAL" localSheetId="85">Shenandoah!$B$25:$F$25</definedName>
    <definedName name="ME_FINANCIAL" localSheetId="86">'Southland National Life'!$B$25:$F$25</definedName>
    <definedName name="ME_FINANCIAL" localSheetId="87">'Standard Life IN'!$B$25:$F$25</definedName>
    <definedName name="ME_FINANCIAL" localSheetId="88">'States General'!$B$25:$F$25</definedName>
    <definedName name="ME_FINANCIAL" localSheetId="89">Statesman!$B$25:$F$25</definedName>
    <definedName name="ME_FINANCIAL" localSheetId="90">'Summit National'!$B$25:$F$25</definedName>
    <definedName name="ME_FINANCIAL" localSheetId="91">Supreme!$B$25:$F$25</definedName>
    <definedName name="ME_FINANCIAL" localSheetId="92">Time!$B$25:$F$25</definedName>
    <definedName name="ME_FINANCIAL" localSheetId="106">'Total Summary'!$B$25:$F$25</definedName>
    <definedName name="ME_FINANCIAL" localSheetId="93">Underwriters!$B$25:$F$25</definedName>
    <definedName name="ME_FINANCIAL" localSheetId="94">Unison!$B$25:$F$25</definedName>
    <definedName name="ME_FINANCIAL" localSheetId="95">'United Republic'!$B$25:$F$25</definedName>
    <definedName name="ME_FINANCIAL" localSheetId="96">'Universal Health Care'!$B$25:$F$25</definedName>
    <definedName name="ME_FINANCIAL" localSheetId="97">'Universal Life'!$B$25:$F$25</definedName>
    <definedName name="ME_FINANCIAL" localSheetId="98">Universe!$B$25:$F$25</definedName>
    <definedName name="ME_FINANCIAL" localSheetId="99">Villanova!$B$25:$F$25</definedName>
    <definedName name="MI_FINANCIAL" localSheetId="0">'AF&amp;L'!$B$28:$F$28</definedName>
    <definedName name="MI_FINANCIAL" localSheetId="1">'Alabama Life'!$B$28:$F$28</definedName>
    <definedName name="MI_FINANCIAL" localSheetId="6">'Amer Life Asr'!$B$28:$F$28</definedName>
    <definedName name="MI_FINANCIAL" localSheetId="9">'Amer Std Life Acc'!$B$28:$F$28</definedName>
    <definedName name="MI_FINANCIAL" localSheetId="2">'American Chambers'!$B$28:$F$28</definedName>
    <definedName name="MI_FINANCIAL" localSheetId="3">'American Community'!$B$28:$F$28</definedName>
    <definedName name="MI_FINANCIAL" localSheetId="4">'American Educators'!$B$28:$F$28</definedName>
    <definedName name="MI_FINANCIAL" localSheetId="5">'American Integrity'!$B$28:$F$28</definedName>
    <definedName name="MI_FINANCIAL" localSheetId="7">'American Medical'!$B$28:$F$28</definedName>
    <definedName name="MI_FINANCIAL" localSheetId="8">'American Network'!$B$28:$F$28</definedName>
    <definedName name="MI_FINANCIAL" localSheetId="10">AmerWstrn!$B$28:$F$28</definedName>
    <definedName name="MI_FINANCIAL" localSheetId="11">'AMS Life'!$B$28:$F$28</definedName>
    <definedName name="MI_FINANCIAL" localSheetId="12">'Andrew Jackson'!$B$28:$F$28</definedName>
    <definedName name="MI_FINANCIAL" localSheetId="13">'Bankers Commercial'!$B$28:$F$28</definedName>
    <definedName name="MI_FINANCIAL" localSheetId="14">'Bankers Life'!$B$28:$F$28</definedName>
    <definedName name="MI_FINANCIAL" localSheetId="15">Benicorp!$B$28:$F$28</definedName>
    <definedName name="MI_FINANCIAL" localSheetId="16">'Booker T Washington'!$B$28:$F$28</definedName>
    <definedName name="MI_FINANCIAL" localSheetId="17">Centennial!$B$28:$F$28</definedName>
    <definedName name="MI_FINANCIAL" localSheetId="19">'CO Bankers'!$B$28:$F$28</definedName>
    <definedName name="MI_FINANCIAL" localSheetId="18">'Coastal States'!$B$28:$F$28</definedName>
    <definedName name="MI_FINANCIAL" localSheetId="20">'Colorado Health'!$B$28:$F$28</definedName>
    <definedName name="MI_FINANCIAL" localSheetId="21">'Compass (dbs Meritus)'!$B$28:$F$28</definedName>
    <definedName name="MI_FINANCIAL" localSheetId="22">'Confed Life &amp; Annty (CLIAC)'!$B$28:$F$28</definedName>
    <definedName name="MI_FINANCIAL" localSheetId="23">'Confed Life (CLIC)'!$B$28:$F$28</definedName>
    <definedName name="MI_FINANCIAL" localSheetId="24">'Consolidated National'!$B$28:$F$28</definedName>
    <definedName name="MI_FINANCIAL" localSheetId="25">'Consumers Choice'!$B$28:$F$28</definedName>
    <definedName name="MI_FINANCIAL" localSheetId="26">'Consumers Mutual'!$B$28:$F$28</definedName>
    <definedName name="MI_FINANCIAL" localSheetId="27">'Consumers United'!$B$28:$F$28</definedName>
    <definedName name="MI_FINANCIAL" localSheetId="28">CoOportunity!$B$28:$F$28</definedName>
    <definedName name="MI_FINANCIAL" localSheetId="29">'Coordinated Hlth'!$B$28:$F$28</definedName>
    <definedName name="MI_FINANCIAL" localSheetId="30">'Corporate Life'!$B$28:$F$28</definedName>
    <definedName name="MI_FINANCIAL" localSheetId="31">'Diamond Benefits'!$B$28:$F$28</definedName>
    <definedName name="MI_FINANCIAL" localSheetId="32">'EBL Life'!$B$28:$F$28</definedName>
    <definedName name="MI_FINANCIAL" localSheetId="34">ELNY!$B$28:$F$28</definedName>
    <definedName name="MI_FINANCIAL" localSheetId="33">'Executive Life'!$B$28:$F$28</definedName>
    <definedName name="MI_FINANCIAL" localSheetId="35">'Family Guaranty'!$B$28:$F$28</definedName>
    <definedName name="MI_FINANCIAL" localSheetId="36">'Fidelity Bankers'!$B$28:$F$28</definedName>
    <definedName name="MI_FINANCIAL" localSheetId="37">'Fidelity Mutual'!$B$28:$F$28</definedName>
    <definedName name="MI_FINANCIAL" localSheetId="38">'First Capital'!$B$28:$F$28</definedName>
    <definedName name="MI_FINANCIAL" localSheetId="39">'First Natl'!$B$28:$F$28</definedName>
    <definedName name="MI_FINANCIAL" localSheetId="40">'First Natl (Thrnr)'!$B$28:$F$28</definedName>
    <definedName name="MI_FINANCIAL" localSheetId="41">'Franklin American'!$B$28:$F$28</definedName>
    <definedName name="MI_FINANCIAL" localSheetId="42">'Franklin Protective'!$B$28:$F$28</definedName>
    <definedName name="MI_FINANCIAL" localSheetId="43">'Freelancers CO-OP'!$B$28:$F$28</definedName>
    <definedName name="MI_FINANCIAL" localSheetId="44">Freestone!$B$28:$F$28</definedName>
    <definedName name="MI_FINANCIAL" localSheetId="45">'George Washington'!$B$28:$F$28</definedName>
    <definedName name="MI_FINANCIAL" localSheetId="46">'Golden State'!$B$28:$F$28</definedName>
    <definedName name="MI_FINANCIAL" localSheetId="47">'Guarantee Security'!$B$28:$F$28</definedName>
    <definedName name="MI_FINANCIAL" localSheetId="48">HealthyCT!$B$28:$F$28</definedName>
    <definedName name="MI_FINANCIAL" localSheetId="49">Imerica!$B$28:$F$28</definedName>
    <definedName name="MI_FINANCIAL" localSheetId="50">'Inter-American'!$B$28:$F$28</definedName>
    <definedName name="MI_FINANCIAL" localSheetId="51">'International Fin'!$B$28:$F$28</definedName>
    <definedName name="MI_FINANCIAL" localSheetId="52">'Investment Life of America'!$B$28:$F$28</definedName>
    <definedName name="MI_FINANCIAL" localSheetId="53">'Investors Equity'!$B$28:$F$28</definedName>
    <definedName name="MI_FINANCIAL" localSheetId="54">'Kentucky Central'!$B$28:$F$28</definedName>
    <definedName name="MI_FINANCIAL" localSheetId="55">'Land of Lincoln'!$B$28:$F$28</definedName>
    <definedName name="MI_FINANCIAL" localSheetId="56">Legion!$B$28:$F$28</definedName>
    <definedName name="MI_FINANCIAL" localSheetId="57">'Life Health America'!$B$28:$F$28</definedName>
    <definedName name="MI_FINANCIAL" localSheetId="58">'Lincoln Memorial'!$B$28:$F$28</definedName>
    <definedName name="MI_FINANCIAL" localSheetId="59">'London Pac'!$B$28:$F$28</definedName>
    <definedName name="MI_FINANCIAL" localSheetId="60">Lumbermens!$B$28:$F$28</definedName>
    <definedName name="MI_FINANCIAL" localSheetId="61">'Medical Savings'!$B$28:$F$28</definedName>
    <definedName name="MI_FINANCIAL" localSheetId="62">'Memorial Service'!$B$28:$F$28</definedName>
    <definedName name="MI_FINANCIAL" localSheetId="63">Midcontinent!$B$28:$F$28</definedName>
    <definedName name="MI_FINANCIAL" localSheetId="64">'Midwest Life'!$B$28:$F$28</definedName>
    <definedName name="MI_FINANCIAL" localSheetId="65">'Monarch Life'!$B$28:$F$28</definedName>
    <definedName name="MI_FINANCIAL" localSheetId="66">'Mutual Benefit'!$B$28:$F$28</definedName>
    <definedName name="MI_FINANCIAL" localSheetId="67">'Mutual Security'!$B$28:$F$28</definedName>
    <definedName name="MI_FINANCIAL" localSheetId="68">'National Affiliated'!$B$28:$F$28</definedName>
    <definedName name="MI_FINANCIAL" localSheetId="70">'National Heritage'!$B$28:$F$28</definedName>
    <definedName name="MI_FINANCIAL" localSheetId="71">'National States'!$B$28:$F$28</definedName>
    <definedName name="MI_FINANCIAL" localSheetId="69">'Natl American'!$B$28:$F$28</definedName>
    <definedName name="MI_FINANCIAL" localSheetId="72">'New Jersey Life'!$B$28:$F$28</definedName>
    <definedName name="MI_FINANCIAL" localSheetId="74">NNIC!$B$28:$F$28</definedName>
    <definedName name="MI_FINANCIAL" localSheetId="73">'North Carolina Mutual'!$B$28:$F$28</definedName>
    <definedName name="MI_FINANCIAL" localSheetId="75">'Old Colony Life'!$B$28:$F$28</definedName>
    <definedName name="MI_FINANCIAL" localSheetId="76">'Old Faithful'!$B$28:$F$28</definedName>
    <definedName name="MI_FINANCIAL" localSheetId="77">'Pacific Standard'!$B$28:$F$28</definedName>
    <definedName name="MI_FINANCIAL" localSheetId="78">'Pavonia Life'!$B$28:$F$28</definedName>
    <definedName name="MI_FINANCIAL" localSheetId="79">'Pen  Treaty'!$B$28:$F$28</definedName>
    <definedName name="MI_FINANCIAL" localSheetId="80">'Red Rock'!$B$28:$F$28</definedName>
    <definedName name="MI_FINANCIAL" localSheetId="81">Reliance!$B$28:$F$28</definedName>
    <definedName name="MI_FINANCIAL" localSheetId="82">SeeChange!$B$28:$F$28</definedName>
    <definedName name="MI_FINANCIAL" localSheetId="83">'Senior American'!$B$28:$F$28</definedName>
    <definedName name="MI_FINANCIAL" localSheetId="84">Settlers!$B$28:$F$28</definedName>
    <definedName name="MI_FINANCIAL" localSheetId="85">Shenandoah!$B$28:$F$28</definedName>
    <definedName name="MI_FINANCIAL" localSheetId="86">'Southland National Life'!$B$28:$F$28</definedName>
    <definedName name="MI_FINANCIAL" localSheetId="87">'Standard Life IN'!$B$28:$F$28</definedName>
    <definedName name="MI_FINANCIAL" localSheetId="88">'States General'!$B$28:$F$28</definedName>
    <definedName name="MI_FINANCIAL" localSheetId="89">Statesman!$B$28:$F$28</definedName>
    <definedName name="MI_FINANCIAL" localSheetId="90">'Summit National'!$B$28:$F$28</definedName>
    <definedName name="MI_FINANCIAL" localSheetId="91">Supreme!$B$28:$F$28</definedName>
    <definedName name="MI_FINANCIAL" localSheetId="92">Time!$B$28:$F$28</definedName>
    <definedName name="MI_FINANCIAL" localSheetId="106">'Total Summary'!$B$28:$F$28</definedName>
    <definedName name="MI_FINANCIAL" localSheetId="93">Underwriters!$B$28:$F$28</definedName>
    <definedName name="MI_FINANCIAL" localSheetId="94">Unison!$B$28:$F$28</definedName>
    <definedName name="MI_FINANCIAL" localSheetId="95">'United Republic'!$B$28:$F$28</definedName>
    <definedName name="MI_FINANCIAL" localSheetId="96">'Universal Health Care'!$B$28:$F$28</definedName>
    <definedName name="MI_FINANCIAL" localSheetId="97">'Universal Life'!$B$28:$F$28</definedName>
    <definedName name="MI_FINANCIAL" localSheetId="98">Universe!$B$28:$F$28</definedName>
    <definedName name="MI_FINANCIAL" localSheetId="99">Villanova!$B$28:$F$28</definedName>
    <definedName name="MN_FINANCIAL" localSheetId="0">'AF&amp;L'!$B$29:$F$29</definedName>
    <definedName name="MN_FINANCIAL" localSheetId="1">'Alabama Life'!$B$29:$F$29</definedName>
    <definedName name="MN_FINANCIAL" localSheetId="6">'Amer Life Asr'!$B$29:$F$29</definedName>
    <definedName name="MN_FINANCIAL" localSheetId="9">'Amer Std Life Acc'!$B$29:$F$29</definedName>
    <definedName name="MN_FINANCIAL" localSheetId="2">'American Chambers'!$B$29:$F$29</definedName>
    <definedName name="MN_FINANCIAL" localSheetId="3">'American Community'!$B$29:$F$29</definedName>
    <definedName name="MN_FINANCIAL" localSheetId="4">'American Educators'!$B$29:$F$29</definedName>
    <definedName name="MN_FINANCIAL" localSheetId="5">'American Integrity'!$B$29:$F$29</definedName>
    <definedName name="MN_FINANCIAL" localSheetId="7">'American Medical'!$B$29:$F$29</definedName>
    <definedName name="MN_FINANCIAL" localSheetId="8">'American Network'!$B$29:$F$29</definedName>
    <definedName name="MN_FINANCIAL" localSheetId="10">AmerWstrn!$B$29:$F$29</definedName>
    <definedName name="MN_FINANCIAL" localSheetId="11">'AMS Life'!$B$29:$F$29</definedName>
    <definedName name="MN_FINANCIAL" localSheetId="12">'Andrew Jackson'!$B$29:$F$29</definedName>
    <definedName name="MN_FINANCIAL" localSheetId="13">'Bankers Commercial'!$B$29:$F$29</definedName>
    <definedName name="MN_FINANCIAL" localSheetId="14">'Bankers Life'!$B$29:$F$29</definedName>
    <definedName name="MN_FINANCIAL" localSheetId="15">Benicorp!$B$29:$F$29</definedName>
    <definedName name="MN_FINANCIAL" localSheetId="16">'Booker T Washington'!$B$29:$F$29</definedName>
    <definedName name="MN_FINANCIAL" localSheetId="17">Centennial!$B$29:$F$29</definedName>
    <definedName name="MN_FINANCIAL" localSheetId="19">'CO Bankers'!$B$29:$F$29</definedName>
    <definedName name="MN_FINANCIAL" localSheetId="18">'Coastal States'!$B$29:$F$29</definedName>
    <definedName name="MN_FINANCIAL" localSheetId="20">'Colorado Health'!$B$29:$F$29</definedName>
    <definedName name="MN_FINANCIAL" localSheetId="21">'Compass (dbs Meritus)'!$B$29:$F$29</definedName>
    <definedName name="MN_FINANCIAL" localSheetId="22">'Confed Life &amp; Annty (CLIAC)'!$B$29:$F$29</definedName>
    <definedName name="MN_FINANCIAL" localSheetId="23">'Confed Life (CLIC)'!$B$29:$F$29</definedName>
    <definedName name="MN_FINANCIAL" localSheetId="24">'Consolidated National'!$B$29:$F$29</definedName>
    <definedName name="MN_FINANCIAL" localSheetId="25">'Consumers Choice'!$B$29:$F$29</definedName>
    <definedName name="MN_FINANCIAL" localSheetId="26">'Consumers Mutual'!$B$29:$F$29</definedName>
    <definedName name="MN_FINANCIAL" localSheetId="27">'Consumers United'!$B$29:$F$29</definedName>
    <definedName name="MN_FINANCIAL" localSheetId="28">CoOportunity!$B$29:$F$29</definedName>
    <definedName name="MN_FINANCIAL" localSheetId="29">'Coordinated Hlth'!$B$29:$F$29</definedName>
    <definedName name="MN_FINANCIAL" localSheetId="30">'Corporate Life'!$B$29:$F$29</definedName>
    <definedName name="MN_FINANCIAL" localSheetId="31">'Diamond Benefits'!$B$29:$F$29</definedName>
    <definedName name="MN_FINANCIAL" localSheetId="32">'EBL Life'!$B$29:$F$29</definedName>
    <definedName name="MN_FINANCIAL" localSheetId="34">ELNY!$B$29:$F$29</definedName>
    <definedName name="MN_FINANCIAL" localSheetId="33">'Executive Life'!$B$29:$F$29</definedName>
    <definedName name="MN_FINANCIAL" localSheetId="35">'Family Guaranty'!$B$29:$F$29</definedName>
    <definedName name="MN_FINANCIAL" localSheetId="36">'Fidelity Bankers'!$B$29:$F$29</definedName>
    <definedName name="MN_FINANCIAL" localSheetId="37">'Fidelity Mutual'!$B$29:$F$29</definedName>
    <definedName name="MN_FINANCIAL" localSheetId="38">'First Capital'!$B$29:$F$29</definedName>
    <definedName name="MN_FINANCIAL" localSheetId="39">'First Natl'!$B$29:$F$29</definedName>
    <definedName name="MN_FINANCIAL" localSheetId="40">'First Natl (Thrnr)'!$B$29:$F$29</definedName>
    <definedName name="MN_FINANCIAL" localSheetId="41">'Franklin American'!$B$29:$F$29</definedName>
    <definedName name="MN_FINANCIAL" localSheetId="42">'Franklin Protective'!$B$29:$F$29</definedName>
    <definedName name="MN_FINANCIAL" localSheetId="43">'Freelancers CO-OP'!$B$29:$F$29</definedName>
    <definedName name="MN_FINANCIAL" localSheetId="44">Freestone!$B$29:$F$29</definedName>
    <definedName name="MN_FINANCIAL" localSheetId="45">'George Washington'!$B$29:$F$29</definedName>
    <definedName name="MN_FINANCIAL" localSheetId="46">'Golden State'!$B$29:$F$29</definedName>
    <definedName name="MN_FINANCIAL" localSheetId="47">'Guarantee Security'!$B$29:$F$29</definedName>
    <definedName name="MN_FINANCIAL" localSheetId="48">HealthyCT!$B$29:$F$29</definedName>
    <definedName name="MN_FINANCIAL" localSheetId="49">Imerica!$B$29:$F$29</definedName>
    <definedName name="MN_FINANCIAL" localSheetId="50">'Inter-American'!$B$29:$F$29</definedName>
    <definedName name="MN_FINANCIAL" localSheetId="51">'International Fin'!$B$29:$F$29</definedName>
    <definedName name="MN_FINANCIAL" localSheetId="52">'Investment Life of America'!$B$29:$F$29</definedName>
    <definedName name="MN_FINANCIAL" localSheetId="53">'Investors Equity'!$B$29:$F$29</definedName>
    <definedName name="MN_FINANCIAL" localSheetId="54">'Kentucky Central'!$B$29:$F$29</definedName>
    <definedName name="MN_FINANCIAL" localSheetId="55">'Land of Lincoln'!$B$29:$F$29</definedName>
    <definedName name="MN_FINANCIAL" localSheetId="56">Legion!$B$29:$F$29</definedName>
    <definedName name="MN_FINANCIAL" localSheetId="57">'Life Health America'!$B$29:$F$29</definedName>
    <definedName name="MN_FINANCIAL" localSheetId="58">'Lincoln Memorial'!$B$29:$F$29</definedName>
    <definedName name="MN_FINANCIAL" localSheetId="59">'London Pac'!$B$29:$F$29</definedName>
    <definedName name="MN_FINANCIAL" localSheetId="60">Lumbermens!$B$29:$F$29</definedName>
    <definedName name="MN_FINANCIAL" localSheetId="61">'Medical Savings'!$B$29:$F$29</definedName>
    <definedName name="MN_FINANCIAL" localSheetId="62">'Memorial Service'!$B$29:$F$29</definedName>
    <definedName name="MN_FINANCIAL" localSheetId="63">Midcontinent!$B$29:$F$29</definedName>
    <definedName name="MN_FINANCIAL" localSheetId="64">'Midwest Life'!$B$29:$F$29</definedName>
    <definedName name="MN_FINANCIAL" localSheetId="65">'Monarch Life'!$B$29:$F$29</definedName>
    <definedName name="MN_FINANCIAL" localSheetId="66">'Mutual Benefit'!$B$29:$F$29</definedName>
    <definedName name="MN_FINANCIAL" localSheetId="67">'Mutual Security'!$B$29:$F$29</definedName>
    <definedName name="MN_FINANCIAL" localSheetId="68">'National Affiliated'!$B$29:$F$29</definedName>
    <definedName name="MN_FINANCIAL" localSheetId="70">'National Heritage'!$B$29:$F$29</definedName>
    <definedName name="MN_FINANCIAL" localSheetId="71">'National States'!$B$29:$F$29</definedName>
    <definedName name="MN_FINANCIAL" localSheetId="69">'Natl American'!$B$29:$F$29</definedName>
    <definedName name="MN_FINANCIAL" localSheetId="72">'New Jersey Life'!$B$29:$F$29</definedName>
    <definedName name="MN_FINANCIAL" localSheetId="74">NNIC!$B$29:$F$29</definedName>
    <definedName name="MN_FINANCIAL" localSheetId="73">'North Carolina Mutual'!$B$29:$F$29</definedName>
    <definedName name="MN_FINANCIAL" localSheetId="75">'Old Colony Life'!$B$29:$F$29</definedName>
    <definedName name="MN_FINANCIAL" localSheetId="76">'Old Faithful'!$B$29:$F$29</definedName>
    <definedName name="MN_FINANCIAL" localSheetId="77">'Pacific Standard'!$B$29:$F$29</definedName>
    <definedName name="MN_FINANCIAL" localSheetId="78">'Pavonia Life'!$B$29:$F$29</definedName>
    <definedName name="MN_FINANCIAL" localSheetId="79">'Pen  Treaty'!$B$29:$F$29</definedName>
    <definedName name="MN_FINANCIAL" localSheetId="80">'Red Rock'!$B$29:$F$29</definedName>
    <definedName name="MN_FINANCIAL" localSheetId="81">Reliance!$B$29:$F$29</definedName>
    <definedName name="MN_FINANCIAL" localSheetId="82">SeeChange!$B$29:$F$29</definedName>
    <definedName name="MN_FINANCIAL" localSheetId="83">'Senior American'!$B$29:$F$29</definedName>
    <definedName name="MN_FINANCIAL" localSheetId="84">Settlers!$B$29:$F$29</definedName>
    <definedName name="MN_FINANCIAL" localSheetId="85">Shenandoah!$B$29:$F$29</definedName>
    <definedName name="MN_FINANCIAL" localSheetId="86">'Southland National Life'!$B$29:$F$29</definedName>
    <definedName name="MN_FINANCIAL" localSheetId="87">'Standard Life IN'!$B$29:$F$29</definedName>
    <definedName name="MN_FINANCIAL" localSheetId="88">'States General'!$B$29:$F$29</definedName>
    <definedName name="MN_FINANCIAL" localSheetId="89">Statesman!$B$29:$F$29</definedName>
    <definedName name="MN_FINANCIAL" localSheetId="90">'Summit National'!$B$29:$F$29</definedName>
    <definedName name="MN_FINANCIAL" localSheetId="91">Supreme!$B$29:$F$29</definedName>
    <definedName name="MN_FINANCIAL" localSheetId="92">Time!$B$29:$F$29</definedName>
    <definedName name="MN_FINANCIAL" localSheetId="106">'Total Summary'!$B$29:$F$29</definedName>
    <definedName name="MN_FINANCIAL" localSheetId="93">Underwriters!$B$29:$F$29</definedName>
    <definedName name="MN_FINANCIAL" localSheetId="94">Unison!$B$29:$F$29</definedName>
    <definedName name="MN_FINANCIAL" localSheetId="95">'United Republic'!$B$29:$F$29</definedName>
    <definedName name="MN_FINANCIAL" localSheetId="96">'Universal Health Care'!$B$29:$F$29</definedName>
    <definedName name="MN_FINANCIAL" localSheetId="97">'Universal Life'!$B$29:$F$29</definedName>
    <definedName name="MN_FINANCIAL" localSheetId="98">Universe!$B$29:$F$29</definedName>
    <definedName name="MN_FINANCIAL" localSheetId="99">Villanova!$B$29:$F$29</definedName>
    <definedName name="MO_FINANCIAL" localSheetId="0">'AF&amp;L'!$B$31:$F$31</definedName>
    <definedName name="MO_FINANCIAL" localSheetId="1">'Alabama Life'!$B$31:$F$31</definedName>
    <definedName name="MO_FINANCIAL" localSheetId="6">'Amer Life Asr'!$B$31:$F$31</definedName>
    <definedName name="MO_FINANCIAL" localSheetId="9">'Amer Std Life Acc'!$B$31:$F$31</definedName>
    <definedName name="MO_FINANCIAL" localSheetId="2">'American Chambers'!$B$31:$F$31</definedName>
    <definedName name="MO_FINANCIAL" localSheetId="3">'American Community'!$B$31:$F$31</definedName>
    <definedName name="MO_FINANCIAL" localSheetId="4">'American Educators'!$B$31:$F$31</definedName>
    <definedName name="MO_FINANCIAL" localSheetId="5">'American Integrity'!$B$31:$F$31</definedName>
    <definedName name="MO_FINANCIAL" localSheetId="7">'American Medical'!$B$31:$F$31</definedName>
    <definedName name="MO_FINANCIAL" localSheetId="8">'American Network'!$B$31:$F$31</definedName>
    <definedName name="MO_FINANCIAL" localSheetId="10">AmerWstrn!$B$31:$F$31</definedName>
    <definedName name="MO_FINANCIAL" localSheetId="11">'AMS Life'!$B$31:$F$31</definedName>
    <definedName name="MO_FINANCIAL" localSheetId="12">'Andrew Jackson'!$B$31:$F$31</definedName>
    <definedName name="MO_FINANCIAL" localSheetId="13">'Bankers Commercial'!$B$31:$F$31</definedName>
    <definedName name="MO_FINANCIAL" localSheetId="14">'Bankers Life'!$B$31:$F$31</definedName>
    <definedName name="MO_FINANCIAL" localSheetId="15">Benicorp!$B$31:$F$31</definedName>
    <definedName name="MO_FINANCIAL" localSheetId="16">'Booker T Washington'!$B$31:$F$31</definedName>
    <definedName name="MO_FINANCIAL" localSheetId="17">Centennial!$B$31:$F$31</definedName>
    <definedName name="MO_FINANCIAL" localSheetId="19">'CO Bankers'!$B$31:$F$31</definedName>
    <definedName name="MO_FINANCIAL" localSheetId="18">'Coastal States'!$B$31:$F$31</definedName>
    <definedName name="MO_FINANCIAL" localSheetId="20">'Colorado Health'!$B$31:$F$31</definedName>
    <definedName name="MO_FINANCIAL" localSheetId="21">'Compass (dbs Meritus)'!$B$31:$F$31</definedName>
    <definedName name="MO_FINANCIAL" localSheetId="22">'Confed Life &amp; Annty (CLIAC)'!$B$31:$F$31</definedName>
    <definedName name="MO_FINANCIAL" localSheetId="23">'Confed Life (CLIC)'!$B$31:$F$31</definedName>
    <definedName name="MO_FINANCIAL" localSheetId="24">'Consolidated National'!$B$31:$F$31</definedName>
    <definedName name="MO_FINANCIAL" localSheetId="25">'Consumers Choice'!$B$31:$F$31</definedName>
    <definedName name="MO_FINANCIAL" localSheetId="26">'Consumers Mutual'!$B$31:$F$31</definedName>
    <definedName name="MO_FINANCIAL" localSheetId="27">'Consumers United'!$B$31:$F$31</definedName>
    <definedName name="MO_FINANCIAL" localSheetId="28">CoOportunity!$B$31:$F$31</definedName>
    <definedName name="MO_FINANCIAL" localSheetId="29">'Coordinated Hlth'!$B$31:$F$31</definedName>
    <definedName name="MO_FINANCIAL" localSheetId="30">'Corporate Life'!$B$31:$F$31</definedName>
    <definedName name="MO_FINANCIAL" localSheetId="31">'Diamond Benefits'!$B$31:$F$31</definedName>
    <definedName name="MO_FINANCIAL" localSheetId="32">'EBL Life'!$B$31:$F$31</definedName>
    <definedName name="MO_FINANCIAL" localSheetId="34">ELNY!$B$31:$F$31</definedName>
    <definedName name="MO_FINANCIAL" localSheetId="33">'Executive Life'!$B$31:$F$31</definedName>
    <definedName name="MO_FINANCIAL" localSheetId="35">'Family Guaranty'!$B$31:$F$31</definedName>
    <definedName name="MO_FINANCIAL" localSheetId="36">'Fidelity Bankers'!$B$31:$F$31</definedName>
    <definedName name="MO_FINANCIAL" localSheetId="37">'Fidelity Mutual'!$B$31:$F$31</definedName>
    <definedName name="MO_FINANCIAL" localSheetId="38">'First Capital'!$B$31:$F$31</definedName>
    <definedName name="MO_FINANCIAL" localSheetId="39">'First Natl'!$B$31:$F$31</definedName>
    <definedName name="MO_FINANCIAL" localSheetId="40">'First Natl (Thrnr)'!$B$31:$F$31</definedName>
    <definedName name="MO_FINANCIAL" localSheetId="41">'Franklin American'!$B$31:$F$31</definedName>
    <definedName name="MO_FINANCIAL" localSheetId="42">'Franklin Protective'!$B$31:$F$31</definedName>
    <definedName name="MO_FINANCIAL" localSheetId="43">'Freelancers CO-OP'!$B$31:$F$31</definedName>
    <definedName name="MO_FINANCIAL" localSheetId="44">Freestone!$B$31:$F$31</definedName>
    <definedName name="MO_FINANCIAL" localSheetId="45">'George Washington'!$B$31:$F$31</definedName>
    <definedName name="MO_FINANCIAL" localSheetId="46">'Golden State'!$B$31:$F$31</definedName>
    <definedName name="MO_FINANCIAL" localSheetId="47">'Guarantee Security'!$B$31:$F$31</definedName>
    <definedName name="MO_FINANCIAL" localSheetId="48">HealthyCT!$B$31:$F$31</definedName>
    <definedName name="MO_FINANCIAL" localSheetId="49">Imerica!$B$31:$F$31</definedName>
    <definedName name="MO_FINANCIAL" localSheetId="50">'Inter-American'!$B$31:$F$31</definedName>
    <definedName name="MO_FINANCIAL" localSheetId="51">'International Fin'!$B$31:$F$31</definedName>
    <definedName name="MO_FINANCIAL" localSheetId="52">'Investment Life of America'!$B$31:$F$31</definedName>
    <definedName name="MO_FINANCIAL" localSheetId="53">'Investors Equity'!$B$31:$F$31</definedName>
    <definedName name="MO_FINANCIAL" localSheetId="54">'Kentucky Central'!$B$31:$F$31</definedName>
    <definedName name="MO_FINANCIAL" localSheetId="55">'Land of Lincoln'!$B$31:$F$31</definedName>
    <definedName name="MO_FINANCIAL" localSheetId="56">Legion!$B$31:$F$31</definedName>
    <definedName name="MO_FINANCIAL" localSheetId="57">'Life Health America'!$B$31:$F$31</definedName>
    <definedName name="MO_FINANCIAL" localSheetId="58">'Lincoln Memorial'!$B$31:$F$31</definedName>
    <definedName name="MO_FINANCIAL" localSheetId="59">'London Pac'!$B$31:$F$31</definedName>
    <definedName name="MO_FINANCIAL" localSheetId="60">Lumbermens!$B$31:$F$31</definedName>
    <definedName name="MO_FINANCIAL" localSheetId="61">'Medical Savings'!$B$31:$F$31</definedName>
    <definedName name="MO_FINANCIAL" localSheetId="62">'Memorial Service'!$B$31:$F$31</definedName>
    <definedName name="MO_FINANCIAL" localSheetId="63">Midcontinent!$B$31:$F$31</definedName>
    <definedName name="MO_FINANCIAL" localSheetId="64">'Midwest Life'!$B$31:$F$31</definedName>
    <definedName name="MO_FINANCIAL" localSheetId="65">'Monarch Life'!$B$31:$F$31</definedName>
    <definedName name="MO_FINANCIAL" localSheetId="66">'Mutual Benefit'!$B$31:$F$31</definedName>
    <definedName name="MO_FINANCIAL" localSheetId="67">'Mutual Security'!$B$31:$F$31</definedName>
    <definedName name="MO_FINANCIAL" localSheetId="68">'National Affiliated'!$B$31:$F$31</definedName>
    <definedName name="MO_FINANCIAL" localSheetId="70">'National Heritage'!$B$31:$F$31</definedName>
    <definedName name="MO_FINANCIAL" localSheetId="71">'National States'!$B$31:$F$31</definedName>
    <definedName name="MO_FINANCIAL" localSheetId="69">'Natl American'!$B$31:$F$31</definedName>
    <definedName name="MO_FINANCIAL" localSheetId="72">'New Jersey Life'!$B$31:$F$31</definedName>
    <definedName name="MO_FINANCIAL" localSheetId="74">NNIC!$B$31:$F$31</definedName>
    <definedName name="MO_FINANCIAL" localSheetId="73">'North Carolina Mutual'!$B$31:$F$31</definedName>
    <definedName name="MO_FINANCIAL" localSheetId="75">'Old Colony Life'!$B$31:$F$31</definedName>
    <definedName name="MO_FINANCIAL" localSheetId="76">'Old Faithful'!$B$31:$F$31</definedName>
    <definedName name="MO_FINANCIAL" localSheetId="77">'Pacific Standard'!$B$31:$F$31</definedName>
    <definedName name="MO_FINANCIAL" localSheetId="78">'Pavonia Life'!$B$31:$F$31</definedName>
    <definedName name="MO_FINANCIAL" localSheetId="79">'Pen  Treaty'!$B$31:$F$31</definedName>
    <definedName name="MO_FINANCIAL" localSheetId="80">'Red Rock'!$B$31:$F$31</definedName>
    <definedName name="MO_FINANCIAL" localSheetId="81">Reliance!$B$31:$F$31</definedName>
    <definedName name="MO_FINANCIAL" localSheetId="82">SeeChange!$B$31:$F$31</definedName>
    <definedName name="MO_FINANCIAL" localSheetId="83">'Senior American'!$B$31:$F$31</definedName>
    <definedName name="MO_FINANCIAL" localSheetId="84">Settlers!$B$31:$F$31</definedName>
    <definedName name="MO_FINANCIAL" localSheetId="85">Shenandoah!$B$31:$F$31</definedName>
    <definedName name="MO_FINANCIAL" localSheetId="86">'Southland National Life'!$B$31:$F$31</definedName>
    <definedName name="MO_FINANCIAL" localSheetId="87">'Standard Life IN'!$B$31:$F$31</definedName>
    <definedName name="MO_FINANCIAL" localSheetId="88">'States General'!$B$31:$F$31</definedName>
    <definedName name="MO_FINANCIAL" localSheetId="89">Statesman!$B$31:$F$31</definedName>
    <definedName name="MO_FINANCIAL" localSheetId="90">'Summit National'!$B$31:$F$31</definedName>
    <definedName name="MO_FINANCIAL" localSheetId="91">Supreme!$B$31:$F$31</definedName>
    <definedName name="MO_FINANCIAL" localSheetId="92">Time!$B$31:$F$31</definedName>
    <definedName name="MO_FINANCIAL" localSheetId="106">'Total Summary'!$B$31:$F$31</definedName>
    <definedName name="MO_FINANCIAL" localSheetId="93">Underwriters!$B$31:$F$31</definedName>
    <definedName name="MO_FINANCIAL" localSheetId="94">Unison!$B$31:$F$31</definedName>
    <definedName name="MO_FINANCIAL" localSheetId="95">'United Republic'!$B$31:$F$31</definedName>
    <definedName name="MO_FINANCIAL" localSheetId="96">'Universal Health Care'!$B$31:$F$31</definedName>
    <definedName name="MO_FINANCIAL" localSheetId="97">'Universal Life'!$B$31:$F$31</definedName>
    <definedName name="MO_FINANCIAL" localSheetId="98">Universe!$B$31:$F$31</definedName>
    <definedName name="MO_FINANCIAL" localSheetId="99">Villanova!$B$31:$F$31</definedName>
    <definedName name="MS_FINANCIAL" localSheetId="0">'AF&amp;L'!$B$30:$F$30</definedName>
    <definedName name="MS_FINANCIAL" localSheetId="1">'Alabama Life'!$B$30:$F$30</definedName>
    <definedName name="MS_FINANCIAL" localSheetId="6">'Amer Life Asr'!$B$30:$F$30</definedName>
    <definedName name="MS_FINANCIAL" localSheetId="9">'Amer Std Life Acc'!$B$30:$F$30</definedName>
    <definedName name="MS_FINANCIAL" localSheetId="2">'American Chambers'!$B$30:$F$30</definedName>
    <definedName name="MS_FINANCIAL" localSheetId="3">'American Community'!$B$30:$F$30</definedName>
    <definedName name="MS_FINANCIAL" localSheetId="4">'American Educators'!$B$30:$F$30</definedName>
    <definedName name="MS_FINANCIAL" localSheetId="5">'American Integrity'!$B$30:$F$30</definedName>
    <definedName name="MS_FINANCIAL" localSheetId="7">'American Medical'!$B$30:$F$30</definedName>
    <definedName name="MS_FINANCIAL" localSheetId="8">'American Network'!$B$30:$F$30</definedName>
    <definedName name="MS_FINANCIAL" localSheetId="10">AmerWstrn!$B$30:$F$30</definedName>
    <definedName name="MS_FINANCIAL" localSheetId="11">'AMS Life'!$B$30:$F$30</definedName>
    <definedName name="MS_FINANCIAL" localSheetId="12">'Andrew Jackson'!$B$30:$F$30</definedName>
    <definedName name="MS_FINANCIAL" localSheetId="13">'Bankers Commercial'!$B$30:$F$30</definedName>
    <definedName name="MS_FINANCIAL" localSheetId="14">'Bankers Life'!$B$30:$F$30</definedName>
    <definedName name="MS_FINANCIAL" localSheetId="15">Benicorp!$B$30:$F$30</definedName>
    <definedName name="MS_FINANCIAL" localSheetId="16">'Booker T Washington'!$B$30:$F$30</definedName>
    <definedName name="MS_FINANCIAL" localSheetId="17">Centennial!$B$30:$F$30</definedName>
    <definedName name="MS_FINANCIAL" localSheetId="19">'CO Bankers'!$B$30:$F$30</definedName>
    <definedName name="MS_FINANCIAL" localSheetId="18">'Coastal States'!$B$30:$F$30</definedName>
    <definedName name="MS_FINANCIAL" localSheetId="20">'Colorado Health'!$B$30:$F$30</definedName>
    <definedName name="MS_FINANCIAL" localSheetId="21">'Compass (dbs Meritus)'!$B$30:$F$30</definedName>
    <definedName name="MS_FINANCIAL" localSheetId="22">'Confed Life &amp; Annty (CLIAC)'!$B$30:$F$30</definedName>
    <definedName name="MS_FINANCIAL" localSheetId="23">'Confed Life (CLIC)'!$B$30:$F$30</definedName>
    <definedName name="MS_FINANCIAL" localSheetId="24">'Consolidated National'!$B$30:$F$30</definedName>
    <definedName name="MS_FINANCIAL" localSheetId="25">'Consumers Choice'!$B$30:$F$30</definedName>
    <definedName name="MS_FINANCIAL" localSheetId="26">'Consumers Mutual'!$B$30:$F$30</definedName>
    <definedName name="MS_FINANCIAL" localSheetId="27">'Consumers United'!$B$30:$F$30</definedName>
    <definedName name="MS_FINANCIAL" localSheetId="28">CoOportunity!$B$30:$F$30</definedName>
    <definedName name="MS_FINANCIAL" localSheetId="29">'Coordinated Hlth'!$B$30:$F$30</definedName>
    <definedName name="MS_FINANCIAL" localSheetId="30">'Corporate Life'!$B$30:$F$30</definedName>
    <definedName name="MS_FINANCIAL" localSheetId="31">'Diamond Benefits'!$B$30:$F$30</definedName>
    <definedName name="MS_FINANCIAL" localSheetId="32">'EBL Life'!$B$30:$F$30</definedName>
    <definedName name="MS_FINANCIAL" localSheetId="34">ELNY!$B$30:$F$30</definedName>
    <definedName name="MS_FINANCIAL" localSheetId="33">'Executive Life'!$B$30:$F$30</definedName>
    <definedName name="MS_FINANCIAL" localSheetId="35">'Family Guaranty'!$B$30:$F$30</definedName>
    <definedName name="MS_FINANCIAL" localSheetId="36">'Fidelity Bankers'!$B$30:$F$30</definedName>
    <definedName name="MS_FINANCIAL" localSheetId="37">'Fidelity Mutual'!$B$30:$F$30</definedName>
    <definedName name="MS_FINANCIAL" localSheetId="38">'First Capital'!$B$30:$F$30</definedName>
    <definedName name="MS_FINANCIAL" localSheetId="39">'First Natl'!$B$30:$F$30</definedName>
    <definedName name="MS_FINANCIAL" localSheetId="40">'First Natl (Thrnr)'!$B$30:$F$30</definedName>
    <definedName name="MS_FINANCIAL" localSheetId="41">'Franklin American'!$B$30:$F$30</definedName>
    <definedName name="MS_FINANCIAL" localSheetId="42">'Franklin Protective'!$B$30:$F$30</definedName>
    <definedName name="MS_FINANCIAL" localSheetId="43">'Freelancers CO-OP'!$B$30:$F$30</definedName>
    <definedName name="MS_FINANCIAL" localSheetId="44">Freestone!$B$30:$F$30</definedName>
    <definedName name="MS_FINANCIAL" localSheetId="45">'George Washington'!$B$30:$F$30</definedName>
    <definedName name="MS_FINANCIAL" localSheetId="46">'Golden State'!$B$30:$F$30</definedName>
    <definedName name="MS_FINANCIAL" localSheetId="47">'Guarantee Security'!$B$30:$F$30</definedName>
    <definedName name="MS_FINANCIAL" localSheetId="48">HealthyCT!$B$30:$F$30</definedName>
    <definedName name="MS_FINANCIAL" localSheetId="49">Imerica!$B$30:$F$30</definedName>
    <definedName name="MS_FINANCIAL" localSheetId="50">'Inter-American'!$B$30:$F$30</definedName>
    <definedName name="MS_FINANCIAL" localSheetId="51">'International Fin'!$B$30:$F$30</definedName>
    <definedName name="MS_FINANCIAL" localSheetId="52">'Investment Life of America'!$B$30:$F$30</definedName>
    <definedName name="MS_FINANCIAL" localSheetId="53">'Investors Equity'!$B$30:$F$30</definedName>
    <definedName name="MS_FINANCIAL" localSheetId="54">'Kentucky Central'!$B$30:$F$30</definedName>
    <definedName name="MS_FINANCIAL" localSheetId="55">'Land of Lincoln'!$B$30:$F$30</definedName>
    <definedName name="MS_FINANCIAL" localSheetId="56">Legion!$B$30:$F$30</definedName>
    <definedName name="MS_FINANCIAL" localSheetId="57">'Life Health America'!$B$30:$F$30</definedName>
    <definedName name="MS_FINANCIAL" localSheetId="58">'Lincoln Memorial'!$B$30:$F$30</definedName>
    <definedName name="MS_FINANCIAL" localSheetId="59">'London Pac'!$B$30:$F$30</definedName>
    <definedName name="MS_FINANCIAL" localSheetId="60">Lumbermens!$B$30:$F$30</definedName>
    <definedName name="MS_FINANCIAL" localSheetId="61">'Medical Savings'!$B$30:$F$30</definedName>
    <definedName name="MS_FINANCIAL" localSheetId="62">'Memorial Service'!$B$30:$F$30</definedName>
    <definedName name="MS_FINANCIAL" localSheetId="63">Midcontinent!$B$30:$F$30</definedName>
    <definedName name="MS_FINANCIAL" localSheetId="64">'Midwest Life'!$B$30:$F$30</definedName>
    <definedName name="MS_FINANCIAL" localSheetId="65">'Monarch Life'!$B$30:$F$30</definedName>
    <definedName name="MS_FINANCIAL" localSheetId="66">'Mutual Benefit'!$B$30:$F$30</definedName>
    <definedName name="MS_FINANCIAL" localSheetId="67">'Mutual Security'!$B$30:$F$30</definedName>
    <definedName name="MS_FINANCIAL" localSheetId="68">'National Affiliated'!$B$30:$F$30</definedName>
    <definedName name="MS_FINANCIAL" localSheetId="70">'National Heritage'!$B$30:$F$30</definedName>
    <definedName name="MS_FINANCIAL" localSheetId="71">'National States'!$B$30:$F$30</definedName>
    <definedName name="MS_FINANCIAL" localSheetId="69">'Natl American'!$B$30:$F$30</definedName>
    <definedName name="MS_FINANCIAL" localSheetId="72">'New Jersey Life'!$B$30:$F$30</definedName>
    <definedName name="MS_FINANCIAL" localSheetId="74">NNIC!$B$30:$F$30</definedName>
    <definedName name="MS_FINANCIAL" localSheetId="73">'North Carolina Mutual'!$B$30:$F$30</definedName>
    <definedName name="MS_FINANCIAL" localSheetId="75">'Old Colony Life'!$B$30:$F$30</definedName>
    <definedName name="MS_FINANCIAL" localSheetId="76">'Old Faithful'!$B$30:$F$30</definedName>
    <definedName name="MS_FINANCIAL" localSheetId="77">'Pacific Standard'!$B$30:$F$30</definedName>
    <definedName name="MS_FINANCIAL" localSheetId="78">'Pavonia Life'!$B$30:$F$30</definedName>
    <definedName name="MS_FINANCIAL" localSheetId="79">'Pen  Treaty'!$B$30:$F$30</definedName>
    <definedName name="MS_FINANCIAL" localSheetId="80">'Red Rock'!$B$30:$F$30</definedName>
    <definedName name="MS_FINANCIAL" localSheetId="81">Reliance!$B$30:$F$30</definedName>
    <definedName name="MS_FINANCIAL" localSheetId="82">SeeChange!$B$30:$F$30</definedName>
    <definedName name="MS_FINANCIAL" localSheetId="83">'Senior American'!$B$30:$F$30</definedName>
    <definedName name="MS_FINANCIAL" localSheetId="84">Settlers!$B$30:$F$30</definedName>
    <definedName name="MS_FINANCIAL" localSheetId="85">Shenandoah!$B$30:$F$30</definedName>
    <definedName name="MS_FINANCIAL" localSheetId="86">'Southland National Life'!$B$30:$F$30</definedName>
    <definedName name="MS_FINANCIAL" localSheetId="87">'Standard Life IN'!$B$30:$F$30</definedName>
    <definedName name="MS_FINANCIAL" localSheetId="88">'States General'!$B$30:$F$30</definedName>
    <definedName name="MS_FINANCIAL" localSheetId="89">Statesman!$B$30:$F$30</definedName>
    <definedName name="MS_FINANCIAL" localSheetId="90">'Summit National'!$B$30:$F$30</definedName>
    <definedName name="MS_FINANCIAL" localSheetId="91">Supreme!$B$30:$F$30</definedName>
    <definedName name="MS_FINANCIAL" localSheetId="92">Time!$B$30:$F$30</definedName>
    <definedName name="MS_FINANCIAL" localSheetId="106">'Total Summary'!$B$30:$F$30</definedName>
    <definedName name="MS_FINANCIAL" localSheetId="93">Underwriters!$B$30:$F$30</definedName>
    <definedName name="MS_FINANCIAL" localSheetId="94">Unison!$B$30:$F$30</definedName>
    <definedName name="MS_FINANCIAL" localSheetId="95">'United Republic'!$B$30:$F$30</definedName>
    <definedName name="MS_FINANCIAL" localSheetId="96">'Universal Health Care'!$B$30:$F$30</definedName>
    <definedName name="MS_FINANCIAL" localSheetId="97">'Universal Life'!$B$30:$F$30</definedName>
    <definedName name="MS_FINANCIAL" localSheetId="98">Universe!$B$30:$F$30</definedName>
    <definedName name="MS_FINANCIAL" localSheetId="99">Villanova!$B$30:$F$30</definedName>
    <definedName name="MT_FINANCIAL" localSheetId="0">'AF&amp;L'!$B$32:$F$32</definedName>
    <definedName name="MT_FINANCIAL" localSheetId="1">'Alabama Life'!$B$32:$F$32</definedName>
    <definedName name="MT_FINANCIAL" localSheetId="6">'Amer Life Asr'!$B$32:$F$32</definedName>
    <definedName name="MT_FINANCIAL" localSheetId="9">'Amer Std Life Acc'!$B$32:$F$32</definedName>
    <definedName name="MT_FINANCIAL" localSheetId="2">'American Chambers'!$B$32:$F$32</definedName>
    <definedName name="MT_FINANCIAL" localSheetId="3">'American Community'!$B$32:$F$32</definedName>
    <definedName name="MT_FINANCIAL" localSheetId="4">'American Educators'!$B$32:$F$32</definedName>
    <definedName name="MT_FINANCIAL" localSheetId="5">'American Integrity'!$B$32:$F$32</definedName>
    <definedName name="MT_FINANCIAL" localSheetId="7">'American Medical'!$B$32:$F$32</definedName>
    <definedName name="MT_FINANCIAL" localSheetId="8">'American Network'!$B$32:$F$32</definedName>
    <definedName name="MT_FINANCIAL" localSheetId="10">AmerWstrn!$B$32:$F$32</definedName>
    <definedName name="MT_FINANCIAL" localSheetId="11">'AMS Life'!$B$32:$F$32</definedName>
    <definedName name="MT_FINANCIAL" localSheetId="12">'Andrew Jackson'!$B$32:$F$32</definedName>
    <definedName name="MT_FINANCIAL" localSheetId="13">'Bankers Commercial'!$B$32:$F$32</definedName>
    <definedName name="MT_FINANCIAL" localSheetId="14">'Bankers Life'!$B$32:$F$32</definedName>
    <definedName name="MT_FINANCIAL" localSheetId="15">Benicorp!$B$32:$F$32</definedName>
    <definedName name="MT_FINANCIAL" localSheetId="16">'Booker T Washington'!$B$32:$F$32</definedName>
    <definedName name="MT_FINANCIAL" localSheetId="17">Centennial!$B$32:$F$32</definedName>
    <definedName name="MT_FINANCIAL" localSheetId="19">'CO Bankers'!$B$32:$F$32</definedName>
    <definedName name="MT_FINANCIAL" localSheetId="18">'Coastal States'!$B$32:$F$32</definedName>
    <definedName name="MT_FINANCIAL" localSheetId="20">'Colorado Health'!$B$32:$F$32</definedName>
    <definedName name="MT_FINANCIAL" localSheetId="21">'Compass (dbs Meritus)'!$B$32:$F$32</definedName>
    <definedName name="MT_FINANCIAL" localSheetId="22">'Confed Life &amp; Annty (CLIAC)'!$B$32:$F$32</definedName>
    <definedName name="MT_FINANCIAL" localSheetId="23">'Confed Life (CLIC)'!$B$32:$F$32</definedName>
    <definedName name="MT_FINANCIAL" localSheetId="24">'Consolidated National'!$B$32:$F$32</definedName>
    <definedName name="MT_FINANCIAL" localSheetId="25">'Consumers Choice'!$B$32:$F$32</definedName>
    <definedName name="MT_FINANCIAL" localSheetId="26">'Consumers Mutual'!$B$32:$F$32</definedName>
    <definedName name="MT_FINANCIAL" localSheetId="27">'Consumers United'!$B$32:$F$32</definedName>
    <definedName name="MT_FINANCIAL" localSheetId="28">CoOportunity!$B$32:$F$32</definedName>
    <definedName name="MT_FINANCIAL" localSheetId="29">'Coordinated Hlth'!$B$32:$F$32</definedName>
    <definedName name="MT_FINANCIAL" localSheetId="30">'Corporate Life'!$B$32:$F$32</definedName>
    <definedName name="MT_FINANCIAL" localSheetId="31">'Diamond Benefits'!$B$32:$F$32</definedName>
    <definedName name="MT_FINANCIAL" localSheetId="32">'EBL Life'!$B$32:$F$32</definedName>
    <definedName name="MT_FINANCIAL" localSheetId="34">ELNY!$B$32:$F$32</definedName>
    <definedName name="MT_FINANCIAL" localSheetId="33">'Executive Life'!$B$32:$F$32</definedName>
    <definedName name="MT_FINANCIAL" localSheetId="35">'Family Guaranty'!$B$32:$F$32</definedName>
    <definedName name="MT_FINANCIAL" localSheetId="36">'Fidelity Bankers'!$B$32:$F$32</definedName>
    <definedName name="MT_FINANCIAL" localSheetId="37">'Fidelity Mutual'!$B$32:$F$32</definedName>
    <definedName name="MT_FINANCIAL" localSheetId="38">'First Capital'!$B$32:$F$32</definedName>
    <definedName name="MT_FINANCIAL" localSheetId="39">'First Natl'!$B$32:$F$32</definedName>
    <definedName name="MT_FINANCIAL" localSheetId="40">'First Natl (Thrnr)'!$B$32:$F$32</definedName>
    <definedName name="MT_FINANCIAL" localSheetId="41">'Franklin American'!$B$32:$F$32</definedName>
    <definedName name="MT_FINANCIAL" localSheetId="42">'Franklin Protective'!$B$32:$F$32</definedName>
    <definedName name="MT_FINANCIAL" localSheetId="43">'Freelancers CO-OP'!$B$32:$F$32</definedName>
    <definedName name="MT_FINANCIAL" localSheetId="44">Freestone!$B$32:$F$32</definedName>
    <definedName name="MT_FINANCIAL" localSheetId="45">'George Washington'!$B$32:$F$32</definedName>
    <definedName name="MT_FINANCIAL" localSheetId="46">'Golden State'!$B$32:$F$32</definedName>
    <definedName name="MT_FINANCIAL" localSheetId="47">'Guarantee Security'!$B$32:$F$32</definedName>
    <definedName name="MT_FINANCIAL" localSheetId="48">HealthyCT!$B$32:$F$32</definedName>
    <definedName name="MT_FINANCIAL" localSheetId="49">Imerica!$B$32:$F$32</definedName>
    <definedName name="MT_FINANCIAL" localSheetId="50">'Inter-American'!$B$32:$F$32</definedName>
    <definedName name="MT_FINANCIAL" localSheetId="51">'International Fin'!$B$32:$F$32</definedName>
    <definedName name="MT_FINANCIAL" localSheetId="52">'Investment Life of America'!$B$32:$F$32</definedName>
    <definedName name="MT_FINANCIAL" localSheetId="53">'Investors Equity'!$B$32:$F$32</definedName>
    <definedName name="MT_FINANCIAL" localSheetId="54">'Kentucky Central'!$B$32:$F$32</definedName>
    <definedName name="MT_FINANCIAL" localSheetId="55">'Land of Lincoln'!$B$32:$F$32</definedName>
    <definedName name="MT_FINANCIAL" localSheetId="56">Legion!$B$32:$F$32</definedName>
    <definedName name="MT_FINANCIAL" localSheetId="57">'Life Health America'!$B$32:$F$32</definedName>
    <definedName name="MT_FINANCIAL" localSheetId="58">'Lincoln Memorial'!$B$32:$F$32</definedName>
    <definedName name="MT_FINANCIAL" localSheetId="59">'London Pac'!$B$32:$F$32</definedName>
    <definedName name="MT_FINANCIAL" localSheetId="60">Lumbermens!$B$32:$F$32</definedName>
    <definedName name="MT_FINANCIAL" localSheetId="61">'Medical Savings'!$B$32:$F$32</definedName>
    <definedName name="MT_FINANCIAL" localSheetId="62">'Memorial Service'!$B$32:$F$32</definedName>
    <definedName name="MT_FINANCIAL" localSheetId="63">Midcontinent!$B$32:$F$32</definedName>
    <definedName name="MT_FINANCIAL" localSheetId="64">'Midwest Life'!$B$32:$F$32</definedName>
    <definedName name="MT_FINANCIAL" localSheetId="65">'Monarch Life'!$B$32:$F$32</definedName>
    <definedName name="MT_FINANCIAL" localSheetId="66">'Mutual Benefit'!$B$32:$F$32</definedName>
    <definedName name="MT_FINANCIAL" localSheetId="67">'Mutual Security'!$B$32:$F$32</definedName>
    <definedName name="MT_FINANCIAL" localSheetId="68">'National Affiliated'!$B$32:$F$32</definedName>
    <definedName name="MT_FINANCIAL" localSheetId="70">'National Heritage'!$B$32:$F$32</definedName>
    <definedName name="MT_FINANCIAL" localSheetId="71">'National States'!$B$32:$F$32</definedName>
    <definedName name="MT_FINANCIAL" localSheetId="69">'Natl American'!$B$32:$F$32</definedName>
    <definedName name="MT_FINANCIAL" localSheetId="72">'New Jersey Life'!$B$32:$F$32</definedName>
    <definedName name="MT_FINANCIAL" localSheetId="74">NNIC!$B$32:$F$32</definedName>
    <definedName name="MT_FINANCIAL" localSheetId="73">'North Carolina Mutual'!$B$32:$F$32</definedName>
    <definedName name="MT_FINANCIAL" localSheetId="75">'Old Colony Life'!$B$32:$F$32</definedName>
    <definedName name="MT_FINANCIAL" localSheetId="76">'Old Faithful'!$B$32:$F$32</definedName>
    <definedName name="MT_FINANCIAL" localSheetId="77">'Pacific Standard'!$B$32:$F$32</definedName>
    <definedName name="MT_FINANCIAL" localSheetId="78">'Pavonia Life'!$B$32:$F$32</definedName>
    <definedName name="MT_FINANCIAL" localSheetId="79">'Pen  Treaty'!$B$32:$F$32</definedName>
    <definedName name="MT_FINANCIAL" localSheetId="80">'Red Rock'!$B$32:$F$32</definedName>
    <definedName name="MT_FINANCIAL" localSheetId="81">Reliance!$B$32:$F$32</definedName>
    <definedName name="MT_FINANCIAL" localSheetId="82">SeeChange!$B$32:$F$32</definedName>
    <definedName name="MT_FINANCIAL" localSheetId="83">'Senior American'!$B$32:$F$32</definedName>
    <definedName name="MT_FINANCIAL" localSheetId="84">Settlers!$B$32:$F$32</definedName>
    <definedName name="MT_FINANCIAL" localSheetId="85">Shenandoah!$B$32:$F$32</definedName>
    <definedName name="MT_FINANCIAL" localSheetId="86">'Southland National Life'!$B$32:$F$32</definedName>
    <definedName name="MT_FINANCIAL" localSheetId="87">'Standard Life IN'!$B$32:$F$32</definedName>
    <definedName name="MT_FINANCIAL" localSheetId="88">'States General'!$B$32:$F$32</definedName>
    <definedName name="MT_FINANCIAL" localSheetId="89">Statesman!$B$32:$F$32</definedName>
    <definedName name="MT_FINANCIAL" localSheetId="90">'Summit National'!$B$32:$F$32</definedName>
    <definedName name="MT_FINANCIAL" localSheetId="91">Supreme!$B$32:$F$32</definedName>
    <definedName name="MT_FINANCIAL" localSheetId="92">Time!$B$32:$F$32</definedName>
    <definedName name="MT_FINANCIAL" localSheetId="106">'Total Summary'!$B$32:$F$32</definedName>
    <definedName name="MT_FINANCIAL" localSheetId="93">Underwriters!$B$32:$F$32</definedName>
    <definedName name="MT_FINANCIAL" localSheetId="94">Unison!$B$32:$F$32</definedName>
    <definedName name="MT_FINANCIAL" localSheetId="95">'United Republic'!$B$32:$F$32</definedName>
    <definedName name="MT_FINANCIAL" localSheetId="96">'Universal Health Care'!$B$32:$F$32</definedName>
    <definedName name="MT_FINANCIAL" localSheetId="97">'Universal Life'!$B$32:$F$32</definedName>
    <definedName name="MT_FINANCIAL" localSheetId="98">Universe!$B$32:$F$32</definedName>
    <definedName name="MT_FINANCIAL" localSheetId="99">Villanova!$B$32:$F$32</definedName>
    <definedName name="NC_FINANCIAL" localSheetId="0">'AF&amp;L'!$B$39:$F$39</definedName>
    <definedName name="NC_FINANCIAL" localSheetId="1">'Alabama Life'!$B$39:$F$39</definedName>
    <definedName name="NC_FINANCIAL" localSheetId="6">'Amer Life Asr'!$B$39:$F$39</definedName>
    <definedName name="NC_FINANCIAL" localSheetId="9">'Amer Std Life Acc'!$B$39:$F$39</definedName>
    <definedName name="NC_FINANCIAL" localSheetId="2">'American Chambers'!$B$39:$F$39</definedName>
    <definedName name="NC_FINANCIAL" localSheetId="3">'American Community'!$B$39:$F$39</definedName>
    <definedName name="NC_FINANCIAL" localSheetId="4">'American Educators'!$B$39:$F$39</definedName>
    <definedName name="NC_FINANCIAL" localSheetId="5">'American Integrity'!$B$39:$F$39</definedName>
    <definedName name="NC_FINANCIAL" localSheetId="7">'American Medical'!$B$39:$F$39</definedName>
    <definedName name="NC_FINANCIAL" localSheetId="8">'American Network'!$B$39:$F$39</definedName>
    <definedName name="NC_FINANCIAL" localSheetId="10">AmerWstrn!$B$39:$F$39</definedName>
    <definedName name="NC_FINANCIAL" localSheetId="11">'AMS Life'!$B$39:$F$39</definedName>
    <definedName name="NC_FINANCIAL" localSheetId="12">'Andrew Jackson'!$B$39:$F$39</definedName>
    <definedName name="NC_FINANCIAL" localSheetId="13">'Bankers Commercial'!$B$39:$F$39</definedName>
    <definedName name="NC_FINANCIAL" localSheetId="14">'Bankers Life'!$B$39:$F$39</definedName>
    <definedName name="NC_FINANCIAL" localSheetId="15">Benicorp!$B$39:$F$39</definedName>
    <definedName name="NC_FINANCIAL" localSheetId="16">'Booker T Washington'!$B$39:$F$39</definedName>
    <definedName name="NC_FINANCIAL" localSheetId="17">Centennial!$B$39:$F$39</definedName>
    <definedName name="NC_FINANCIAL" localSheetId="19">'CO Bankers'!$B$39:$F$39</definedName>
    <definedName name="NC_FINANCIAL" localSheetId="18">'Coastal States'!$B$39:$F$39</definedName>
    <definedName name="NC_FINANCIAL" localSheetId="20">'Colorado Health'!$B$39:$F$39</definedName>
    <definedName name="NC_FINANCIAL" localSheetId="21">'Compass (dbs Meritus)'!$B$39:$F$39</definedName>
    <definedName name="NC_FINANCIAL" localSheetId="22">'Confed Life &amp; Annty (CLIAC)'!$B$39:$F$39</definedName>
    <definedName name="NC_FINANCIAL" localSheetId="23">'Confed Life (CLIC)'!$B$39:$F$39</definedName>
    <definedName name="NC_FINANCIAL" localSheetId="24">'Consolidated National'!$B$39:$F$39</definedName>
    <definedName name="NC_FINANCIAL" localSheetId="25">'Consumers Choice'!$B$39:$F$39</definedName>
    <definedName name="NC_FINANCIAL" localSheetId="26">'Consumers Mutual'!$B$39:$F$39</definedName>
    <definedName name="NC_FINANCIAL" localSheetId="27">'Consumers United'!$B$39:$F$39</definedName>
    <definedName name="NC_FINANCIAL" localSheetId="28">CoOportunity!$B$39:$F$39</definedName>
    <definedName name="NC_FINANCIAL" localSheetId="29">'Coordinated Hlth'!$B$39:$F$39</definedName>
    <definedName name="NC_FINANCIAL" localSheetId="30">'Corporate Life'!$B$39:$F$39</definedName>
    <definedName name="NC_FINANCIAL" localSheetId="31">'Diamond Benefits'!$B$39:$F$39</definedName>
    <definedName name="NC_FINANCIAL" localSheetId="32">'EBL Life'!$B$39:$F$39</definedName>
    <definedName name="NC_FINANCIAL" localSheetId="34">ELNY!$B$39:$F$39</definedName>
    <definedName name="NC_FINANCIAL" localSheetId="33">'Executive Life'!$B$39:$F$39</definedName>
    <definedName name="NC_FINANCIAL" localSheetId="35">'Family Guaranty'!$B$39:$F$39</definedName>
    <definedName name="NC_FINANCIAL" localSheetId="36">'Fidelity Bankers'!$B$39:$F$39</definedName>
    <definedName name="NC_FINANCIAL" localSheetId="37">'Fidelity Mutual'!$B$39:$F$39</definedName>
    <definedName name="NC_FINANCIAL" localSheetId="38">'First Capital'!$B$39:$F$39</definedName>
    <definedName name="NC_FINANCIAL" localSheetId="39">'First Natl'!$B$39:$F$39</definedName>
    <definedName name="NC_FINANCIAL" localSheetId="40">'First Natl (Thrnr)'!$B$39:$F$39</definedName>
    <definedName name="NC_FINANCIAL" localSheetId="41">'Franklin American'!$B$39:$F$39</definedName>
    <definedName name="NC_FINANCIAL" localSheetId="42">'Franklin Protective'!$B$39:$F$39</definedName>
    <definedName name="NC_FINANCIAL" localSheetId="43">'Freelancers CO-OP'!$B$39:$F$39</definedName>
    <definedName name="NC_FINANCIAL" localSheetId="44">Freestone!$B$39:$F$39</definedName>
    <definedName name="NC_FINANCIAL" localSheetId="45">'George Washington'!$B$39:$F$39</definedName>
    <definedName name="NC_FINANCIAL" localSheetId="46">'Golden State'!$B$39:$F$39</definedName>
    <definedName name="NC_FINANCIAL" localSheetId="47">'Guarantee Security'!$B$39:$F$39</definedName>
    <definedName name="NC_FINANCIAL" localSheetId="48">HealthyCT!$B$39:$F$39</definedName>
    <definedName name="NC_FINANCIAL" localSheetId="49">Imerica!$B$39:$F$39</definedName>
    <definedName name="NC_FINANCIAL" localSheetId="50">'Inter-American'!$B$39:$F$39</definedName>
    <definedName name="NC_FINANCIAL" localSheetId="51">'International Fin'!$B$39:$F$39</definedName>
    <definedName name="NC_FINANCIAL" localSheetId="52">'Investment Life of America'!$B$39:$F$39</definedName>
    <definedName name="NC_FINANCIAL" localSheetId="53">'Investors Equity'!$B$39:$F$39</definedName>
    <definedName name="NC_FINANCIAL" localSheetId="54">'Kentucky Central'!$B$39:$F$39</definedName>
    <definedName name="NC_FINANCIAL" localSheetId="55">'Land of Lincoln'!$B$39:$F$39</definedName>
    <definedName name="NC_FINANCIAL" localSheetId="56">Legion!$B$39:$F$39</definedName>
    <definedName name="NC_FINANCIAL" localSheetId="57">'Life Health America'!$B$39:$F$39</definedName>
    <definedName name="NC_FINANCIAL" localSheetId="58">'Lincoln Memorial'!$B$39:$F$39</definedName>
    <definedName name="NC_FINANCIAL" localSheetId="59">'London Pac'!$B$39:$F$39</definedName>
    <definedName name="NC_FINANCIAL" localSheetId="60">Lumbermens!$B$39:$F$39</definedName>
    <definedName name="NC_FINANCIAL" localSheetId="61">'Medical Savings'!$B$39:$F$39</definedName>
    <definedName name="NC_FINANCIAL" localSheetId="62">'Memorial Service'!$B$39:$F$39</definedName>
    <definedName name="NC_FINANCIAL" localSheetId="63">Midcontinent!$B$39:$F$39</definedName>
    <definedName name="NC_FINANCIAL" localSheetId="64">'Midwest Life'!$B$39:$F$39</definedName>
    <definedName name="NC_FINANCIAL" localSheetId="65">'Monarch Life'!$B$39:$F$39</definedName>
    <definedName name="NC_FINANCIAL" localSheetId="66">'Mutual Benefit'!$B$39:$F$39</definedName>
    <definedName name="NC_FINANCIAL" localSheetId="67">'Mutual Security'!$B$39:$F$39</definedName>
    <definedName name="NC_FINANCIAL" localSheetId="68">'National Affiliated'!$B$39:$F$39</definedName>
    <definedName name="NC_FINANCIAL" localSheetId="70">'National Heritage'!$B$39:$F$39</definedName>
    <definedName name="NC_FINANCIAL" localSheetId="71">'National States'!$B$39:$F$39</definedName>
    <definedName name="NC_FINANCIAL" localSheetId="69">'Natl American'!$B$39:$F$39</definedName>
    <definedName name="NC_FINANCIAL" localSheetId="72">'New Jersey Life'!$B$39:$F$39</definedName>
    <definedName name="NC_FINANCIAL" localSheetId="74">NNIC!$B$39:$F$39</definedName>
    <definedName name="NC_FINANCIAL" localSheetId="73">'North Carolina Mutual'!$B$39:$F$39</definedName>
    <definedName name="NC_FINANCIAL" localSheetId="75">'Old Colony Life'!$B$39:$F$39</definedName>
    <definedName name="NC_FINANCIAL" localSheetId="76">'Old Faithful'!$B$39:$F$39</definedName>
    <definedName name="NC_FINANCIAL" localSheetId="77">'Pacific Standard'!$B$39:$F$39</definedName>
    <definedName name="NC_FINANCIAL" localSheetId="78">'Pavonia Life'!$B$39:$F$39</definedName>
    <definedName name="NC_FINANCIAL" localSheetId="79">'Pen  Treaty'!$B$39:$F$39</definedName>
    <definedName name="NC_FINANCIAL" localSheetId="80">'Red Rock'!$B$39:$F$39</definedName>
    <definedName name="NC_FINANCIAL" localSheetId="81">Reliance!$B$39:$F$39</definedName>
    <definedName name="NC_FINANCIAL" localSheetId="82">SeeChange!$B$39:$F$39</definedName>
    <definedName name="NC_FINANCIAL" localSheetId="83">'Senior American'!$B$39:$F$39</definedName>
    <definedName name="NC_FINANCIAL" localSheetId="84">Settlers!$B$39:$F$39</definedName>
    <definedName name="NC_FINANCIAL" localSheetId="85">Shenandoah!$B$39:$F$39</definedName>
    <definedName name="NC_FINANCIAL" localSheetId="86">'Southland National Life'!$B$39:$F$39</definedName>
    <definedName name="NC_FINANCIAL" localSheetId="87">'Standard Life IN'!$B$39:$F$39</definedName>
    <definedName name="NC_FINANCIAL" localSheetId="88">'States General'!$B$39:$F$39</definedName>
    <definedName name="NC_FINANCIAL" localSheetId="89">Statesman!$B$39:$F$39</definedName>
    <definedName name="NC_FINANCIAL" localSheetId="90">'Summit National'!$B$39:$F$39</definedName>
    <definedName name="NC_FINANCIAL" localSheetId="91">Supreme!$B$39:$F$39</definedName>
    <definedName name="NC_FINANCIAL" localSheetId="92">Time!$B$39:$F$39</definedName>
    <definedName name="NC_FINANCIAL" localSheetId="106">'Total Summary'!$B$39:$F$39</definedName>
    <definedName name="NC_FINANCIAL" localSheetId="93">Underwriters!$B$39:$F$39</definedName>
    <definedName name="NC_FINANCIAL" localSheetId="94">Unison!$B$39:$F$39</definedName>
    <definedName name="NC_FINANCIAL" localSheetId="95">'United Republic'!$B$39:$F$39</definedName>
    <definedName name="NC_FINANCIAL" localSheetId="96">'Universal Health Care'!$B$39:$F$39</definedName>
    <definedName name="NC_FINANCIAL" localSheetId="97">'Universal Life'!$B$39:$F$39</definedName>
    <definedName name="NC_FINANCIAL" localSheetId="98">Universe!$B$39:$F$39</definedName>
    <definedName name="NC_FINANCIAL" localSheetId="99">Villanova!$B$39:$F$39</definedName>
    <definedName name="ND_FINANCIAL" localSheetId="0">'AF&amp;L'!$B$40:$F$40</definedName>
    <definedName name="ND_FINANCIAL" localSheetId="1">'Alabama Life'!$B$40:$F$40</definedName>
    <definedName name="ND_FINANCIAL" localSheetId="6">'Amer Life Asr'!$B$40:$F$40</definedName>
    <definedName name="ND_FINANCIAL" localSheetId="9">'Amer Std Life Acc'!$B$40:$F$40</definedName>
    <definedName name="ND_FINANCIAL" localSheetId="2">'American Chambers'!$B$40:$F$40</definedName>
    <definedName name="ND_FINANCIAL" localSheetId="3">'American Community'!$B$40:$F$40</definedName>
    <definedName name="ND_FINANCIAL" localSheetId="4">'American Educators'!$B$40:$F$40</definedName>
    <definedName name="ND_FINANCIAL" localSheetId="5">'American Integrity'!$B$40:$F$40</definedName>
    <definedName name="ND_FINANCIAL" localSheetId="7">'American Medical'!$B$40:$F$40</definedName>
    <definedName name="ND_FINANCIAL" localSheetId="8">'American Network'!$B$40:$F$40</definedName>
    <definedName name="ND_FINANCIAL" localSheetId="10">AmerWstrn!$B$40:$F$40</definedName>
    <definedName name="ND_FINANCIAL" localSheetId="11">'AMS Life'!$B$40:$F$40</definedName>
    <definedName name="ND_FINANCIAL" localSheetId="12">'Andrew Jackson'!$B$40:$F$40</definedName>
    <definedName name="ND_FINANCIAL" localSheetId="13">'Bankers Commercial'!$B$40:$F$40</definedName>
    <definedName name="ND_FINANCIAL" localSheetId="14">'Bankers Life'!$B$40:$F$40</definedName>
    <definedName name="ND_FINANCIAL" localSheetId="15">Benicorp!$B$40:$F$40</definedName>
    <definedName name="ND_FINANCIAL" localSheetId="16">'Booker T Washington'!$B$40:$F$40</definedName>
    <definedName name="ND_FINANCIAL" localSheetId="17">Centennial!$B$40:$F$40</definedName>
    <definedName name="ND_FINANCIAL" localSheetId="19">'CO Bankers'!$B$40:$F$40</definedName>
    <definedName name="ND_FINANCIAL" localSheetId="18">'Coastal States'!$B$40:$F$40</definedName>
    <definedName name="ND_FINANCIAL" localSheetId="20">'Colorado Health'!$B$40:$F$40</definedName>
    <definedName name="ND_FINANCIAL" localSheetId="21">'Compass (dbs Meritus)'!$B$40:$F$40</definedName>
    <definedName name="ND_FINANCIAL" localSheetId="22">'Confed Life &amp; Annty (CLIAC)'!$B$40:$F$40</definedName>
    <definedName name="ND_FINANCIAL" localSheetId="23">'Confed Life (CLIC)'!$B$40:$F$40</definedName>
    <definedName name="ND_FINANCIAL" localSheetId="24">'Consolidated National'!$B$40:$F$40</definedName>
    <definedName name="ND_FINANCIAL" localSheetId="25">'Consumers Choice'!$B$40:$F$40</definedName>
    <definedName name="ND_FINANCIAL" localSheetId="26">'Consumers Mutual'!$B$40:$F$40</definedName>
    <definedName name="ND_FINANCIAL" localSheetId="27">'Consumers United'!$B$40:$F$40</definedName>
    <definedName name="ND_FINANCIAL" localSheetId="28">CoOportunity!$B$40:$F$40</definedName>
    <definedName name="ND_FINANCIAL" localSheetId="29">'Coordinated Hlth'!$B$40:$F$40</definedName>
    <definedName name="ND_FINANCIAL" localSheetId="30">'Corporate Life'!$B$40:$F$40</definedName>
    <definedName name="ND_FINANCIAL" localSheetId="31">'Diamond Benefits'!$B$40:$F$40</definedName>
    <definedName name="ND_FINANCIAL" localSheetId="32">'EBL Life'!$B$40:$F$40</definedName>
    <definedName name="ND_FINANCIAL" localSheetId="34">ELNY!$B$40:$F$40</definedName>
    <definedName name="ND_FINANCIAL" localSheetId="33">'Executive Life'!$B$40:$F$40</definedName>
    <definedName name="ND_FINANCIAL" localSheetId="35">'Family Guaranty'!$B$40:$F$40</definedName>
    <definedName name="ND_FINANCIAL" localSheetId="36">'Fidelity Bankers'!$B$40:$F$40</definedName>
    <definedName name="ND_FINANCIAL" localSheetId="37">'Fidelity Mutual'!$B$40:$F$40</definedName>
    <definedName name="ND_FINANCIAL" localSheetId="38">'First Capital'!$B$40:$F$40</definedName>
    <definedName name="ND_FINANCIAL" localSheetId="39">'First Natl'!$B$40:$F$40</definedName>
    <definedName name="ND_FINANCIAL" localSheetId="40">'First Natl (Thrnr)'!$B$40:$F$40</definedName>
    <definedName name="ND_FINANCIAL" localSheetId="41">'Franklin American'!$B$40:$F$40</definedName>
    <definedName name="ND_FINANCIAL" localSheetId="42">'Franklin Protective'!$B$40:$F$40</definedName>
    <definedName name="ND_FINANCIAL" localSheetId="43">'Freelancers CO-OP'!$B$40:$F$40</definedName>
    <definedName name="ND_FINANCIAL" localSheetId="44">Freestone!$B$40:$F$40</definedName>
    <definedName name="ND_FINANCIAL" localSheetId="45">'George Washington'!$B$40:$F$40</definedName>
    <definedName name="ND_FINANCIAL" localSheetId="46">'Golden State'!$B$40:$F$40</definedName>
    <definedName name="ND_FINANCIAL" localSheetId="47">'Guarantee Security'!$B$40:$F$40</definedName>
    <definedName name="ND_FINANCIAL" localSheetId="48">HealthyCT!$B$40:$F$40</definedName>
    <definedName name="ND_FINANCIAL" localSheetId="49">Imerica!$B$40:$F$40</definedName>
    <definedName name="ND_FINANCIAL" localSheetId="50">'Inter-American'!$B$40:$F$40</definedName>
    <definedName name="ND_FINANCIAL" localSheetId="51">'International Fin'!$B$40:$F$40</definedName>
    <definedName name="ND_FINANCIAL" localSheetId="52">'Investment Life of America'!$B$40:$F$40</definedName>
    <definedName name="ND_FINANCIAL" localSheetId="53">'Investors Equity'!$B$40:$F$40</definedName>
    <definedName name="ND_FINANCIAL" localSheetId="54">'Kentucky Central'!$B$40:$F$40</definedName>
    <definedName name="ND_FINANCIAL" localSheetId="55">'Land of Lincoln'!$B$40:$F$40</definedName>
    <definedName name="ND_FINANCIAL" localSheetId="56">Legion!$B$40:$F$40</definedName>
    <definedName name="ND_FINANCIAL" localSheetId="57">'Life Health America'!$B$40:$F$40</definedName>
    <definedName name="ND_FINANCIAL" localSheetId="58">'Lincoln Memorial'!$B$40:$F$40</definedName>
    <definedName name="ND_FINANCIAL" localSheetId="59">'London Pac'!$B$40:$F$40</definedName>
    <definedName name="ND_FINANCIAL" localSheetId="60">Lumbermens!$B$40:$F$40</definedName>
    <definedName name="ND_FINANCIAL" localSheetId="61">'Medical Savings'!$B$40:$F$40</definedName>
    <definedName name="ND_FINANCIAL" localSheetId="62">'Memorial Service'!$B$40:$F$40</definedName>
    <definedName name="ND_FINANCIAL" localSheetId="63">Midcontinent!$B$40:$F$40</definedName>
    <definedName name="ND_FINANCIAL" localSheetId="64">'Midwest Life'!$B$40:$F$40</definedName>
    <definedName name="ND_FINANCIAL" localSheetId="65">'Monarch Life'!$B$40:$F$40</definedName>
    <definedName name="ND_FINANCIAL" localSheetId="66">'Mutual Benefit'!$B$40:$F$40</definedName>
    <definedName name="ND_FINANCIAL" localSheetId="67">'Mutual Security'!$B$40:$F$40</definedName>
    <definedName name="ND_FINANCIAL" localSheetId="68">'National Affiliated'!$B$40:$F$40</definedName>
    <definedName name="ND_FINANCIAL" localSheetId="70">'National Heritage'!$B$40:$F$40</definedName>
    <definedName name="ND_FINANCIAL" localSheetId="71">'National States'!$B$40:$F$40</definedName>
    <definedName name="ND_FINANCIAL" localSheetId="69">'Natl American'!$B$40:$F$40</definedName>
    <definedName name="ND_FINANCIAL" localSheetId="72">'New Jersey Life'!$B$40:$F$40</definedName>
    <definedName name="ND_FINANCIAL" localSheetId="74">NNIC!$B$40:$F$40</definedName>
    <definedName name="ND_FINANCIAL" localSheetId="73">'North Carolina Mutual'!$B$40:$F$40</definedName>
    <definedName name="ND_FINANCIAL" localSheetId="75">'Old Colony Life'!$B$40:$F$40</definedName>
    <definedName name="ND_FINANCIAL" localSheetId="76">'Old Faithful'!$B$40:$F$40</definedName>
    <definedName name="ND_FINANCIAL" localSheetId="77">'Pacific Standard'!$B$40:$F$40</definedName>
    <definedName name="ND_FINANCIAL" localSheetId="78">'Pavonia Life'!$B$40:$F$40</definedName>
    <definedName name="ND_FINANCIAL" localSheetId="79">'Pen  Treaty'!$B$40:$F$40</definedName>
    <definedName name="ND_FINANCIAL" localSheetId="80">'Red Rock'!$B$40:$F$40</definedName>
    <definedName name="ND_FINANCIAL" localSheetId="81">Reliance!$B$40:$F$40</definedName>
    <definedName name="ND_FINANCIAL" localSheetId="82">SeeChange!$B$40:$F$40</definedName>
    <definedName name="ND_FINANCIAL" localSheetId="83">'Senior American'!$B$40:$F$40</definedName>
    <definedName name="ND_FINANCIAL" localSheetId="84">Settlers!$B$40:$F$40</definedName>
    <definedName name="ND_FINANCIAL" localSheetId="85">Shenandoah!$B$40:$F$40</definedName>
    <definedName name="ND_FINANCIAL" localSheetId="86">'Southland National Life'!$B$40:$F$40</definedName>
    <definedName name="ND_FINANCIAL" localSheetId="87">'Standard Life IN'!$B$40:$F$40</definedName>
    <definedName name="ND_FINANCIAL" localSheetId="88">'States General'!$B$40:$F$40</definedName>
    <definedName name="ND_FINANCIAL" localSheetId="89">Statesman!$B$40:$F$40</definedName>
    <definedName name="ND_FINANCIAL" localSheetId="90">'Summit National'!$B$40:$F$40</definedName>
    <definedName name="ND_FINANCIAL" localSheetId="91">Supreme!$B$40:$F$40</definedName>
    <definedName name="ND_FINANCIAL" localSheetId="92">Time!$B$40:$F$40</definedName>
    <definedName name="ND_FINANCIAL" localSheetId="106">'Total Summary'!$B$40:$F$40</definedName>
    <definedName name="ND_FINANCIAL" localSheetId="93">Underwriters!$B$40:$F$40</definedName>
    <definedName name="ND_FINANCIAL" localSheetId="94">Unison!$B$40:$F$40</definedName>
    <definedName name="ND_FINANCIAL" localSheetId="95">'United Republic'!$B$40:$F$40</definedName>
    <definedName name="ND_FINANCIAL" localSheetId="96">'Universal Health Care'!$B$40:$F$40</definedName>
    <definedName name="ND_FINANCIAL" localSheetId="97">'Universal Life'!$B$40:$F$40</definedName>
    <definedName name="ND_FINANCIAL" localSheetId="98">Universe!$B$40:$F$40</definedName>
    <definedName name="ND_FINANCIAL" localSheetId="99">Villanova!$B$40:$F$40</definedName>
    <definedName name="NE_FINANCIAL" localSheetId="0">'AF&amp;L'!$B$33:$F$33</definedName>
    <definedName name="NE_FINANCIAL" localSheetId="1">'Alabama Life'!$B$33:$F$33</definedName>
    <definedName name="NE_FINANCIAL" localSheetId="6">'Amer Life Asr'!$B$33:$F$33</definedName>
    <definedName name="NE_FINANCIAL" localSheetId="9">'Amer Std Life Acc'!$B$33:$F$33</definedName>
    <definedName name="NE_FINANCIAL" localSheetId="2">'American Chambers'!$B$33:$F$33</definedName>
    <definedName name="NE_FINANCIAL" localSheetId="3">'American Community'!$B$33:$F$33</definedName>
    <definedName name="NE_FINANCIAL" localSheetId="4">'American Educators'!$B$33:$F$33</definedName>
    <definedName name="NE_FINANCIAL" localSheetId="5">'American Integrity'!$B$33:$F$33</definedName>
    <definedName name="NE_FINANCIAL" localSheetId="7">'American Medical'!$B$33:$F$33</definedName>
    <definedName name="NE_FINANCIAL" localSheetId="8">'American Network'!$B$33:$F$33</definedName>
    <definedName name="NE_FINANCIAL" localSheetId="10">AmerWstrn!$B$33:$F$33</definedName>
    <definedName name="NE_FINANCIAL" localSheetId="11">'AMS Life'!$B$33:$F$33</definedName>
    <definedName name="NE_FINANCIAL" localSheetId="12">'Andrew Jackson'!$B$33:$F$33</definedName>
    <definedName name="NE_FINANCIAL" localSheetId="13">'Bankers Commercial'!$B$33:$F$33</definedName>
    <definedName name="NE_FINANCIAL" localSheetId="14">'Bankers Life'!$B$33:$F$33</definedName>
    <definedName name="NE_FINANCIAL" localSheetId="15">Benicorp!$B$33:$F$33</definedName>
    <definedName name="NE_FINANCIAL" localSheetId="16">'Booker T Washington'!$B$33:$F$33</definedName>
    <definedName name="NE_FINANCIAL" localSheetId="17">Centennial!$B$33:$F$33</definedName>
    <definedName name="NE_FINANCIAL" localSheetId="19">'CO Bankers'!$B$33:$F$33</definedName>
    <definedName name="NE_FINANCIAL" localSheetId="18">'Coastal States'!$B$33:$F$33</definedName>
    <definedName name="NE_FINANCIAL" localSheetId="20">'Colorado Health'!$B$33:$F$33</definedName>
    <definedName name="NE_FINANCIAL" localSheetId="21">'Compass (dbs Meritus)'!$B$33:$F$33</definedName>
    <definedName name="NE_FINANCIAL" localSheetId="22">'Confed Life &amp; Annty (CLIAC)'!$B$33:$F$33</definedName>
    <definedName name="NE_FINANCIAL" localSheetId="23">'Confed Life (CLIC)'!$B$33:$F$33</definedName>
    <definedName name="NE_FINANCIAL" localSheetId="24">'Consolidated National'!$B$33:$F$33</definedName>
    <definedName name="NE_FINANCIAL" localSheetId="25">'Consumers Choice'!$B$33:$F$33</definedName>
    <definedName name="NE_FINANCIAL" localSheetId="26">'Consumers Mutual'!$B$33:$F$33</definedName>
    <definedName name="NE_FINANCIAL" localSheetId="27">'Consumers United'!$B$33:$F$33</definedName>
    <definedName name="NE_FINANCIAL" localSheetId="28">CoOportunity!$B$33:$F$33</definedName>
    <definedName name="NE_FINANCIAL" localSheetId="29">'Coordinated Hlth'!$B$33:$F$33</definedName>
    <definedName name="NE_FINANCIAL" localSheetId="30">'Corporate Life'!$B$33:$F$33</definedName>
    <definedName name="NE_FINANCIAL" localSheetId="31">'Diamond Benefits'!$B$33:$F$33</definedName>
    <definedName name="NE_FINANCIAL" localSheetId="32">'EBL Life'!$B$33:$F$33</definedName>
    <definedName name="NE_FINANCIAL" localSheetId="34">ELNY!$B$33:$F$33</definedName>
    <definedName name="NE_FINANCIAL" localSheetId="33">'Executive Life'!$B$33:$F$33</definedName>
    <definedName name="NE_FINANCIAL" localSheetId="35">'Family Guaranty'!$B$33:$F$33</definedName>
    <definedName name="NE_FINANCIAL" localSheetId="36">'Fidelity Bankers'!$B$33:$F$33</definedName>
    <definedName name="NE_FINANCIAL" localSheetId="37">'Fidelity Mutual'!$B$33:$F$33</definedName>
    <definedName name="NE_FINANCIAL" localSheetId="38">'First Capital'!$B$33:$F$33</definedName>
    <definedName name="NE_FINANCIAL" localSheetId="39">'First Natl'!$B$33:$F$33</definedName>
    <definedName name="NE_FINANCIAL" localSheetId="40">'First Natl (Thrnr)'!$B$33:$F$33</definedName>
    <definedName name="NE_FINANCIAL" localSheetId="41">'Franklin American'!$B$33:$F$33</definedName>
    <definedName name="NE_FINANCIAL" localSheetId="42">'Franklin Protective'!$B$33:$F$33</definedName>
    <definedName name="NE_FINANCIAL" localSheetId="43">'Freelancers CO-OP'!$B$33:$F$33</definedName>
    <definedName name="NE_FINANCIAL" localSheetId="44">Freestone!$B$33:$F$33</definedName>
    <definedName name="NE_FINANCIAL" localSheetId="45">'George Washington'!$B$33:$F$33</definedName>
    <definedName name="NE_FINANCIAL" localSheetId="46">'Golden State'!$B$33:$F$33</definedName>
    <definedName name="NE_FINANCIAL" localSheetId="47">'Guarantee Security'!$B$33:$F$33</definedName>
    <definedName name="NE_FINANCIAL" localSheetId="48">HealthyCT!$B$33:$F$33</definedName>
    <definedName name="NE_FINANCIAL" localSheetId="49">Imerica!$B$33:$F$33</definedName>
    <definedName name="NE_FINANCIAL" localSheetId="50">'Inter-American'!$B$33:$F$33</definedName>
    <definedName name="NE_FINANCIAL" localSheetId="51">'International Fin'!$B$33:$F$33</definedName>
    <definedName name="NE_FINANCIAL" localSheetId="52">'Investment Life of America'!$B$33:$F$33</definedName>
    <definedName name="NE_FINANCIAL" localSheetId="53">'Investors Equity'!$B$33:$F$33</definedName>
    <definedName name="NE_FINANCIAL" localSheetId="54">'Kentucky Central'!$B$33:$F$33</definedName>
    <definedName name="NE_FINANCIAL" localSheetId="55">'Land of Lincoln'!$B$33:$F$33</definedName>
    <definedName name="NE_FINANCIAL" localSheetId="56">Legion!$B$33:$F$33</definedName>
    <definedName name="NE_FINANCIAL" localSheetId="57">'Life Health America'!$B$33:$F$33</definedName>
    <definedName name="NE_FINANCIAL" localSheetId="58">'Lincoln Memorial'!$B$33:$F$33</definedName>
    <definedName name="NE_FINANCIAL" localSheetId="59">'London Pac'!$B$33:$F$33</definedName>
    <definedName name="NE_FINANCIAL" localSheetId="60">Lumbermens!$B$33:$F$33</definedName>
    <definedName name="NE_FINANCIAL" localSheetId="61">'Medical Savings'!$B$33:$F$33</definedName>
    <definedName name="NE_FINANCIAL" localSheetId="62">'Memorial Service'!$B$33:$F$33</definedName>
    <definedName name="NE_FINANCIAL" localSheetId="63">Midcontinent!$B$33:$F$33</definedName>
    <definedName name="NE_FINANCIAL" localSheetId="64">'Midwest Life'!$B$33:$F$33</definedName>
    <definedName name="NE_FINANCIAL" localSheetId="65">'Monarch Life'!$B$33:$F$33</definedName>
    <definedName name="NE_FINANCIAL" localSheetId="66">'Mutual Benefit'!$B$33:$F$33</definedName>
    <definedName name="NE_FINANCIAL" localSheetId="67">'Mutual Security'!$B$33:$F$33</definedName>
    <definedName name="NE_FINANCIAL" localSheetId="68">'National Affiliated'!$B$33:$F$33</definedName>
    <definedName name="NE_FINANCIAL" localSheetId="70">'National Heritage'!$B$33:$F$33</definedName>
    <definedName name="NE_FINANCIAL" localSheetId="71">'National States'!$B$33:$F$33</definedName>
    <definedName name="NE_FINANCIAL" localSheetId="69">'Natl American'!$B$33:$F$33</definedName>
    <definedName name="NE_FINANCIAL" localSheetId="72">'New Jersey Life'!$B$33:$F$33</definedName>
    <definedName name="NE_FINANCIAL" localSheetId="74">NNIC!$B$33:$F$33</definedName>
    <definedName name="NE_FINANCIAL" localSheetId="73">'North Carolina Mutual'!$B$33:$F$33</definedName>
    <definedName name="NE_FINANCIAL" localSheetId="75">'Old Colony Life'!$B$33:$F$33</definedName>
    <definedName name="NE_FINANCIAL" localSheetId="76">'Old Faithful'!$B$33:$F$33</definedName>
    <definedName name="NE_FINANCIAL" localSheetId="77">'Pacific Standard'!$B$33:$F$33</definedName>
    <definedName name="NE_FINANCIAL" localSheetId="78">'Pavonia Life'!$B$33:$F$33</definedName>
    <definedName name="NE_FINANCIAL" localSheetId="79">'Pen  Treaty'!$B$33:$F$33</definedName>
    <definedName name="NE_FINANCIAL" localSheetId="80">'Red Rock'!$B$33:$F$33</definedName>
    <definedName name="NE_FINANCIAL" localSheetId="81">Reliance!$B$33:$F$33</definedName>
    <definedName name="NE_FINANCIAL" localSheetId="82">SeeChange!$B$33:$F$33</definedName>
    <definedName name="NE_FINANCIAL" localSheetId="83">'Senior American'!$B$33:$F$33</definedName>
    <definedName name="NE_FINANCIAL" localSheetId="84">Settlers!$B$33:$F$33</definedName>
    <definedName name="NE_FINANCIAL" localSheetId="85">Shenandoah!$B$33:$F$33</definedName>
    <definedName name="NE_FINANCIAL" localSheetId="86">'Southland National Life'!$B$33:$F$33</definedName>
    <definedName name="NE_FINANCIAL" localSheetId="87">'Standard Life IN'!$B$33:$F$33</definedName>
    <definedName name="NE_FINANCIAL" localSheetId="88">'States General'!$B$33:$F$33</definedName>
    <definedName name="NE_FINANCIAL" localSheetId="89">Statesman!$B$33:$F$33</definedName>
    <definedName name="NE_FINANCIAL" localSheetId="90">'Summit National'!$B$33:$F$33</definedName>
    <definedName name="NE_FINANCIAL" localSheetId="91">Supreme!$B$33:$F$33</definedName>
    <definedName name="NE_FINANCIAL" localSheetId="92">Time!$B$33:$F$33</definedName>
    <definedName name="NE_FINANCIAL" localSheetId="106">'Total Summary'!$B$33:$F$33</definedName>
    <definedName name="NE_FINANCIAL" localSheetId="93">Underwriters!$B$33:$F$33</definedName>
    <definedName name="NE_FINANCIAL" localSheetId="94">Unison!$B$33:$F$33</definedName>
    <definedName name="NE_FINANCIAL" localSheetId="95">'United Republic'!$B$33:$F$33</definedName>
    <definedName name="NE_FINANCIAL" localSheetId="96">'Universal Health Care'!$B$33:$F$33</definedName>
    <definedName name="NE_FINANCIAL" localSheetId="97">'Universal Life'!$B$33:$F$33</definedName>
    <definedName name="NE_FINANCIAL" localSheetId="98">Universe!$B$33:$F$33</definedName>
    <definedName name="NE_FINANCIAL" localSheetId="99">Villanova!$B$33:$F$33</definedName>
    <definedName name="NH_FINANCIAL" localSheetId="0">'AF&amp;L'!$B$35:$F$35</definedName>
    <definedName name="NH_FINANCIAL" localSheetId="1">'Alabama Life'!$B$35:$F$35</definedName>
    <definedName name="NH_FINANCIAL" localSheetId="6">'Amer Life Asr'!$B$35:$F$35</definedName>
    <definedName name="NH_FINANCIAL" localSheetId="9">'Amer Std Life Acc'!$B$35:$F$35</definedName>
    <definedName name="NH_FINANCIAL" localSheetId="2">'American Chambers'!$B$35:$F$35</definedName>
    <definedName name="NH_FINANCIAL" localSheetId="3">'American Community'!$B$35:$F$35</definedName>
    <definedName name="NH_FINANCIAL" localSheetId="4">'American Educators'!$B$35:$F$35</definedName>
    <definedName name="NH_FINANCIAL" localSheetId="5">'American Integrity'!$B$35:$F$35</definedName>
    <definedName name="NH_FINANCIAL" localSheetId="7">'American Medical'!$B$35:$F$35</definedName>
    <definedName name="NH_FINANCIAL" localSheetId="8">'American Network'!$B$35:$F$35</definedName>
    <definedName name="NH_FINANCIAL" localSheetId="10">AmerWstrn!$B$35:$F$35</definedName>
    <definedName name="NH_FINANCIAL" localSheetId="11">'AMS Life'!$B$35:$F$35</definedName>
    <definedName name="NH_FINANCIAL" localSheetId="12">'Andrew Jackson'!$B$35:$F$35</definedName>
    <definedName name="NH_FINANCIAL" localSheetId="13">'Bankers Commercial'!$B$35:$F$35</definedName>
    <definedName name="NH_FINANCIAL" localSheetId="14">'Bankers Life'!$B$35:$F$35</definedName>
    <definedName name="NH_FINANCIAL" localSheetId="15">Benicorp!$B$35:$F$35</definedName>
    <definedName name="NH_FINANCIAL" localSheetId="16">'Booker T Washington'!$B$35:$F$35</definedName>
    <definedName name="NH_FINANCIAL" localSheetId="17">Centennial!$B$35:$F$35</definedName>
    <definedName name="NH_FINANCIAL" localSheetId="19">'CO Bankers'!$B$35:$F$35</definedName>
    <definedName name="NH_FINANCIAL" localSheetId="18">'Coastal States'!$B$35:$F$35</definedName>
    <definedName name="NH_FINANCIAL" localSheetId="20">'Colorado Health'!$B$35:$F$35</definedName>
    <definedName name="NH_FINANCIAL" localSheetId="21">'Compass (dbs Meritus)'!$B$35:$F$35</definedName>
    <definedName name="NH_FINANCIAL" localSheetId="22">'Confed Life &amp; Annty (CLIAC)'!$B$35:$F$35</definedName>
    <definedName name="NH_FINANCIAL" localSheetId="23">'Confed Life (CLIC)'!$B$35:$F$35</definedName>
    <definedName name="NH_FINANCIAL" localSheetId="24">'Consolidated National'!$B$35:$F$35</definedName>
    <definedName name="NH_FINANCIAL" localSheetId="25">'Consumers Choice'!$B$35:$F$35</definedName>
    <definedName name="NH_FINANCIAL" localSheetId="26">'Consumers Mutual'!$B$35:$F$35</definedName>
    <definedName name="NH_FINANCIAL" localSheetId="27">'Consumers United'!$B$35:$F$35</definedName>
    <definedName name="NH_FINANCIAL" localSheetId="28">CoOportunity!$B$35:$F$35</definedName>
    <definedName name="NH_FINANCIAL" localSheetId="29">'Coordinated Hlth'!$B$35:$F$35</definedName>
    <definedName name="NH_FINANCIAL" localSheetId="30">'Corporate Life'!$B$35:$F$35</definedName>
    <definedName name="NH_FINANCIAL" localSheetId="31">'Diamond Benefits'!$B$35:$F$35</definedName>
    <definedName name="NH_FINANCIAL" localSheetId="32">'EBL Life'!$B$35:$F$35</definedName>
    <definedName name="NH_FINANCIAL" localSheetId="34">ELNY!$B$35:$F$35</definedName>
    <definedName name="NH_FINANCIAL" localSheetId="33">'Executive Life'!$B$35:$F$35</definedName>
    <definedName name="NH_FINANCIAL" localSheetId="35">'Family Guaranty'!$B$35:$F$35</definedName>
    <definedName name="NH_FINANCIAL" localSheetId="36">'Fidelity Bankers'!$B$35:$F$35</definedName>
    <definedName name="NH_FINANCIAL" localSheetId="37">'Fidelity Mutual'!$B$35:$F$35</definedName>
    <definedName name="NH_FINANCIAL" localSheetId="38">'First Capital'!$B$35:$F$35</definedName>
    <definedName name="NH_FINANCIAL" localSheetId="39">'First Natl'!$B$35:$F$35</definedName>
    <definedName name="NH_FINANCIAL" localSheetId="40">'First Natl (Thrnr)'!$B$35:$F$35</definedName>
    <definedName name="NH_FINANCIAL" localSheetId="41">'Franklin American'!$B$35:$F$35</definedName>
    <definedName name="NH_FINANCIAL" localSheetId="42">'Franklin Protective'!$B$35:$F$35</definedName>
    <definedName name="NH_FINANCIAL" localSheetId="43">'Freelancers CO-OP'!$B$35:$F$35</definedName>
    <definedName name="NH_FINANCIAL" localSheetId="44">Freestone!$B$35:$F$35</definedName>
    <definedName name="NH_FINANCIAL" localSheetId="45">'George Washington'!$B$35:$F$35</definedName>
    <definedName name="NH_FINANCIAL" localSheetId="46">'Golden State'!$B$35:$F$35</definedName>
    <definedName name="NH_FINANCIAL" localSheetId="47">'Guarantee Security'!$B$35:$F$35</definedName>
    <definedName name="NH_FINANCIAL" localSheetId="48">HealthyCT!$B$35:$F$35</definedName>
    <definedName name="NH_FINANCIAL" localSheetId="49">Imerica!$B$35:$F$35</definedName>
    <definedName name="NH_FINANCIAL" localSheetId="50">'Inter-American'!$B$35:$F$35</definedName>
    <definedName name="NH_FINANCIAL" localSheetId="51">'International Fin'!$B$35:$F$35</definedName>
    <definedName name="NH_FINANCIAL" localSheetId="52">'Investment Life of America'!$B$35:$F$35</definedName>
    <definedName name="NH_FINANCIAL" localSheetId="53">'Investors Equity'!$B$35:$F$35</definedName>
    <definedName name="NH_FINANCIAL" localSheetId="54">'Kentucky Central'!$B$35:$F$35</definedName>
    <definedName name="NH_FINANCIAL" localSheetId="55">'Land of Lincoln'!$B$35:$F$35</definedName>
    <definedName name="NH_FINANCIAL" localSheetId="56">Legion!$B$35:$F$35</definedName>
    <definedName name="NH_FINANCIAL" localSheetId="57">'Life Health America'!$B$35:$F$35</definedName>
    <definedName name="NH_FINANCIAL" localSheetId="58">'Lincoln Memorial'!$B$35:$F$35</definedName>
    <definedName name="NH_FINANCIAL" localSheetId="59">'London Pac'!$B$35:$F$35</definedName>
    <definedName name="NH_FINANCIAL" localSheetId="60">Lumbermens!$B$35:$F$35</definedName>
    <definedName name="NH_FINANCIAL" localSheetId="61">'Medical Savings'!$B$35:$F$35</definedName>
    <definedName name="NH_FINANCIAL" localSheetId="62">'Memorial Service'!$B$35:$F$35</definedName>
    <definedName name="NH_FINANCIAL" localSheetId="63">Midcontinent!$B$35:$F$35</definedName>
    <definedName name="NH_FINANCIAL" localSheetId="64">'Midwest Life'!$B$35:$F$35</definedName>
    <definedName name="NH_FINANCIAL" localSheetId="65">'Monarch Life'!$B$35:$F$35</definedName>
    <definedName name="NH_FINANCIAL" localSheetId="66">'Mutual Benefit'!$B$35:$F$35</definedName>
    <definedName name="NH_FINANCIAL" localSheetId="67">'Mutual Security'!$B$35:$F$35</definedName>
    <definedName name="NH_FINANCIAL" localSheetId="68">'National Affiliated'!$B$35:$F$35</definedName>
    <definedName name="NH_FINANCIAL" localSheetId="70">'National Heritage'!$B$35:$F$35</definedName>
    <definedName name="NH_FINANCIAL" localSheetId="71">'National States'!$B$35:$F$35</definedName>
    <definedName name="NH_FINANCIAL" localSheetId="69">'Natl American'!$B$35:$F$35</definedName>
    <definedName name="NH_FINANCIAL" localSheetId="72">'New Jersey Life'!$B$35:$F$35</definedName>
    <definedName name="NH_FINANCIAL" localSheetId="74">NNIC!$B$35:$F$35</definedName>
    <definedName name="NH_FINANCIAL" localSheetId="73">'North Carolina Mutual'!$B$35:$F$35</definedName>
    <definedName name="NH_FINANCIAL" localSheetId="75">'Old Colony Life'!$B$35:$F$35</definedName>
    <definedName name="NH_FINANCIAL" localSheetId="76">'Old Faithful'!$B$35:$F$35</definedName>
    <definedName name="NH_FINANCIAL" localSheetId="77">'Pacific Standard'!$B$35:$F$35</definedName>
    <definedName name="NH_FINANCIAL" localSheetId="78">'Pavonia Life'!$B$35:$F$35</definedName>
    <definedName name="NH_FINANCIAL" localSheetId="79">'Pen  Treaty'!$B$35:$F$35</definedName>
    <definedName name="NH_FINANCIAL" localSheetId="80">'Red Rock'!$B$35:$F$35</definedName>
    <definedName name="NH_FINANCIAL" localSheetId="81">Reliance!$B$35:$F$35</definedName>
    <definedName name="NH_FINANCIAL" localSheetId="82">SeeChange!$B$35:$F$35</definedName>
    <definedName name="NH_FINANCIAL" localSheetId="83">'Senior American'!$B$35:$F$35</definedName>
    <definedName name="NH_FINANCIAL" localSheetId="84">Settlers!$B$35:$F$35</definedName>
    <definedName name="NH_FINANCIAL" localSheetId="85">Shenandoah!$B$35:$F$35</definedName>
    <definedName name="NH_FINANCIAL" localSheetId="86">'Southland National Life'!$B$35:$F$35</definedName>
    <definedName name="NH_FINANCIAL" localSheetId="87">'Standard Life IN'!$B$35:$F$35</definedName>
    <definedName name="NH_FINANCIAL" localSheetId="88">'States General'!$B$35:$F$35</definedName>
    <definedName name="NH_FINANCIAL" localSheetId="89">Statesman!$B$35:$F$35</definedName>
    <definedName name="NH_FINANCIAL" localSheetId="90">'Summit National'!$B$35:$F$35</definedName>
    <definedName name="NH_FINANCIAL" localSheetId="91">Supreme!$B$35:$F$35</definedName>
    <definedName name="NH_FINANCIAL" localSheetId="92">Time!$B$35:$F$35</definedName>
    <definedName name="NH_FINANCIAL" localSheetId="106">'Total Summary'!$B$35:$F$35</definedName>
    <definedName name="NH_FINANCIAL" localSheetId="93">Underwriters!$B$35:$F$35</definedName>
    <definedName name="NH_FINANCIAL" localSheetId="94">Unison!$B$35:$F$35</definedName>
    <definedName name="NH_FINANCIAL" localSheetId="95">'United Republic'!$B$35:$F$35</definedName>
    <definedName name="NH_FINANCIAL" localSheetId="96">'Universal Health Care'!$B$35:$F$35</definedName>
    <definedName name="NH_FINANCIAL" localSheetId="97">'Universal Life'!$B$35:$F$35</definedName>
    <definedName name="NH_FINANCIAL" localSheetId="98">Universe!$B$35:$F$35</definedName>
    <definedName name="NH_FINANCIAL" localSheetId="99">Villanova!$B$35:$F$35</definedName>
    <definedName name="NJ_FINANCIAL" localSheetId="0">'AF&amp;L'!$B$36:$F$36</definedName>
    <definedName name="NJ_FINANCIAL" localSheetId="1">'Alabama Life'!$B$36:$F$36</definedName>
    <definedName name="NJ_FINANCIAL" localSheetId="6">'Amer Life Asr'!$B$36:$F$36</definedName>
    <definedName name="NJ_FINANCIAL" localSheetId="9">'Amer Std Life Acc'!$B$36:$F$36</definedName>
    <definedName name="NJ_FINANCIAL" localSheetId="2">'American Chambers'!$B$36:$F$36</definedName>
    <definedName name="NJ_FINANCIAL" localSheetId="3">'American Community'!$B$36:$F$36</definedName>
    <definedName name="NJ_FINANCIAL" localSheetId="4">'American Educators'!$B$36:$F$36</definedName>
    <definedName name="NJ_FINANCIAL" localSheetId="5">'American Integrity'!$B$36:$F$36</definedName>
    <definedName name="NJ_FINANCIAL" localSheetId="7">'American Medical'!$B$36:$F$36</definedName>
    <definedName name="NJ_FINANCIAL" localSheetId="8">'American Network'!$B$36:$F$36</definedName>
    <definedName name="NJ_FINANCIAL" localSheetId="10">AmerWstrn!$B$36:$F$36</definedName>
    <definedName name="NJ_FINANCIAL" localSheetId="11">'AMS Life'!$B$36:$F$36</definedName>
    <definedName name="NJ_FINANCIAL" localSheetId="12">'Andrew Jackson'!$B$36:$F$36</definedName>
    <definedName name="NJ_FINANCIAL" localSheetId="13">'Bankers Commercial'!$B$36:$F$36</definedName>
    <definedName name="NJ_FINANCIAL" localSheetId="14">'Bankers Life'!$B$36:$F$36</definedName>
    <definedName name="NJ_FINANCIAL" localSheetId="15">Benicorp!$B$36:$F$36</definedName>
    <definedName name="NJ_FINANCIAL" localSheetId="16">'Booker T Washington'!$B$36:$F$36</definedName>
    <definedName name="NJ_FINANCIAL" localSheetId="17">Centennial!$B$36:$F$36</definedName>
    <definedName name="NJ_FINANCIAL" localSheetId="19">'CO Bankers'!$B$36:$F$36</definedName>
    <definedName name="NJ_FINANCIAL" localSheetId="18">'Coastal States'!$B$36:$F$36</definedName>
    <definedName name="NJ_FINANCIAL" localSheetId="20">'Colorado Health'!$B$36:$F$36</definedName>
    <definedName name="NJ_FINANCIAL" localSheetId="21">'Compass (dbs Meritus)'!$B$36:$F$36</definedName>
    <definedName name="NJ_FINANCIAL" localSheetId="22">'Confed Life &amp; Annty (CLIAC)'!$B$36:$F$36</definedName>
    <definedName name="NJ_FINANCIAL" localSheetId="23">'Confed Life (CLIC)'!$B$36:$F$36</definedName>
    <definedName name="NJ_FINANCIAL" localSheetId="24">'Consolidated National'!$B$36:$F$36</definedName>
    <definedName name="NJ_FINANCIAL" localSheetId="25">'Consumers Choice'!$B$36:$F$36</definedName>
    <definedName name="NJ_FINANCIAL" localSheetId="26">'Consumers Mutual'!$B$36:$F$36</definedName>
    <definedName name="NJ_FINANCIAL" localSheetId="27">'Consumers United'!$B$36:$F$36</definedName>
    <definedName name="NJ_FINANCIAL" localSheetId="28">CoOportunity!$B$36:$F$36</definedName>
    <definedName name="NJ_FINANCIAL" localSheetId="29">'Coordinated Hlth'!$B$36:$F$36</definedName>
    <definedName name="NJ_FINANCIAL" localSheetId="30">'Corporate Life'!$B$36:$F$36</definedName>
    <definedName name="NJ_FINANCIAL" localSheetId="31">'Diamond Benefits'!$B$36:$F$36</definedName>
    <definedName name="NJ_FINANCIAL" localSheetId="32">'EBL Life'!$B$36:$F$36</definedName>
    <definedName name="NJ_FINANCIAL" localSheetId="34">ELNY!$B$36:$F$36</definedName>
    <definedName name="NJ_FINANCIAL" localSheetId="33">'Executive Life'!$B$36:$F$36</definedName>
    <definedName name="NJ_FINANCIAL" localSheetId="35">'Family Guaranty'!$B$36:$F$36</definedName>
    <definedName name="NJ_FINANCIAL" localSheetId="36">'Fidelity Bankers'!$B$36:$F$36</definedName>
    <definedName name="NJ_FINANCIAL" localSheetId="37">'Fidelity Mutual'!$B$36:$F$36</definedName>
    <definedName name="NJ_FINANCIAL" localSheetId="38">'First Capital'!$B$36:$F$36</definedName>
    <definedName name="NJ_FINANCIAL" localSheetId="39">'First Natl'!$B$36:$F$36</definedName>
    <definedName name="NJ_FINANCIAL" localSheetId="40">'First Natl (Thrnr)'!$B$36:$F$36</definedName>
    <definedName name="NJ_FINANCIAL" localSheetId="41">'Franklin American'!$B$36:$F$36</definedName>
    <definedName name="NJ_FINANCIAL" localSheetId="42">'Franklin Protective'!$B$36:$F$36</definedName>
    <definedName name="NJ_FINANCIAL" localSheetId="43">'Freelancers CO-OP'!$B$36:$F$36</definedName>
    <definedName name="NJ_FINANCIAL" localSheetId="44">Freestone!$B$36:$F$36</definedName>
    <definedName name="NJ_FINANCIAL" localSheetId="45">'George Washington'!$B$36:$F$36</definedName>
    <definedName name="NJ_FINANCIAL" localSheetId="46">'Golden State'!$B$36:$F$36</definedName>
    <definedName name="NJ_FINANCIAL" localSheetId="47">'Guarantee Security'!$B$36:$F$36</definedName>
    <definedName name="NJ_FINANCIAL" localSheetId="48">HealthyCT!$B$36:$F$36</definedName>
    <definedName name="NJ_FINANCIAL" localSheetId="49">Imerica!$B$36:$F$36</definedName>
    <definedName name="NJ_FINANCIAL" localSheetId="50">'Inter-American'!$B$36:$F$36</definedName>
    <definedName name="NJ_FINANCIAL" localSheetId="51">'International Fin'!$B$36:$F$36</definedName>
    <definedName name="NJ_FINANCIAL" localSheetId="52">'Investment Life of America'!$B$36:$F$36</definedName>
    <definedName name="NJ_FINANCIAL" localSheetId="53">'Investors Equity'!$B$36:$F$36</definedName>
    <definedName name="NJ_FINANCIAL" localSheetId="54">'Kentucky Central'!$B$36:$F$36</definedName>
    <definedName name="NJ_FINANCIAL" localSheetId="55">'Land of Lincoln'!$B$36:$F$36</definedName>
    <definedName name="NJ_FINANCIAL" localSheetId="56">Legion!$B$36:$F$36</definedName>
    <definedName name="NJ_FINANCIAL" localSheetId="57">'Life Health America'!$B$36:$F$36</definedName>
    <definedName name="NJ_FINANCIAL" localSheetId="58">'Lincoln Memorial'!$B$36:$F$36</definedName>
    <definedName name="NJ_FINANCIAL" localSheetId="59">'London Pac'!$B$36:$F$36</definedName>
    <definedName name="NJ_FINANCIAL" localSheetId="60">Lumbermens!$B$36:$F$36</definedName>
    <definedName name="NJ_FINANCIAL" localSheetId="61">'Medical Savings'!$B$36:$F$36</definedName>
    <definedName name="NJ_FINANCIAL" localSheetId="62">'Memorial Service'!$B$36:$F$36</definedName>
    <definedName name="NJ_FINANCIAL" localSheetId="63">Midcontinent!$B$36:$F$36</definedName>
    <definedName name="NJ_FINANCIAL" localSheetId="64">'Midwest Life'!$B$36:$F$36</definedName>
    <definedName name="NJ_FINANCIAL" localSheetId="65">'Monarch Life'!$B$36:$F$36</definedName>
    <definedName name="NJ_FINANCIAL" localSheetId="66">'Mutual Benefit'!$B$36:$F$36</definedName>
    <definedName name="NJ_FINANCIAL" localSheetId="67">'Mutual Security'!$B$36:$F$36</definedName>
    <definedName name="NJ_FINANCIAL" localSheetId="68">'National Affiliated'!$B$36:$F$36</definedName>
    <definedName name="NJ_FINANCIAL" localSheetId="70">'National Heritage'!$B$36:$F$36</definedName>
    <definedName name="NJ_FINANCIAL" localSheetId="71">'National States'!$B$36:$F$36</definedName>
    <definedName name="NJ_FINANCIAL" localSheetId="69">'Natl American'!$B$36:$F$36</definedName>
    <definedName name="NJ_FINANCIAL" localSheetId="72">'New Jersey Life'!$B$36:$F$36</definedName>
    <definedName name="NJ_FINANCIAL" localSheetId="74">NNIC!$B$36:$F$36</definedName>
    <definedName name="NJ_FINANCIAL" localSheetId="73">'North Carolina Mutual'!$B$36:$F$36</definedName>
    <definedName name="NJ_FINANCIAL" localSheetId="75">'Old Colony Life'!$B$36:$F$36</definedName>
    <definedName name="NJ_FINANCIAL" localSheetId="76">'Old Faithful'!$B$36:$F$36</definedName>
    <definedName name="NJ_FINANCIAL" localSheetId="77">'Pacific Standard'!$B$36:$F$36</definedName>
    <definedName name="NJ_FINANCIAL" localSheetId="78">'Pavonia Life'!$B$36:$F$36</definedName>
    <definedName name="NJ_FINANCIAL" localSheetId="79">'Pen  Treaty'!$B$36:$F$36</definedName>
    <definedName name="NJ_FINANCIAL" localSheetId="80">'Red Rock'!$B$36:$F$36</definedName>
    <definedName name="NJ_FINANCIAL" localSheetId="81">Reliance!$B$36:$F$36</definedName>
    <definedName name="NJ_FINANCIAL" localSheetId="82">SeeChange!$B$36:$F$36</definedName>
    <definedName name="NJ_FINANCIAL" localSheetId="83">'Senior American'!$B$36:$F$36</definedName>
    <definedName name="NJ_FINANCIAL" localSheetId="84">Settlers!$B$36:$F$36</definedName>
    <definedName name="NJ_FINANCIAL" localSheetId="85">Shenandoah!$B$36:$F$36</definedName>
    <definedName name="NJ_FINANCIAL" localSheetId="86">'Southland National Life'!$B$36:$F$36</definedName>
    <definedName name="NJ_FINANCIAL" localSheetId="87">'Standard Life IN'!$B$36:$F$36</definedName>
    <definedName name="NJ_FINANCIAL" localSheetId="88">'States General'!$B$36:$F$36</definedName>
    <definedName name="NJ_FINANCIAL" localSheetId="89">Statesman!$B$36:$F$36</definedName>
    <definedName name="NJ_FINANCIAL" localSheetId="90">'Summit National'!$B$36:$F$36</definedName>
    <definedName name="NJ_FINANCIAL" localSheetId="91">Supreme!$B$36:$F$36</definedName>
    <definedName name="NJ_FINANCIAL" localSheetId="92">Time!$B$36:$F$36</definedName>
    <definedName name="NJ_FINANCIAL" localSheetId="106">'Total Summary'!$B$36:$F$36</definedName>
    <definedName name="NJ_FINANCIAL" localSheetId="93">Underwriters!$B$36:$F$36</definedName>
    <definedName name="NJ_FINANCIAL" localSheetId="94">Unison!$B$36:$F$36</definedName>
    <definedName name="NJ_FINANCIAL" localSheetId="95">'United Republic'!$B$36:$F$36</definedName>
    <definedName name="NJ_FINANCIAL" localSheetId="96">'Universal Health Care'!$B$36:$F$36</definedName>
    <definedName name="NJ_FINANCIAL" localSheetId="97">'Universal Life'!$B$36:$F$36</definedName>
    <definedName name="NJ_FINANCIAL" localSheetId="98">Universe!$B$36:$F$36</definedName>
    <definedName name="NJ_FINANCIAL" localSheetId="99">Villanova!$B$36:$F$36</definedName>
    <definedName name="NM_FINANCIAL" localSheetId="0">'AF&amp;L'!$B$37:$F$37</definedName>
    <definedName name="NM_FINANCIAL" localSheetId="1">'Alabama Life'!$B$37:$F$37</definedName>
    <definedName name="NM_FINANCIAL" localSheetId="6">'Amer Life Asr'!$B$37:$F$37</definedName>
    <definedName name="NM_FINANCIAL" localSheetId="9">'Amer Std Life Acc'!$B$37:$F$37</definedName>
    <definedName name="NM_FINANCIAL" localSheetId="2">'American Chambers'!$B$37:$F$37</definedName>
    <definedName name="NM_FINANCIAL" localSheetId="3">'American Community'!$B$37:$F$37</definedName>
    <definedName name="NM_FINANCIAL" localSheetId="4">'American Educators'!$B$37:$F$37</definedName>
    <definedName name="NM_FINANCIAL" localSheetId="5">'American Integrity'!$B$37:$F$37</definedName>
    <definedName name="NM_FINANCIAL" localSheetId="7">'American Medical'!$B$37:$F$37</definedName>
    <definedName name="NM_FINANCIAL" localSheetId="8">'American Network'!$B$37:$F$37</definedName>
    <definedName name="NM_FINANCIAL" localSheetId="10">AmerWstrn!$B$37:$F$37</definedName>
    <definedName name="NM_FINANCIAL" localSheetId="11">'AMS Life'!$B$37:$F$37</definedName>
    <definedName name="NM_FINANCIAL" localSheetId="12">'Andrew Jackson'!$B$37:$F$37</definedName>
    <definedName name="NM_FINANCIAL" localSheetId="13">'Bankers Commercial'!$B$37:$F$37</definedName>
    <definedName name="NM_FINANCIAL" localSheetId="14">'Bankers Life'!$B$37:$F$37</definedName>
    <definedName name="NM_FINANCIAL" localSheetId="15">Benicorp!$B$37:$F$37</definedName>
    <definedName name="NM_FINANCIAL" localSheetId="16">'Booker T Washington'!$B$37:$F$37</definedName>
    <definedName name="NM_FINANCIAL" localSheetId="17">Centennial!$B$37:$F$37</definedName>
    <definedName name="NM_FINANCIAL" localSheetId="19">'CO Bankers'!$B$37:$F$37</definedName>
    <definedName name="NM_FINANCIAL" localSheetId="18">'Coastal States'!$B$37:$F$37</definedName>
    <definedName name="NM_FINANCIAL" localSheetId="20">'Colorado Health'!$B$37:$F$37</definedName>
    <definedName name="NM_FINANCIAL" localSheetId="21">'Compass (dbs Meritus)'!$B$37:$F$37</definedName>
    <definedName name="NM_FINANCIAL" localSheetId="22">'Confed Life &amp; Annty (CLIAC)'!$B$37:$F$37</definedName>
    <definedName name="NM_FINANCIAL" localSheetId="23">'Confed Life (CLIC)'!$B$37:$F$37</definedName>
    <definedName name="NM_FINANCIAL" localSheetId="24">'Consolidated National'!$B$37:$F$37</definedName>
    <definedName name="NM_FINANCIAL" localSheetId="25">'Consumers Choice'!$B$37:$F$37</definedName>
    <definedName name="NM_FINANCIAL" localSheetId="26">'Consumers Mutual'!$B$37:$F$37</definedName>
    <definedName name="NM_FINANCIAL" localSheetId="27">'Consumers United'!$B$37:$F$37</definedName>
    <definedName name="NM_FINANCIAL" localSheetId="28">CoOportunity!$B$37:$F$37</definedName>
    <definedName name="NM_FINANCIAL" localSheetId="29">'Coordinated Hlth'!$B$37:$F$37</definedName>
    <definedName name="NM_FINANCIAL" localSheetId="30">'Corporate Life'!$B$37:$F$37</definedName>
    <definedName name="NM_FINANCIAL" localSheetId="31">'Diamond Benefits'!$B$37:$F$37</definedName>
    <definedName name="NM_FINANCIAL" localSheetId="32">'EBL Life'!$B$37:$F$37</definedName>
    <definedName name="NM_FINANCIAL" localSheetId="34">ELNY!$B$37:$F$37</definedName>
    <definedName name="NM_FINANCIAL" localSheetId="33">'Executive Life'!$B$37:$F$37</definedName>
    <definedName name="NM_FINANCIAL" localSheetId="35">'Family Guaranty'!$B$37:$F$37</definedName>
    <definedName name="NM_FINANCIAL" localSheetId="36">'Fidelity Bankers'!$B$37:$F$37</definedName>
    <definedName name="NM_FINANCIAL" localSheetId="37">'Fidelity Mutual'!$B$37:$F$37</definedName>
    <definedName name="NM_FINANCIAL" localSheetId="38">'First Capital'!$B$37:$F$37</definedName>
    <definedName name="NM_FINANCIAL" localSheetId="39">'First Natl'!$B$37:$F$37</definedName>
    <definedName name="NM_FINANCIAL" localSheetId="40">'First Natl (Thrnr)'!$B$37:$F$37</definedName>
    <definedName name="NM_FINANCIAL" localSheetId="41">'Franklin American'!$B$37:$F$37</definedName>
    <definedName name="NM_FINANCIAL" localSheetId="42">'Franklin Protective'!$B$37:$F$37</definedName>
    <definedName name="NM_FINANCIAL" localSheetId="43">'Freelancers CO-OP'!$B$37:$F$37</definedName>
    <definedName name="NM_FINANCIAL" localSheetId="44">Freestone!$B$37:$F$37</definedName>
    <definedName name="NM_FINANCIAL" localSheetId="45">'George Washington'!$B$37:$F$37</definedName>
    <definedName name="NM_FINANCIAL" localSheetId="46">'Golden State'!$B$37:$F$37</definedName>
    <definedName name="NM_FINANCIAL" localSheetId="47">'Guarantee Security'!$B$37:$F$37</definedName>
    <definedName name="NM_FINANCIAL" localSheetId="48">HealthyCT!$B$37:$F$37</definedName>
    <definedName name="NM_FINANCIAL" localSheetId="49">Imerica!$B$37:$F$37</definedName>
    <definedName name="NM_FINANCIAL" localSheetId="50">'Inter-American'!$B$37:$F$37</definedName>
    <definedName name="NM_FINANCIAL" localSheetId="51">'International Fin'!$B$37:$F$37</definedName>
    <definedName name="NM_FINANCIAL" localSheetId="52">'Investment Life of America'!$B$37:$F$37</definedName>
    <definedName name="NM_FINANCIAL" localSheetId="53">'Investors Equity'!$B$37:$F$37</definedName>
    <definedName name="NM_FINANCIAL" localSheetId="54">'Kentucky Central'!$B$37:$F$37</definedName>
    <definedName name="NM_FINANCIAL" localSheetId="55">'Land of Lincoln'!$B$37:$F$37</definedName>
    <definedName name="NM_FINANCIAL" localSheetId="56">Legion!$B$37:$F$37</definedName>
    <definedName name="NM_FINANCIAL" localSheetId="57">'Life Health America'!$B$37:$F$37</definedName>
    <definedName name="NM_FINANCIAL" localSheetId="58">'Lincoln Memorial'!$B$37:$F$37</definedName>
    <definedName name="NM_FINANCIAL" localSheetId="59">'London Pac'!$B$37:$F$37</definedName>
    <definedName name="NM_FINANCIAL" localSheetId="60">Lumbermens!$B$37:$F$37</definedName>
    <definedName name="NM_FINANCIAL" localSheetId="61">'Medical Savings'!$B$37:$F$37</definedName>
    <definedName name="NM_FINANCIAL" localSheetId="62">'Memorial Service'!$B$37:$F$37</definedName>
    <definedName name="NM_FINANCIAL" localSheetId="63">Midcontinent!$B$37:$F$37</definedName>
    <definedName name="NM_FINANCIAL" localSheetId="64">'Midwest Life'!$B$37:$F$37</definedName>
    <definedName name="NM_FINANCIAL" localSheetId="65">'Monarch Life'!$B$37:$F$37</definedName>
    <definedName name="NM_FINANCIAL" localSheetId="66">'Mutual Benefit'!$B$37:$F$37</definedName>
    <definedName name="NM_FINANCIAL" localSheetId="67">'Mutual Security'!$B$37:$F$37</definedName>
    <definedName name="NM_FINANCIAL" localSheetId="68">'National Affiliated'!$B$37:$F$37</definedName>
    <definedName name="NM_FINANCIAL" localSheetId="70">'National Heritage'!$B$37:$F$37</definedName>
    <definedName name="NM_FINANCIAL" localSheetId="71">'National States'!$B$37:$F$37</definedName>
    <definedName name="NM_FINANCIAL" localSheetId="69">'Natl American'!$B$37:$F$37</definedName>
    <definedName name="NM_FINANCIAL" localSheetId="72">'New Jersey Life'!$B$37:$F$37</definedName>
    <definedName name="NM_FINANCIAL" localSheetId="74">NNIC!$B$37:$F$37</definedName>
    <definedName name="NM_FINANCIAL" localSheetId="73">'North Carolina Mutual'!$B$37:$F$37</definedName>
    <definedName name="NM_FINANCIAL" localSheetId="75">'Old Colony Life'!$B$37:$F$37</definedName>
    <definedName name="NM_FINANCIAL" localSheetId="76">'Old Faithful'!$B$37:$F$37</definedName>
    <definedName name="NM_FINANCIAL" localSheetId="77">'Pacific Standard'!$B$37:$F$37</definedName>
    <definedName name="NM_FINANCIAL" localSheetId="78">'Pavonia Life'!$B$37:$F$37</definedName>
    <definedName name="NM_FINANCIAL" localSheetId="79">'Pen  Treaty'!$B$37:$F$37</definedName>
    <definedName name="NM_FINANCIAL" localSheetId="80">'Red Rock'!$B$37:$F$37</definedName>
    <definedName name="NM_FINANCIAL" localSheetId="81">Reliance!$B$37:$F$37</definedName>
    <definedName name="NM_FINANCIAL" localSheetId="82">SeeChange!$B$37:$F$37</definedName>
    <definedName name="NM_FINANCIAL" localSheetId="83">'Senior American'!$B$37:$F$37</definedName>
    <definedName name="NM_FINANCIAL" localSheetId="84">Settlers!$B$37:$F$37</definedName>
    <definedName name="NM_FINANCIAL" localSheetId="85">Shenandoah!$B$37:$F$37</definedName>
    <definedName name="NM_FINANCIAL" localSheetId="86">'Southland National Life'!$B$37:$F$37</definedName>
    <definedName name="NM_FINANCIAL" localSheetId="87">'Standard Life IN'!$B$37:$F$37</definedName>
    <definedName name="NM_FINANCIAL" localSheetId="88">'States General'!$B$37:$F$37</definedName>
    <definedName name="NM_FINANCIAL" localSheetId="89">Statesman!$B$37:$F$37</definedName>
    <definedName name="NM_FINANCIAL" localSheetId="90">'Summit National'!$B$37:$F$37</definedName>
    <definedName name="NM_FINANCIAL" localSheetId="91">Supreme!$B$37:$F$37</definedName>
    <definedName name="NM_FINANCIAL" localSheetId="92">Time!$B$37:$F$37</definedName>
    <definedName name="NM_FINANCIAL" localSheetId="106">'Total Summary'!$B$37:$F$37</definedName>
    <definedName name="NM_FINANCIAL" localSheetId="93">Underwriters!$B$37:$F$37</definedName>
    <definedName name="NM_FINANCIAL" localSheetId="94">Unison!$B$37:$F$37</definedName>
    <definedName name="NM_FINANCIAL" localSheetId="95">'United Republic'!$B$37:$F$37</definedName>
    <definedName name="NM_FINANCIAL" localSheetId="96">'Universal Health Care'!$B$37:$F$37</definedName>
    <definedName name="NM_FINANCIAL" localSheetId="97">'Universal Life'!$B$37:$F$37</definedName>
    <definedName name="NM_FINANCIAL" localSheetId="98">Universe!$B$37:$F$37</definedName>
    <definedName name="NM_FINANCIAL" localSheetId="99">Villanova!$B$37:$F$37</definedName>
    <definedName name="NV_FINANCIAL" localSheetId="0">'AF&amp;L'!$B$34:$F$34</definedName>
    <definedName name="NV_FINANCIAL" localSheetId="1">'Alabama Life'!$B$34:$F$34</definedName>
    <definedName name="NV_FINANCIAL" localSheetId="6">'Amer Life Asr'!$B$34:$F$34</definedName>
    <definedName name="NV_FINANCIAL" localSheetId="9">'Amer Std Life Acc'!$B$34:$F$34</definedName>
    <definedName name="NV_FINANCIAL" localSheetId="2">'American Chambers'!$B$34:$F$34</definedName>
    <definedName name="NV_FINANCIAL" localSheetId="3">'American Community'!$B$34:$F$34</definedName>
    <definedName name="NV_FINANCIAL" localSheetId="4">'American Educators'!$B$34:$F$34</definedName>
    <definedName name="NV_FINANCIAL" localSheetId="5">'American Integrity'!$B$34:$F$34</definedName>
    <definedName name="NV_FINANCIAL" localSheetId="7">'American Medical'!$B$34:$F$34</definedName>
    <definedName name="NV_FINANCIAL" localSheetId="8">'American Network'!$B$34:$F$34</definedName>
    <definedName name="NV_FINANCIAL" localSheetId="10">AmerWstrn!$B$34:$F$34</definedName>
    <definedName name="NV_FINANCIAL" localSheetId="11">'AMS Life'!$B$34:$F$34</definedName>
    <definedName name="NV_FINANCIAL" localSheetId="12">'Andrew Jackson'!$B$34:$F$34</definedName>
    <definedName name="NV_FINANCIAL" localSheetId="13">'Bankers Commercial'!$B$34:$F$34</definedName>
    <definedName name="NV_FINANCIAL" localSheetId="14">'Bankers Life'!$B$34:$F$34</definedName>
    <definedName name="NV_FINANCIAL" localSheetId="15">Benicorp!$B$34:$F$34</definedName>
    <definedName name="NV_FINANCIAL" localSheetId="16">'Booker T Washington'!$B$34:$F$34</definedName>
    <definedName name="NV_FINANCIAL" localSheetId="17">Centennial!$B$34:$F$34</definedName>
    <definedName name="NV_FINANCIAL" localSheetId="19">'CO Bankers'!$B$34:$F$34</definedName>
    <definedName name="NV_FINANCIAL" localSheetId="18">'Coastal States'!$B$34:$F$34</definedName>
    <definedName name="NV_FINANCIAL" localSheetId="20">'Colorado Health'!$B$34:$F$34</definedName>
    <definedName name="NV_FINANCIAL" localSheetId="21">'Compass (dbs Meritus)'!$B$34:$F$34</definedName>
    <definedName name="NV_FINANCIAL" localSheetId="22">'Confed Life &amp; Annty (CLIAC)'!$B$34:$F$34</definedName>
    <definedName name="NV_FINANCIAL" localSheetId="23">'Confed Life (CLIC)'!$B$34:$F$34</definedName>
    <definedName name="NV_FINANCIAL" localSheetId="24">'Consolidated National'!$B$34:$F$34</definedName>
    <definedName name="NV_FINANCIAL" localSheetId="25">'Consumers Choice'!$B$34:$F$34</definedName>
    <definedName name="NV_FINANCIAL" localSheetId="26">'Consumers Mutual'!$B$34:$F$34</definedName>
    <definedName name="NV_FINANCIAL" localSheetId="27">'Consumers United'!$B$34:$F$34</definedName>
    <definedName name="NV_FINANCIAL" localSheetId="28">CoOportunity!$B$34:$F$34</definedName>
    <definedName name="NV_FINANCIAL" localSheetId="29">'Coordinated Hlth'!$B$34:$F$34</definedName>
    <definedName name="NV_FINANCIAL" localSheetId="30">'Corporate Life'!$B$34:$F$34</definedName>
    <definedName name="NV_FINANCIAL" localSheetId="31">'Diamond Benefits'!$B$34:$F$34</definedName>
    <definedName name="NV_FINANCIAL" localSheetId="32">'EBL Life'!$B$34:$F$34</definedName>
    <definedName name="NV_FINANCIAL" localSheetId="34">ELNY!$B$34:$F$34</definedName>
    <definedName name="NV_FINANCIAL" localSheetId="33">'Executive Life'!$B$34:$F$34</definedName>
    <definedName name="NV_FINANCIAL" localSheetId="35">'Family Guaranty'!$B$34:$F$34</definedName>
    <definedName name="NV_FINANCIAL" localSheetId="36">'Fidelity Bankers'!$B$34:$F$34</definedName>
    <definedName name="NV_FINANCIAL" localSheetId="37">'Fidelity Mutual'!$B$34:$F$34</definedName>
    <definedName name="NV_FINANCIAL" localSheetId="38">'First Capital'!$B$34:$F$34</definedName>
    <definedName name="NV_FINANCIAL" localSheetId="39">'First Natl'!$B$34:$F$34</definedName>
    <definedName name="NV_FINANCIAL" localSheetId="40">'First Natl (Thrnr)'!$B$34:$F$34</definedName>
    <definedName name="NV_FINANCIAL" localSheetId="41">'Franklin American'!$B$34:$F$34</definedName>
    <definedName name="NV_FINANCIAL" localSheetId="42">'Franklin Protective'!$B$34:$F$34</definedName>
    <definedName name="NV_FINANCIAL" localSheetId="43">'Freelancers CO-OP'!$B$34:$F$34</definedName>
    <definedName name="NV_FINANCIAL" localSheetId="44">Freestone!$B$34:$F$34</definedName>
    <definedName name="NV_FINANCIAL" localSheetId="45">'George Washington'!$B$34:$F$34</definedName>
    <definedName name="NV_FINANCIAL" localSheetId="46">'Golden State'!$B$34:$F$34</definedName>
    <definedName name="NV_FINANCIAL" localSheetId="47">'Guarantee Security'!$B$34:$F$34</definedName>
    <definedName name="NV_FINANCIAL" localSheetId="48">HealthyCT!$B$34:$F$34</definedName>
    <definedName name="NV_FINANCIAL" localSheetId="49">Imerica!$B$34:$F$34</definedName>
    <definedName name="NV_FINANCIAL" localSheetId="50">'Inter-American'!$B$34:$F$34</definedName>
    <definedName name="NV_FINANCIAL" localSheetId="51">'International Fin'!$B$34:$F$34</definedName>
    <definedName name="NV_FINANCIAL" localSheetId="52">'Investment Life of America'!$B$34:$F$34</definedName>
    <definedName name="NV_FINANCIAL" localSheetId="53">'Investors Equity'!$B$34:$F$34</definedName>
    <definedName name="NV_FINANCIAL" localSheetId="54">'Kentucky Central'!$B$34:$F$34</definedName>
    <definedName name="NV_FINANCIAL" localSheetId="55">'Land of Lincoln'!$B$34:$F$34</definedName>
    <definedName name="NV_FINANCIAL" localSheetId="56">Legion!$B$34:$F$34</definedName>
    <definedName name="NV_FINANCIAL" localSheetId="57">'Life Health America'!$B$34:$F$34</definedName>
    <definedName name="NV_FINANCIAL" localSheetId="58">'Lincoln Memorial'!$B$34:$F$34</definedName>
    <definedName name="NV_FINANCIAL" localSheetId="59">'London Pac'!$B$34:$F$34</definedName>
    <definedName name="NV_FINANCIAL" localSheetId="60">Lumbermens!$B$34:$F$34</definedName>
    <definedName name="NV_FINANCIAL" localSheetId="61">'Medical Savings'!$B$34:$F$34</definedName>
    <definedName name="NV_FINANCIAL" localSheetId="62">'Memorial Service'!$B$34:$F$34</definedName>
    <definedName name="NV_FINANCIAL" localSheetId="63">Midcontinent!$B$34:$F$34</definedName>
    <definedName name="NV_FINANCIAL" localSheetId="64">'Midwest Life'!$B$34:$F$34</definedName>
    <definedName name="NV_FINANCIAL" localSheetId="65">'Monarch Life'!$B$34:$F$34</definedName>
    <definedName name="NV_FINANCIAL" localSheetId="66">'Mutual Benefit'!$B$34:$F$34</definedName>
    <definedName name="NV_FINANCIAL" localSheetId="67">'Mutual Security'!$B$34:$F$34</definedName>
    <definedName name="NV_FINANCIAL" localSheetId="68">'National Affiliated'!$B$34:$F$34</definedName>
    <definedName name="NV_FINANCIAL" localSheetId="70">'National Heritage'!$B$34:$F$34</definedName>
    <definedName name="NV_FINANCIAL" localSheetId="71">'National States'!$B$34:$F$34</definedName>
    <definedName name="NV_FINANCIAL" localSheetId="69">'Natl American'!$B$34:$F$34</definedName>
    <definedName name="NV_FINANCIAL" localSheetId="72">'New Jersey Life'!$B$34:$F$34</definedName>
    <definedName name="NV_FINANCIAL" localSheetId="74">NNIC!$B$34:$F$34</definedName>
    <definedName name="NV_FINANCIAL" localSheetId="73">'North Carolina Mutual'!$B$34:$F$34</definedName>
    <definedName name="NV_FINANCIAL" localSheetId="75">'Old Colony Life'!$B$34:$F$34</definedName>
    <definedName name="NV_FINANCIAL" localSheetId="76">'Old Faithful'!$B$34:$F$34</definedName>
    <definedName name="NV_FINANCIAL" localSheetId="77">'Pacific Standard'!$B$34:$F$34</definedName>
    <definedName name="NV_FINANCIAL" localSheetId="78">'Pavonia Life'!$B$34:$F$34</definedName>
    <definedName name="NV_FINANCIAL" localSheetId="79">'Pen  Treaty'!$B$34:$F$34</definedName>
    <definedName name="NV_FINANCIAL" localSheetId="80">'Red Rock'!$B$34:$F$34</definedName>
    <definedName name="NV_FINANCIAL" localSheetId="81">Reliance!$B$34:$F$34</definedName>
    <definedName name="NV_FINANCIAL" localSheetId="82">SeeChange!$B$34:$F$34</definedName>
    <definedName name="NV_FINANCIAL" localSheetId="83">'Senior American'!$B$34:$F$34</definedName>
    <definedName name="NV_FINANCIAL" localSheetId="84">Settlers!$B$34:$F$34</definedName>
    <definedName name="NV_FINANCIAL" localSheetId="85">Shenandoah!$B$34:$F$34</definedName>
    <definedName name="NV_FINANCIAL" localSheetId="86">'Southland National Life'!$B$34:$F$34</definedName>
    <definedName name="NV_FINANCIAL" localSheetId="87">'Standard Life IN'!$B$34:$F$34</definedName>
    <definedName name="NV_FINANCIAL" localSheetId="88">'States General'!$B$34:$F$34</definedName>
    <definedName name="NV_FINANCIAL" localSheetId="89">Statesman!$B$34:$F$34</definedName>
    <definedName name="NV_FINANCIAL" localSheetId="90">'Summit National'!$B$34:$F$34</definedName>
    <definedName name="NV_FINANCIAL" localSheetId="91">Supreme!$B$34:$F$34</definedName>
    <definedName name="NV_FINANCIAL" localSheetId="92">Time!$B$34:$F$34</definedName>
    <definedName name="NV_FINANCIAL" localSheetId="106">'Total Summary'!$B$34:$F$34</definedName>
    <definedName name="NV_FINANCIAL" localSheetId="93">Underwriters!$B$34:$F$34</definedName>
    <definedName name="NV_FINANCIAL" localSheetId="94">Unison!$B$34:$F$34</definedName>
    <definedName name="NV_FINANCIAL" localSheetId="95">'United Republic'!$B$34:$F$34</definedName>
    <definedName name="NV_FINANCIAL" localSheetId="96">'Universal Health Care'!$B$34:$F$34</definedName>
    <definedName name="NV_FINANCIAL" localSheetId="97">'Universal Life'!$B$34:$F$34</definedName>
    <definedName name="NV_FINANCIAL" localSheetId="98">Universe!$B$34:$F$34</definedName>
    <definedName name="NV_FINANCIAL" localSheetId="99">Villanova!$B$34:$F$34</definedName>
    <definedName name="NY_FINANCIAL" localSheetId="0">'AF&amp;L'!$B$38:$F$38</definedName>
    <definedName name="NY_FINANCIAL" localSheetId="1">'Alabama Life'!$B$38:$F$38</definedName>
    <definedName name="NY_FINANCIAL" localSheetId="6">'Amer Life Asr'!$B$38:$F$38</definedName>
    <definedName name="NY_FINANCIAL" localSheetId="9">'Amer Std Life Acc'!$B$38:$F$38</definedName>
    <definedName name="NY_FINANCIAL" localSheetId="2">'American Chambers'!$B$38:$F$38</definedName>
    <definedName name="NY_FINANCIAL" localSheetId="3">'American Community'!$B$38:$F$38</definedName>
    <definedName name="NY_FINANCIAL" localSheetId="4">'American Educators'!$B$38:$F$38</definedName>
    <definedName name="NY_FINANCIAL" localSheetId="5">'American Integrity'!$B$38:$F$38</definedName>
    <definedName name="NY_FINANCIAL" localSheetId="7">'American Medical'!$B$38:$F$38</definedName>
    <definedName name="NY_FINANCIAL" localSheetId="8">'American Network'!$B$38:$F$38</definedName>
    <definedName name="NY_FINANCIAL" localSheetId="10">AmerWstrn!$B$38:$F$38</definedName>
    <definedName name="NY_FINANCIAL" localSheetId="11">'AMS Life'!$B$38:$F$38</definedName>
    <definedName name="NY_FINANCIAL" localSheetId="12">'Andrew Jackson'!$B$38:$F$38</definedName>
    <definedName name="NY_FINANCIAL" localSheetId="13">'Bankers Commercial'!$B$38:$F$38</definedName>
    <definedName name="NY_FINANCIAL" localSheetId="14">'Bankers Life'!$B$38:$F$38</definedName>
    <definedName name="NY_FINANCIAL" localSheetId="15">Benicorp!$B$38:$F$38</definedName>
    <definedName name="NY_FINANCIAL" localSheetId="16">'Booker T Washington'!$B$38:$F$38</definedName>
    <definedName name="NY_FINANCIAL" localSheetId="17">Centennial!$B$38:$F$38</definedName>
    <definedName name="NY_FINANCIAL" localSheetId="19">'CO Bankers'!$B$38:$F$38</definedName>
    <definedName name="NY_FINANCIAL" localSheetId="18">'Coastal States'!$B$38:$F$38</definedName>
    <definedName name="NY_FINANCIAL" localSheetId="20">'Colorado Health'!$B$38:$F$38</definedName>
    <definedName name="NY_FINANCIAL" localSheetId="21">'Compass (dbs Meritus)'!$B$38:$F$38</definedName>
    <definedName name="NY_FINANCIAL" localSheetId="22">'Confed Life &amp; Annty (CLIAC)'!$B$38:$F$38</definedName>
    <definedName name="NY_FINANCIAL" localSheetId="23">'Confed Life (CLIC)'!$B$38:$F$38</definedName>
    <definedName name="NY_FINANCIAL" localSheetId="24">'Consolidated National'!$B$38:$F$38</definedName>
    <definedName name="NY_FINANCIAL" localSheetId="25">'Consumers Choice'!$B$38:$F$38</definedName>
    <definedName name="NY_FINANCIAL" localSheetId="26">'Consumers Mutual'!$B$38:$F$38</definedName>
    <definedName name="NY_FINANCIAL" localSheetId="27">'Consumers United'!$B$38:$F$38</definedName>
    <definedName name="NY_FINANCIAL" localSheetId="28">CoOportunity!$B$38:$F$38</definedName>
    <definedName name="NY_FINANCIAL" localSheetId="29">'Coordinated Hlth'!$B$38:$F$38</definedName>
    <definedName name="NY_FINANCIAL" localSheetId="30">'Corporate Life'!$B$38:$F$38</definedName>
    <definedName name="NY_FINANCIAL" localSheetId="31">'Diamond Benefits'!$B$38:$F$38</definedName>
    <definedName name="NY_FINANCIAL" localSheetId="32">'EBL Life'!$B$38:$F$38</definedName>
    <definedName name="NY_FINANCIAL" localSheetId="34">ELNY!$B$38:$F$38</definedName>
    <definedName name="NY_FINANCIAL" localSheetId="33">'Executive Life'!$B$38:$F$38</definedName>
    <definedName name="NY_FINANCIAL" localSheetId="35">'Family Guaranty'!$B$38:$F$38</definedName>
    <definedName name="NY_FINANCIAL" localSheetId="36">'Fidelity Bankers'!$B$38:$F$38</definedName>
    <definedName name="NY_FINANCIAL" localSheetId="37">'Fidelity Mutual'!$B$38:$F$38</definedName>
    <definedName name="NY_FINANCIAL" localSheetId="38">'First Capital'!$B$38:$F$38</definedName>
    <definedName name="NY_FINANCIAL" localSheetId="39">'First Natl'!$B$38:$F$38</definedName>
    <definedName name="NY_FINANCIAL" localSheetId="40">'First Natl (Thrnr)'!$B$38:$F$38</definedName>
    <definedName name="NY_FINANCIAL" localSheetId="41">'Franklin American'!$B$38:$F$38</definedName>
    <definedName name="NY_FINANCIAL" localSheetId="42">'Franklin Protective'!$B$38:$F$38</definedName>
    <definedName name="NY_FINANCIAL" localSheetId="43">'Freelancers CO-OP'!$B$38:$F$38</definedName>
    <definedName name="NY_FINANCIAL" localSheetId="44">Freestone!$B$38:$F$38</definedName>
    <definedName name="NY_FINANCIAL" localSheetId="45">'George Washington'!$B$38:$F$38</definedName>
    <definedName name="NY_FINANCIAL" localSheetId="46">'Golden State'!$B$38:$F$38</definedName>
    <definedName name="NY_FINANCIAL" localSheetId="47">'Guarantee Security'!$B$38:$F$38</definedName>
    <definedName name="NY_FINANCIAL" localSheetId="48">HealthyCT!$B$38:$F$38</definedName>
    <definedName name="NY_FINANCIAL" localSheetId="49">Imerica!$B$38:$F$38</definedName>
    <definedName name="NY_FINANCIAL" localSheetId="50">'Inter-American'!$B$38:$F$38</definedName>
    <definedName name="NY_FINANCIAL" localSheetId="51">'International Fin'!$B$38:$F$38</definedName>
    <definedName name="NY_FINANCIAL" localSheetId="52">'Investment Life of America'!$B$38:$F$38</definedName>
    <definedName name="NY_FINANCIAL" localSheetId="53">'Investors Equity'!$B$38:$F$38</definedName>
    <definedName name="NY_FINANCIAL" localSheetId="54">'Kentucky Central'!$B$38:$F$38</definedName>
    <definedName name="NY_FINANCIAL" localSheetId="55">'Land of Lincoln'!$B$38:$F$38</definedName>
    <definedName name="NY_FINANCIAL" localSheetId="56">Legion!$B$38:$F$38</definedName>
    <definedName name="NY_FINANCIAL" localSheetId="57">'Life Health America'!$B$38:$F$38</definedName>
    <definedName name="NY_FINANCIAL" localSheetId="58">'Lincoln Memorial'!$B$38:$F$38</definedName>
    <definedName name="NY_FINANCIAL" localSheetId="59">'London Pac'!$B$38:$F$38</definedName>
    <definedName name="NY_FINANCIAL" localSheetId="60">Lumbermens!$B$38:$F$38</definedName>
    <definedName name="NY_FINANCIAL" localSheetId="61">'Medical Savings'!$B$38:$F$38</definedName>
    <definedName name="NY_FINANCIAL" localSheetId="62">'Memorial Service'!$B$38:$F$38</definedName>
    <definedName name="NY_FINANCIAL" localSheetId="63">Midcontinent!$B$38:$F$38</definedName>
    <definedName name="NY_FINANCIAL" localSheetId="64">'Midwest Life'!$B$38:$F$38</definedName>
    <definedName name="NY_FINANCIAL" localSheetId="65">'Monarch Life'!$B$38:$F$38</definedName>
    <definedName name="NY_FINANCIAL" localSheetId="66">'Mutual Benefit'!$B$38:$F$38</definedName>
    <definedName name="NY_FINANCIAL" localSheetId="67">'Mutual Security'!$B$38:$F$38</definedName>
    <definedName name="NY_FINANCIAL" localSheetId="68">'National Affiliated'!$B$38:$F$38</definedName>
    <definedName name="NY_FINANCIAL" localSheetId="70">'National Heritage'!$B$38:$F$38</definedName>
    <definedName name="NY_FINANCIAL" localSheetId="71">'National States'!$B$38:$F$38</definedName>
    <definedName name="NY_FINANCIAL" localSheetId="69">'Natl American'!$B$38:$F$38</definedName>
    <definedName name="NY_FINANCIAL" localSheetId="72">'New Jersey Life'!$B$38:$F$38</definedName>
    <definedName name="NY_FINANCIAL" localSheetId="74">NNIC!$B$38:$F$38</definedName>
    <definedName name="NY_FINANCIAL" localSheetId="73">'North Carolina Mutual'!$B$38:$F$38</definedName>
    <definedName name="NY_FINANCIAL" localSheetId="75">'Old Colony Life'!$B$38:$F$38</definedName>
    <definedName name="NY_FINANCIAL" localSheetId="76">'Old Faithful'!$B$38:$F$38</definedName>
    <definedName name="NY_FINANCIAL" localSheetId="77">'Pacific Standard'!$B$38:$F$38</definedName>
    <definedName name="NY_FINANCIAL" localSheetId="78">'Pavonia Life'!$B$38:$F$38</definedName>
    <definedName name="NY_FINANCIAL" localSheetId="79">'Pen  Treaty'!$B$38:$F$38</definedName>
    <definedName name="NY_FINANCIAL" localSheetId="80">'Red Rock'!$B$38:$F$38</definedName>
    <definedName name="NY_FINANCIAL" localSheetId="81">Reliance!$B$38:$F$38</definedName>
    <definedName name="NY_FINANCIAL" localSheetId="82">SeeChange!$B$38:$F$38</definedName>
    <definedName name="NY_FINANCIAL" localSheetId="83">'Senior American'!$B$38:$F$38</definedName>
    <definedName name="NY_FINANCIAL" localSheetId="84">Settlers!$B$38:$F$38</definedName>
    <definedName name="NY_FINANCIAL" localSheetId="85">Shenandoah!$B$38:$F$38</definedName>
    <definedName name="NY_FINANCIAL" localSheetId="86">'Southland National Life'!$B$38:$F$38</definedName>
    <definedName name="NY_FINANCIAL" localSheetId="87">'Standard Life IN'!$B$38:$F$38</definedName>
    <definedName name="NY_FINANCIAL" localSheetId="88">'States General'!$B$38:$F$38</definedName>
    <definedName name="NY_FINANCIAL" localSheetId="89">Statesman!$B$38:$F$38</definedName>
    <definedName name="NY_FINANCIAL" localSheetId="90">'Summit National'!$B$38:$F$38</definedName>
    <definedName name="NY_FINANCIAL" localSheetId="91">Supreme!$B$38:$F$38</definedName>
    <definedName name="NY_FINANCIAL" localSheetId="92">Time!$B$38:$F$38</definedName>
    <definedName name="NY_FINANCIAL" localSheetId="106">'Total Summary'!$B$38:$F$38</definedName>
    <definedName name="NY_FINANCIAL" localSheetId="93">Underwriters!$B$38:$F$38</definedName>
    <definedName name="NY_FINANCIAL" localSheetId="94">Unison!$B$38:$F$38</definedName>
    <definedName name="NY_FINANCIAL" localSheetId="95">'United Republic'!$B$38:$F$38</definedName>
    <definedName name="NY_FINANCIAL" localSheetId="96">'Universal Health Care'!$B$38:$F$38</definedName>
    <definedName name="NY_FINANCIAL" localSheetId="97">'Universal Life'!$B$38:$F$38</definedName>
    <definedName name="NY_FINANCIAL" localSheetId="98">Universe!$B$38:$F$38</definedName>
    <definedName name="NY_FINANCIAL" localSheetId="99">Villanova!$B$38:$F$38</definedName>
    <definedName name="OH_FINANCIAL" localSheetId="0">'AF&amp;L'!$B$41:$F$41</definedName>
    <definedName name="OH_FINANCIAL" localSheetId="1">'Alabama Life'!$B$41:$F$41</definedName>
    <definedName name="OH_FINANCIAL" localSheetId="6">'Amer Life Asr'!$B$41:$F$41</definedName>
    <definedName name="OH_FINANCIAL" localSheetId="9">'Amer Std Life Acc'!$B$41:$F$41</definedName>
    <definedName name="OH_FINANCIAL" localSheetId="2">'American Chambers'!$B$41:$F$41</definedName>
    <definedName name="OH_FINANCIAL" localSheetId="3">'American Community'!$B$41:$F$41</definedName>
    <definedName name="OH_FINANCIAL" localSheetId="4">'American Educators'!$B$41:$F$41</definedName>
    <definedName name="OH_FINANCIAL" localSheetId="5">'American Integrity'!$B$41:$F$41</definedName>
    <definedName name="OH_FINANCIAL" localSheetId="7">'American Medical'!$B$41:$F$41</definedName>
    <definedName name="OH_FINANCIAL" localSheetId="8">'American Network'!$B$41:$F$41</definedName>
    <definedName name="OH_FINANCIAL" localSheetId="10">AmerWstrn!$B$41:$F$41</definedName>
    <definedName name="OH_FINANCIAL" localSheetId="11">'AMS Life'!$B$41:$F$41</definedName>
    <definedName name="OH_FINANCIAL" localSheetId="12">'Andrew Jackson'!$B$41:$F$41</definedName>
    <definedName name="OH_FINANCIAL" localSheetId="13">'Bankers Commercial'!$B$41:$F$41</definedName>
    <definedName name="OH_FINANCIAL" localSheetId="14">'Bankers Life'!$B$41:$F$41</definedName>
    <definedName name="OH_FINANCIAL" localSheetId="15">Benicorp!$B$41:$F$41</definedName>
    <definedName name="OH_FINANCIAL" localSheetId="16">'Booker T Washington'!$B$41:$F$41</definedName>
    <definedName name="OH_FINANCIAL" localSheetId="17">Centennial!$B$41:$F$41</definedName>
    <definedName name="OH_FINANCIAL" localSheetId="19">'CO Bankers'!$B$41:$F$41</definedName>
    <definedName name="OH_FINANCIAL" localSheetId="18">'Coastal States'!$B$41:$F$41</definedName>
    <definedName name="OH_FINANCIAL" localSheetId="20">'Colorado Health'!$B$41:$F$41</definedName>
    <definedName name="OH_FINANCIAL" localSheetId="21">'Compass (dbs Meritus)'!$B$41:$F$41</definedName>
    <definedName name="OH_FINANCIAL" localSheetId="22">'Confed Life &amp; Annty (CLIAC)'!$B$41:$F$41</definedName>
    <definedName name="OH_FINANCIAL" localSheetId="23">'Confed Life (CLIC)'!$B$41:$F$41</definedName>
    <definedName name="OH_FINANCIAL" localSheetId="24">'Consolidated National'!$B$41:$F$41</definedName>
    <definedName name="OH_FINANCIAL" localSheetId="25">'Consumers Choice'!$B$41:$F$41</definedName>
    <definedName name="OH_FINANCIAL" localSheetId="26">'Consumers Mutual'!$B$41:$F$41</definedName>
    <definedName name="OH_FINANCIAL" localSheetId="27">'Consumers United'!$B$41:$F$41</definedName>
    <definedName name="OH_FINANCIAL" localSheetId="28">CoOportunity!$B$41:$F$41</definedName>
    <definedName name="OH_FINANCIAL" localSheetId="29">'Coordinated Hlth'!$B$41:$F$41</definedName>
    <definedName name="OH_FINANCIAL" localSheetId="30">'Corporate Life'!$B$41:$F$41</definedName>
    <definedName name="OH_FINANCIAL" localSheetId="31">'Diamond Benefits'!$B$41:$F$41</definedName>
    <definedName name="OH_FINANCIAL" localSheetId="32">'EBL Life'!$B$41:$F$41</definedName>
    <definedName name="OH_FINANCIAL" localSheetId="34">ELNY!$B$41:$F$41</definedName>
    <definedName name="OH_FINANCIAL" localSheetId="33">'Executive Life'!$B$41:$F$41</definedName>
    <definedName name="OH_FINANCIAL" localSheetId="35">'Family Guaranty'!$B$41:$F$41</definedName>
    <definedName name="OH_FINANCIAL" localSheetId="36">'Fidelity Bankers'!$B$41:$F$41</definedName>
    <definedName name="OH_FINANCIAL" localSheetId="37">'Fidelity Mutual'!$B$41:$F$41</definedName>
    <definedName name="OH_FINANCIAL" localSheetId="38">'First Capital'!$B$41:$F$41</definedName>
    <definedName name="OH_FINANCIAL" localSheetId="39">'First Natl'!$B$41:$F$41</definedName>
    <definedName name="OH_FINANCIAL" localSheetId="40">'First Natl (Thrnr)'!$B$41:$F$41</definedName>
    <definedName name="OH_FINANCIAL" localSheetId="41">'Franklin American'!$B$41:$F$41</definedName>
    <definedName name="OH_FINANCIAL" localSheetId="42">'Franklin Protective'!$B$41:$F$41</definedName>
    <definedName name="OH_FINANCIAL" localSheetId="43">'Freelancers CO-OP'!$B$41:$F$41</definedName>
    <definedName name="OH_FINANCIAL" localSheetId="44">Freestone!$B$41:$F$41</definedName>
    <definedName name="OH_FINANCIAL" localSheetId="45">'George Washington'!$B$41:$F$41</definedName>
    <definedName name="OH_FINANCIAL" localSheetId="46">'Golden State'!$B$41:$F$41</definedName>
    <definedName name="OH_FINANCIAL" localSheetId="47">'Guarantee Security'!$B$41:$F$41</definedName>
    <definedName name="OH_FINANCIAL" localSheetId="48">HealthyCT!$B$41:$F$41</definedName>
    <definedName name="OH_FINANCIAL" localSheetId="49">Imerica!$B$41:$F$41</definedName>
    <definedName name="OH_FINANCIAL" localSheetId="50">'Inter-American'!$B$41:$F$41</definedName>
    <definedName name="OH_FINANCIAL" localSheetId="51">'International Fin'!$B$41:$F$41</definedName>
    <definedName name="OH_FINANCIAL" localSheetId="52">'Investment Life of America'!$B$41:$F$41</definedName>
    <definedName name="OH_FINANCIAL" localSheetId="53">'Investors Equity'!$B$41:$F$41</definedName>
    <definedName name="OH_FINANCIAL" localSheetId="54">'Kentucky Central'!$B$41:$F$41</definedName>
    <definedName name="OH_FINANCIAL" localSheetId="55">'Land of Lincoln'!$B$41:$F$41</definedName>
    <definedName name="OH_FINANCIAL" localSheetId="56">Legion!$B$41:$F$41</definedName>
    <definedName name="OH_FINANCIAL" localSheetId="57">'Life Health America'!$B$41:$F$41</definedName>
    <definedName name="OH_FINANCIAL" localSheetId="58">'Lincoln Memorial'!$B$41:$F$41</definedName>
    <definedName name="OH_FINANCIAL" localSheetId="59">'London Pac'!$B$41:$F$41</definedName>
    <definedName name="OH_FINANCIAL" localSheetId="60">Lumbermens!$B$41:$F$41</definedName>
    <definedName name="OH_FINANCIAL" localSheetId="61">'Medical Savings'!$B$41:$F$41</definedName>
    <definedName name="OH_FINANCIAL" localSheetId="62">'Memorial Service'!$B$41:$F$41</definedName>
    <definedName name="OH_FINANCIAL" localSheetId="63">Midcontinent!$B$41:$F$41</definedName>
    <definedName name="OH_FINANCIAL" localSheetId="64">'Midwest Life'!$B$41:$F$41</definedName>
    <definedName name="OH_FINANCIAL" localSheetId="65">'Monarch Life'!$B$41:$F$41</definedName>
    <definedName name="OH_FINANCIAL" localSheetId="66">'Mutual Benefit'!$B$41:$F$41</definedName>
    <definedName name="OH_FINANCIAL" localSheetId="67">'Mutual Security'!$B$41:$F$41</definedName>
    <definedName name="OH_FINANCIAL" localSheetId="68">'National Affiliated'!$B$41:$F$41</definedName>
    <definedName name="OH_FINANCIAL" localSheetId="70">'National Heritage'!$B$41:$F$41</definedName>
    <definedName name="OH_FINANCIAL" localSheetId="71">'National States'!$B$41:$F$41</definedName>
    <definedName name="OH_FINANCIAL" localSheetId="69">'Natl American'!$B$41:$F$41</definedName>
    <definedName name="OH_FINANCIAL" localSheetId="72">'New Jersey Life'!$B$41:$F$41</definedName>
    <definedName name="OH_FINANCIAL" localSheetId="74">NNIC!$B$41:$F$41</definedName>
    <definedName name="OH_FINANCIAL" localSheetId="73">'North Carolina Mutual'!$B$41:$F$41</definedName>
    <definedName name="OH_FINANCIAL" localSheetId="75">'Old Colony Life'!$B$41:$F$41</definedName>
    <definedName name="OH_FINANCIAL" localSheetId="76">'Old Faithful'!$B$41:$F$41</definedName>
    <definedName name="OH_FINANCIAL" localSheetId="77">'Pacific Standard'!$B$41:$F$41</definedName>
    <definedName name="OH_FINANCIAL" localSheetId="78">'Pavonia Life'!$B$41:$F$41</definedName>
    <definedName name="OH_FINANCIAL" localSheetId="79">'Pen  Treaty'!$B$41:$F$41</definedName>
    <definedName name="OH_FINANCIAL" localSheetId="80">'Red Rock'!$B$41:$F$41</definedName>
    <definedName name="OH_FINANCIAL" localSheetId="81">Reliance!$B$41:$F$41</definedName>
    <definedName name="OH_FINANCIAL" localSheetId="82">SeeChange!$B$41:$F$41</definedName>
    <definedName name="OH_FINANCIAL" localSheetId="83">'Senior American'!$B$41:$F$41</definedName>
    <definedName name="OH_FINANCIAL" localSheetId="84">Settlers!$B$41:$F$41</definedName>
    <definedName name="OH_FINANCIAL" localSheetId="85">Shenandoah!$B$41:$F$41</definedName>
    <definedName name="OH_FINANCIAL" localSheetId="86">'Southland National Life'!$B$41:$F$41</definedName>
    <definedName name="OH_FINANCIAL" localSheetId="87">'Standard Life IN'!$B$41:$F$41</definedName>
    <definedName name="OH_FINANCIAL" localSheetId="88">'States General'!$B$41:$F$41</definedName>
    <definedName name="OH_FINANCIAL" localSheetId="89">Statesman!$B$41:$F$41</definedName>
    <definedName name="OH_FINANCIAL" localSheetId="90">'Summit National'!$B$41:$F$41</definedName>
    <definedName name="OH_FINANCIAL" localSheetId="91">Supreme!$B$41:$F$41</definedName>
    <definedName name="OH_FINANCIAL" localSheetId="92">Time!$B$41:$F$41</definedName>
    <definedName name="OH_FINANCIAL" localSheetId="106">'Total Summary'!$B$41:$F$41</definedName>
    <definedName name="OH_FINANCIAL" localSheetId="93">Underwriters!$B$41:$F$41</definedName>
    <definedName name="OH_FINANCIAL" localSheetId="94">Unison!$B$41:$F$41</definedName>
    <definedName name="OH_FINANCIAL" localSheetId="95">'United Republic'!$B$41:$F$41</definedName>
    <definedName name="OH_FINANCIAL" localSheetId="96">'Universal Health Care'!$B$41:$F$41</definedName>
    <definedName name="OH_FINANCIAL" localSheetId="97">'Universal Life'!$B$41:$F$41</definedName>
    <definedName name="OH_FINANCIAL" localSheetId="98">Universe!$B$41:$F$41</definedName>
    <definedName name="OH_FINANCIAL" localSheetId="99">Villanova!$B$41:$F$41</definedName>
    <definedName name="OK_FINANCIAL" localSheetId="0">'AF&amp;L'!$B$42:$F$42</definedName>
    <definedName name="OK_FINANCIAL" localSheetId="1">'Alabama Life'!$B$42:$F$42</definedName>
    <definedName name="OK_FINANCIAL" localSheetId="6">'Amer Life Asr'!$B$42:$F$42</definedName>
    <definedName name="OK_FINANCIAL" localSheetId="9">'Amer Std Life Acc'!$B$42:$F$42</definedName>
    <definedName name="OK_FINANCIAL" localSheetId="2">'American Chambers'!$B$42:$F$42</definedName>
    <definedName name="OK_FINANCIAL" localSheetId="3">'American Community'!$B$42:$F$42</definedName>
    <definedName name="OK_FINANCIAL" localSheetId="4">'American Educators'!$B$42:$F$42</definedName>
    <definedName name="OK_FINANCIAL" localSheetId="5">'American Integrity'!$B$42:$F$42</definedName>
    <definedName name="OK_FINANCIAL" localSheetId="7">'American Medical'!$B$42:$F$42</definedName>
    <definedName name="OK_FINANCIAL" localSheetId="8">'American Network'!$B$42:$F$42</definedName>
    <definedName name="OK_FINANCIAL" localSheetId="10">AmerWstrn!$B$42:$F$42</definedName>
    <definedName name="OK_FINANCIAL" localSheetId="11">'AMS Life'!$B$42:$F$42</definedName>
    <definedName name="OK_FINANCIAL" localSheetId="12">'Andrew Jackson'!$B$42:$F$42</definedName>
    <definedName name="OK_FINANCIAL" localSheetId="13">'Bankers Commercial'!$B$42:$F$42</definedName>
    <definedName name="OK_FINANCIAL" localSheetId="14">'Bankers Life'!$B$42:$F$42</definedName>
    <definedName name="OK_FINANCIAL" localSheetId="15">Benicorp!$B$42:$F$42</definedName>
    <definedName name="OK_FINANCIAL" localSheetId="16">'Booker T Washington'!$B$42:$F$42</definedName>
    <definedName name="OK_FINANCIAL" localSheetId="17">Centennial!$B$42:$F$42</definedName>
    <definedName name="OK_FINANCIAL" localSheetId="19">'CO Bankers'!$B$42:$F$42</definedName>
    <definedName name="OK_FINANCIAL" localSheetId="18">'Coastal States'!$B$42:$F$42</definedName>
    <definedName name="OK_FINANCIAL" localSheetId="20">'Colorado Health'!$B$42:$F$42</definedName>
    <definedName name="OK_FINANCIAL" localSheetId="21">'Compass (dbs Meritus)'!$B$42:$F$42</definedName>
    <definedName name="OK_FINANCIAL" localSheetId="22">'Confed Life &amp; Annty (CLIAC)'!$B$42:$F$42</definedName>
    <definedName name="OK_FINANCIAL" localSheetId="23">'Confed Life (CLIC)'!$B$42:$F$42</definedName>
    <definedName name="OK_FINANCIAL" localSheetId="24">'Consolidated National'!$B$42:$F$42</definedName>
    <definedName name="OK_FINANCIAL" localSheetId="25">'Consumers Choice'!$B$42:$F$42</definedName>
    <definedName name="OK_FINANCIAL" localSheetId="26">'Consumers Mutual'!$B$42:$F$42</definedName>
    <definedName name="OK_FINANCIAL" localSheetId="27">'Consumers United'!$B$42:$F$42</definedName>
    <definedName name="OK_FINANCIAL" localSheetId="28">CoOportunity!$B$42:$F$42</definedName>
    <definedName name="OK_FINANCIAL" localSheetId="29">'Coordinated Hlth'!$B$42:$F$42</definedName>
    <definedName name="OK_FINANCIAL" localSheetId="30">'Corporate Life'!$B$42:$F$42</definedName>
    <definedName name="OK_FINANCIAL" localSheetId="31">'Diamond Benefits'!$B$42:$F$42</definedName>
    <definedName name="OK_FINANCIAL" localSheetId="32">'EBL Life'!$B$42:$F$42</definedName>
    <definedName name="OK_FINANCIAL" localSheetId="34">ELNY!$B$42:$F$42</definedName>
    <definedName name="OK_FINANCIAL" localSheetId="33">'Executive Life'!$B$42:$F$42</definedName>
    <definedName name="OK_FINANCIAL" localSheetId="35">'Family Guaranty'!$B$42:$F$42</definedName>
    <definedName name="OK_FINANCIAL" localSheetId="36">'Fidelity Bankers'!$B$42:$F$42</definedName>
    <definedName name="OK_FINANCIAL" localSheetId="37">'Fidelity Mutual'!$B$42:$F$42</definedName>
    <definedName name="OK_FINANCIAL" localSheetId="38">'First Capital'!$B$42:$F$42</definedName>
    <definedName name="OK_FINANCIAL" localSheetId="39">'First Natl'!$B$42:$F$42</definedName>
    <definedName name="OK_FINANCIAL" localSheetId="40">'First Natl (Thrnr)'!$B$42:$F$42</definedName>
    <definedName name="OK_FINANCIAL" localSheetId="41">'Franklin American'!$B$42:$F$42</definedName>
    <definedName name="OK_FINANCIAL" localSheetId="42">'Franklin Protective'!$B$42:$F$42</definedName>
    <definedName name="OK_FINANCIAL" localSheetId="43">'Freelancers CO-OP'!$B$42:$F$42</definedName>
    <definedName name="OK_FINANCIAL" localSheetId="44">Freestone!$B$42:$F$42</definedName>
    <definedName name="OK_FINANCIAL" localSheetId="45">'George Washington'!$B$42:$F$42</definedName>
    <definedName name="OK_FINANCIAL" localSheetId="46">'Golden State'!$B$42:$F$42</definedName>
    <definedName name="OK_FINANCIAL" localSheetId="47">'Guarantee Security'!$B$42:$F$42</definedName>
    <definedName name="OK_FINANCIAL" localSheetId="48">HealthyCT!$B$42:$F$42</definedName>
    <definedName name="OK_FINANCIAL" localSheetId="49">Imerica!$B$42:$F$42</definedName>
    <definedName name="OK_FINANCIAL" localSheetId="50">'Inter-American'!$B$42:$F$42</definedName>
    <definedName name="OK_FINANCIAL" localSheetId="51">'International Fin'!$B$42:$F$42</definedName>
    <definedName name="OK_FINANCIAL" localSheetId="52">'Investment Life of America'!$B$42:$F$42</definedName>
    <definedName name="OK_FINANCIAL" localSheetId="53">'Investors Equity'!$B$42:$F$42</definedName>
    <definedName name="OK_FINANCIAL" localSheetId="54">'Kentucky Central'!$B$42:$F$42</definedName>
    <definedName name="OK_FINANCIAL" localSheetId="55">'Land of Lincoln'!$B$42:$F$42</definedName>
    <definedName name="OK_FINANCIAL" localSheetId="56">Legion!$B$42:$F$42</definedName>
    <definedName name="OK_FINANCIAL" localSheetId="57">'Life Health America'!$B$42:$F$42</definedName>
    <definedName name="OK_FINANCIAL" localSheetId="58">'Lincoln Memorial'!$B$42:$F$42</definedName>
    <definedName name="OK_FINANCIAL" localSheetId="59">'London Pac'!$B$42:$F$42</definedName>
    <definedName name="OK_FINANCIAL" localSheetId="60">Lumbermens!$B$42:$F$42</definedName>
    <definedName name="OK_FINANCIAL" localSheetId="61">'Medical Savings'!$B$42:$F$42</definedName>
    <definedName name="OK_FINANCIAL" localSheetId="62">'Memorial Service'!$B$42:$F$42</definedName>
    <definedName name="OK_FINANCIAL" localSheetId="63">Midcontinent!$B$42:$F$42</definedName>
    <definedName name="OK_FINANCIAL" localSheetId="64">'Midwest Life'!$B$42:$F$42</definedName>
    <definedName name="OK_FINANCIAL" localSheetId="65">'Monarch Life'!$B$42:$F$42</definedName>
    <definedName name="OK_FINANCIAL" localSheetId="66">'Mutual Benefit'!$B$42:$F$42</definedName>
    <definedName name="OK_FINANCIAL" localSheetId="67">'Mutual Security'!$B$42:$F$42</definedName>
    <definedName name="OK_FINANCIAL" localSheetId="68">'National Affiliated'!$B$42:$F$42</definedName>
    <definedName name="OK_FINANCIAL" localSheetId="70">'National Heritage'!$B$42:$F$42</definedName>
    <definedName name="OK_FINANCIAL" localSheetId="71">'National States'!$B$42:$F$42</definedName>
    <definedName name="OK_FINANCIAL" localSheetId="69">'Natl American'!$B$42:$F$42</definedName>
    <definedName name="OK_FINANCIAL" localSheetId="72">'New Jersey Life'!$B$42:$F$42</definedName>
    <definedName name="OK_FINANCIAL" localSheetId="74">NNIC!$B$42:$F$42</definedName>
    <definedName name="OK_FINANCIAL" localSheetId="73">'North Carolina Mutual'!$B$42:$F$42</definedName>
    <definedName name="OK_FINANCIAL" localSheetId="75">'Old Colony Life'!$B$42:$F$42</definedName>
    <definedName name="OK_FINANCIAL" localSheetId="76">'Old Faithful'!$B$42:$F$42</definedName>
    <definedName name="OK_FINANCIAL" localSheetId="77">'Pacific Standard'!$B$42:$F$42</definedName>
    <definedName name="OK_FINANCIAL" localSheetId="78">'Pavonia Life'!$B$42:$F$42</definedName>
    <definedName name="OK_FINANCIAL" localSheetId="79">'Pen  Treaty'!$B$42:$F$42</definedName>
    <definedName name="OK_FINANCIAL" localSheetId="80">'Red Rock'!$B$42:$F$42</definedName>
    <definedName name="OK_FINANCIAL" localSheetId="81">Reliance!$B$42:$F$42</definedName>
    <definedName name="OK_FINANCIAL" localSheetId="82">SeeChange!$B$42:$F$42</definedName>
    <definedName name="OK_FINANCIAL" localSheetId="83">'Senior American'!$B$42:$F$42</definedName>
    <definedName name="OK_FINANCIAL" localSheetId="84">Settlers!$B$42:$F$42</definedName>
    <definedName name="OK_FINANCIAL" localSheetId="85">Shenandoah!$B$42:$F$42</definedName>
    <definedName name="OK_FINANCIAL" localSheetId="86">'Southland National Life'!$B$42:$F$42</definedName>
    <definedName name="OK_FINANCIAL" localSheetId="87">'Standard Life IN'!$B$42:$F$42</definedName>
    <definedName name="OK_FINANCIAL" localSheetId="88">'States General'!$B$42:$F$42</definedName>
    <definedName name="OK_FINANCIAL" localSheetId="89">Statesman!$B$42:$F$42</definedName>
    <definedName name="OK_FINANCIAL" localSheetId="90">'Summit National'!$B$42:$F$42</definedName>
    <definedName name="OK_FINANCIAL" localSheetId="91">Supreme!$B$42:$F$42</definedName>
    <definedName name="OK_FINANCIAL" localSheetId="92">Time!$B$42:$F$42</definedName>
    <definedName name="OK_FINANCIAL" localSheetId="106">'Total Summary'!$B$42:$F$42</definedName>
    <definedName name="OK_FINANCIAL" localSheetId="93">Underwriters!$B$42:$F$42</definedName>
    <definedName name="OK_FINANCIAL" localSheetId="94">Unison!$B$42:$F$42</definedName>
    <definedName name="OK_FINANCIAL" localSheetId="95">'United Republic'!$B$42:$F$42</definedName>
    <definedName name="OK_FINANCIAL" localSheetId="96">'Universal Health Care'!$B$42:$F$42</definedName>
    <definedName name="OK_FINANCIAL" localSheetId="97">'Universal Life'!$B$42:$F$42</definedName>
    <definedName name="OK_FINANCIAL" localSheetId="98">Universe!$B$42:$F$42</definedName>
    <definedName name="OK_FINANCIAL" localSheetId="99">Villanova!$B$42:$F$42</definedName>
    <definedName name="OP_ALLOC_CALLED" localSheetId="100">Summary!$W$12:$W$25</definedName>
    <definedName name="OP_ALLOC_REFUNDED" localSheetId="100">Summary!$X$12:$X$25</definedName>
    <definedName name="OP_ALLOCATED" localSheetId="100">Summary!$K$12:$K$25</definedName>
    <definedName name="OP_CHANGE" localSheetId="100">Summary!$Q$12:$Q$25</definedName>
    <definedName name="OP_HEALTH" localSheetId="100">Summary!$L$12:$L$25</definedName>
    <definedName name="OP_HEALTH_CALLED" localSheetId="100">Summary!$Z$12:$Z$25</definedName>
    <definedName name="OP_HEALTH_REFUNDED" localSheetId="100">Summary!$AA$12:$AA$25</definedName>
    <definedName name="OP_LIFE" localSheetId="100">Summary!$J$12:$J$25</definedName>
    <definedName name="OP_LIFE_CALLED" localSheetId="100">Summary!$T$12:$T$25</definedName>
    <definedName name="OP_LIFE_REFUNDED" localSheetId="100">Summary!$U$12:$U$25</definedName>
    <definedName name="OP_LTC" localSheetId="100">Summary!$N$12:$N$25</definedName>
    <definedName name="OP_RECON" localSheetId="100">Summary!#REF!</definedName>
    <definedName name="OP_TOTAL" localSheetId="100">Summary!$O$12:$O$25</definedName>
    <definedName name="OP_TOTAL_PREV" localSheetId="100">Summary!$P$12:$P$25</definedName>
    <definedName name="OP_UNALLOC_CALLED" localSheetId="100">Summary!$AC$12:$AC$25</definedName>
    <definedName name="OP_UNALLOC_REFUNDED" localSheetId="100">Summary!$AD$12:$AD$25</definedName>
    <definedName name="OP_UNALLOCATED" localSheetId="100">Summary!$M$12:$M$25</definedName>
    <definedName name="OR_FINANCIAL" localSheetId="0">'AF&amp;L'!$B$43:$F$43</definedName>
    <definedName name="OR_FINANCIAL" localSheetId="1">'Alabama Life'!$B$43:$F$43</definedName>
    <definedName name="OR_FINANCIAL" localSheetId="6">'Amer Life Asr'!$B$43:$F$43</definedName>
    <definedName name="OR_FINANCIAL" localSheetId="9">'Amer Std Life Acc'!$B$43:$F$43</definedName>
    <definedName name="OR_FINANCIAL" localSheetId="2">'American Chambers'!$B$43:$F$43</definedName>
    <definedName name="OR_FINANCIAL" localSheetId="3">'American Community'!$B$43:$F$43</definedName>
    <definedName name="OR_FINANCIAL" localSheetId="4">'American Educators'!$B$43:$F$43</definedName>
    <definedName name="OR_FINANCIAL" localSheetId="5">'American Integrity'!$B$43:$F$43</definedName>
    <definedName name="OR_FINANCIAL" localSheetId="7">'American Medical'!$B$43:$F$43</definedName>
    <definedName name="OR_FINANCIAL" localSheetId="8">'American Network'!$B$43:$F$43</definedName>
    <definedName name="OR_FINANCIAL" localSheetId="10">AmerWstrn!$B$43:$F$43</definedName>
    <definedName name="OR_FINANCIAL" localSheetId="11">'AMS Life'!$B$43:$F$43</definedName>
    <definedName name="OR_FINANCIAL" localSheetId="12">'Andrew Jackson'!$B$43:$F$43</definedName>
    <definedName name="OR_FINANCIAL" localSheetId="13">'Bankers Commercial'!$B$43:$F$43</definedName>
    <definedName name="OR_FINANCIAL" localSheetId="14">'Bankers Life'!$B$43:$F$43</definedName>
    <definedName name="OR_FINANCIAL" localSheetId="15">Benicorp!$B$43:$F$43</definedName>
    <definedName name="OR_FINANCIAL" localSheetId="16">'Booker T Washington'!$B$43:$F$43</definedName>
    <definedName name="OR_FINANCIAL" localSheetId="17">Centennial!$B$43:$F$43</definedName>
    <definedName name="OR_FINANCIAL" localSheetId="19">'CO Bankers'!$B$43:$F$43</definedName>
    <definedName name="OR_FINANCIAL" localSheetId="18">'Coastal States'!$B$43:$F$43</definedName>
    <definedName name="OR_FINANCIAL" localSheetId="20">'Colorado Health'!$B$43:$F$43</definedName>
    <definedName name="OR_FINANCIAL" localSheetId="21">'Compass (dbs Meritus)'!$B$43:$F$43</definedName>
    <definedName name="OR_FINANCIAL" localSheetId="22">'Confed Life &amp; Annty (CLIAC)'!$B$43:$F$43</definedName>
    <definedName name="OR_FINANCIAL" localSheetId="23">'Confed Life (CLIC)'!$B$43:$F$43</definedName>
    <definedName name="OR_FINANCIAL" localSheetId="24">'Consolidated National'!$B$43:$F$43</definedName>
    <definedName name="OR_FINANCIAL" localSheetId="25">'Consumers Choice'!$B$43:$F$43</definedName>
    <definedName name="OR_FINANCIAL" localSheetId="26">'Consumers Mutual'!$B$43:$F$43</definedName>
    <definedName name="OR_FINANCIAL" localSheetId="27">'Consumers United'!$B$43:$F$43</definedName>
    <definedName name="OR_FINANCIAL" localSheetId="28">CoOportunity!$B$43:$F$43</definedName>
    <definedName name="OR_FINANCIAL" localSheetId="29">'Coordinated Hlth'!$B$43:$F$43</definedName>
    <definedName name="OR_FINANCIAL" localSheetId="30">'Corporate Life'!$B$43:$F$43</definedName>
    <definedName name="OR_FINANCIAL" localSheetId="31">'Diamond Benefits'!$B$43:$F$43</definedName>
    <definedName name="OR_FINANCIAL" localSheetId="32">'EBL Life'!$B$43:$F$43</definedName>
    <definedName name="OR_FINANCIAL" localSheetId="34">ELNY!$B$43:$F$43</definedName>
    <definedName name="OR_FINANCIAL" localSheetId="33">'Executive Life'!$B$43:$F$43</definedName>
    <definedName name="OR_FINANCIAL" localSheetId="35">'Family Guaranty'!$B$43:$F$43</definedName>
    <definedName name="OR_FINANCIAL" localSheetId="36">'Fidelity Bankers'!$B$43:$F$43</definedName>
    <definedName name="OR_FINANCIAL" localSheetId="37">'Fidelity Mutual'!$B$43:$F$43</definedName>
    <definedName name="OR_FINANCIAL" localSheetId="38">'First Capital'!$B$43:$F$43</definedName>
    <definedName name="OR_FINANCIAL" localSheetId="39">'First Natl'!$B$43:$F$43</definedName>
    <definedName name="OR_FINANCIAL" localSheetId="40">'First Natl (Thrnr)'!$B$43:$F$43</definedName>
    <definedName name="OR_FINANCIAL" localSheetId="41">'Franklin American'!$B$43:$F$43</definedName>
    <definedName name="OR_FINANCIAL" localSheetId="42">'Franklin Protective'!$B$43:$F$43</definedName>
    <definedName name="OR_FINANCIAL" localSheetId="43">'Freelancers CO-OP'!$B$43:$F$43</definedName>
    <definedName name="OR_FINANCIAL" localSheetId="44">Freestone!$B$43:$F$43</definedName>
    <definedName name="OR_FINANCIAL" localSheetId="45">'George Washington'!$B$43:$F$43</definedName>
    <definedName name="OR_FINANCIAL" localSheetId="46">'Golden State'!$B$43:$F$43</definedName>
    <definedName name="OR_FINANCIAL" localSheetId="47">'Guarantee Security'!$B$43:$F$43</definedName>
    <definedName name="OR_FINANCIAL" localSheetId="48">HealthyCT!$B$43:$F$43</definedName>
    <definedName name="OR_FINANCIAL" localSheetId="49">Imerica!$B$43:$F$43</definedName>
    <definedName name="OR_FINANCIAL" localSheetId="50">'Inter-American'!$B$43:$F$43</definedName>
    <definedName name="OR_FINANCIAL" localSheetId="51">'International Fin'!$B$43:$F$43</definedName>
    <definedName name="OR_FINANCIAL" localSheetId="52">'Investment Life of America'!$B$43:$F$43</definedName>
    <definedName name="OR_FINANCIAL" localSheetId="53">'Investors Equity'!$B$43:$F$43</definedName>
    <definedName name="OR_FINANCIAL" localSheetId="54">'Kentucky Central'!$B$43:$F$43</definedName>
    <definedName name="OR_FINANCIAL" localSheetId="55">'Land of Lincoln'!$B$43:$F$43</definedName>
    <definedName name="OR_FINANCIAL" localSheetId="56">Legion!$B$43:$F$43</definedName>
    <definedName name="OR_FINANCIAL" localSheetId="57">'Life Health America'!$B$43:$F$43</definedName>
    <definedName name="OR_FINANCIAL" localSheetId="58">'Lincoln Memorial'!$B$43:$F$43</definedName>
    <definedName name="OR_FINANCIAL" localSheetId="59">'London Pac'!$B$43:$F$43</definedName>
    <definedName name="OR_FINANCIAL" localSheetId="60">Lumbermens!$B$43:$F$43</definedName>
    <definedName name="OR_FINANCIAL" localSheetId="61">'Medical Savings'!$B$43:$F$43</definedName>
    <definedName name="OR_FINANCIAL" localSheetId="62">'Memorial Service'!$B$43:$F$43</definedName>
    <definedName name="OR_FINANCIAL" localSheetId="63">Midcontinent!$B$43:$F$43</definedName>
    <definedName name="OR_FINANCIAL" localSheetId="64">'Midwest Life'!$B$43:$F$43</definedName>
    <definedName name="OR_FINANCIAL" localSheetId="65">'Monarch Life'!$B$43:$F$43</definedName>
    <definedName name="OR_FINANCIAL" localSheetId="66">'Mutual Benefit'!$B$43:$F$43</definedName>
    <definedName name="OR_FINANCIAL" localSheetId="67">'Mutual Security'!$B$43:$F$43</definedName>
    <definedName name="OR_FINANCIAL" localSheetId="68">'National Affiliated'!$B$43:$F$43</definedName>
    <definedName name="OR_FINANCIAL" localSheetId="70">'National Heritage'!$B$43:$F$43</definedName>
    <definedName name="OR_FINANCIAL" localSheetId="71">'National States'!$B$43:$F$43</definedName>
    <definedName name="OR_FINANCIAL" localSheetId="69">'Natl American'!$B$43:$F$43</definedName>
    <definedName name="OR_FINANCIAL" localSheetId="72">'New Jersey Life'!$B$43:$F$43</definedName>
    <definedName name="OR_FINANCIAL" localSheetId="74">NNIC!$B$43:$F$43</definedName>
    <definedName name="OR_FINANCIAL" localSheetId="73">'North Carolina Mutual'!$B$43:$F$43</definedName>
    <definedName name="OR_FINANCIAL" localSheetId="75">'Old Colony Life'!$B$43:$F$43</definedName>
    <definedName name="OR_FINANCIAL" localSheetId="76">'Old Faithful'!$B$43:$F$43</definedName>
    <definedName name="OR_FINANCIAL" localSheetId="77">'Pacific Standard'!$B$43:$F$43</definedName>
    <definedName name="OR_FINANCIAL" localSheetId="78">'Pavonia Life'!$B$43:$F$43</definedName>
    <definedName name="OR_FINANCIAL" localSheetId="79">'Pen  Treaty'!$B$43:$F$43</definedName>
    <definedName name="OR_FINANCIAL" localSheetId="80">'Red Rock'!$B$43:$F$43</definedName>
    <definedName name="OR_FINANCIAL" localSheetId="81">Reliance!$B$43:$F$43</definedName>
    <definedName name="OR_FINANCIAL" localSheetId="82">SeeChange!$B$43:$F$43</definedName>
    <definedName name="OR_FINANCIAL" localSheetId="83">'Senior American'!$B$43:$F$43</definedName>
    <definedName name="OR_FINANCIAL" localSheetId="84">Settlers!$B$43:$F$43</definedName>
    <definedName name="OR_FINANCIAL" localSheetId="85">Shenandoah!$B$43:$F$43</definedName>
    <definedName name="OR_FINANCIAL" localSheetId="86">'Southland National Life'!$B$43:$F$43</definedName>
    <definedName name="OR_FINANCIAL" localSheetId="87">'Standard Life IN'!$B$43:$F$43</definedName>
    <definedName name="OR_FINANCIAL" localSheetId="88">'States General'!$B$43:$F$43</definedName>
    <definedName name="OR_FINANCIAL" localSheetId="89">Statesman!$B$43:$F$43</definedName>
    <definedName name="OR_FINANCIAL" localSheetId="90">'Summit National'!$B$43:$F$43</definedName>
    <definedName name="OR_FINANCIAL" localSheetId="91">Supreme!$B$43:$F$43</definedName>
    <definedName name="OR_FINANCIAL" localSheetId="92">Time!$B$43:$F$43</definedName>
    <definedName name="OR_FINANCIAL" localSheetId="106">'Total Summary'!$B$43:$F$43</definedName>
    <definedName name="OR_FINANCIAL" localSheetId="93">Underwriters!$B$43:$F$43</definedName>
    <definedName name="OR_FINANCIAL" localSheetId="94">Unison!$B$43:$F$43</definedName>
    <definedName name="OR_FINANCIAL" localSheetId="95">'United Republic'!$B$43:$F$43</definedName>
    <definedName name="OR_FINANCIAL" localSheetId="96">'Universal Health Care'!$B$43:$F$43</definedName>
    <definedName name="OR_FINANCIAL" localSheetId="97">'Universal Life'!$B$43:$F$43</definedName>
    <definedName name="OR_FINANCIAL" localSheetId="98">Universe!$B$43:$F$43</definedName>
    <definedName name="OR_FINANCIAL" localSheetId="99">Villanova!$B$43:$F$43</definedName>
    <definedName name="OT_FINANCIAL" localSheetId="0">'AF&amp;L'!$B$58:$F$58</definedName>
    <definedName name="OT_FINANCIAL" localSheetId="1">'Alabama Life'!$B$58:$F$58</definedName>
    <definedName name="OT_FINANCIAL" localSheetId="6">'Amer Life Asr'!$B$58:$F$58</definedName>
    <definedName name="OT_FINANCIAL" localSheetId="9">'Amer Std Life Acc'!$B$58:$F$58</definedName>
    <definedName name="OT_FINANCIAL" localSheetId="2">'American Chambers'!$B$58:$F$58</definedName>
    <definedName name="OT_FINANCIAL" localSheetId="3">'American Community'!$B$58:$F$58</definedName>
    <definedName name="OT_FINANCIAL" localSheetId="4">'American Educators'!$B$58:$F$58</definedName>
    <definedName name="OT_FINANCIAL" localSheetId="5">'American Integrity'!$B$58:$F$58</definedName>
    <definedName name="OT_FINANCIAL" localSheetId="7">'American Medical'!$B$58:$F$58</definedName>
    <definedName name="OT_FINANCIAL" localSheetId="8">'American Network'!$B$58:$F$58</definedName>
    <definedName name="OT_FINANCIAL" localSheetId="10">AmerWstrn!$B$58:$F$58</definedName>
    <definedName name="OT_FINANCIAL" localSheetId="11">'AMS Life'!$B$58:$F$58</definedName>
    <definedName name="OT_FINANCIAL" localSheetId="12">'Andrew Jackson'!$B$58:$F$58</definedName>
    <definedName name="OT_FINANCIAL" localSheetId="13">'Bankers Commercial'!$B$58:$F$58</definedName>
    <definedName name="OT_FINANCIAL" localSheetId="14">'Bankers Life'!$B$58:$F$58</definedName>
    <definedName name="OT_FINANCIAL" localSheetId="15">Benicorp!$B$58:$F$58</definedName>
    <definedName name="OT_FINANCIAL" localSheetId="16">'Booker T Washington'!$B$58:$F$58</definedName>
    <definedName name="OT_FINANCIAL" localSheetId="17">Centennial!$B$58:$F$58</definedName>
    <definedName name="OT_FINANCIAL" localSheetId="19">'CO Bankers'!$B$58:$F$58</definedName>
    <definedName name="OT_FINANCIAL" localSheetId="18">'Coastal States'!$B$58:$F$58</definedName>
    <definedName name="OT_FINANCIAL" localSheetId="20">'Colorado Health'!$B$58:$F$58</definedName>
    <definedName name="OT_FINANCIAL" localSheetId="21">'Compass (dbs Meritus)'!$B$58:$F$58</definedName>
    <definedName name="OT_FINANCIAL" localSheetId="22">'Confed Life &amp; Annty (CLIAC)'!$B$58:$F$58</definedName>
    <definedName name="OT_FINANCIAL" localSheetId="23">'Confed Life (CLIC)'!$B$58:$F$58</definedName>
    <definedName name="OT_FINANCIAL" localSheetId="24">'Consolidated National'!$B$58:$F$58</definedName>
    <definedName name="OT_FINANCIAL" localSheetId="25">'Consumers Choice'!$B$58:$F$58</definedName>
    <definedName name="OT_FINANCIAL" localSheetId="26">'Consumers Mutual'!$B$58:$F$58</definedName>
    <definedName name="OT_FINANCIAL" localSheetId="27">'Consumers United'!$B$58:$F$58</definedName>
    <definedName name="OT_FINANCIAL" localSheetId="28">CoOportunity!$B$58:$F$58</definedName>
    <definedName name="OT_FINANCIAL" localSheetId="29">'Coordinated Hlth'!$B$58:$F$58</definedName>
    <definedName name="OT_FINANCIAL" localSheetId="30">'Corporate Life'!$B$58:$F$58</definedName>
    <definedName name="OT_FINANCIAL" localSheetId="31">'Diamond Benefits'!$B$58:$F$58</definedName>
    <definedName name="OT_FINANCIAL" localSheetId="32">'EBL Life'!$B$58:$F$58</definedName>
    <definedName name="OT_FINANCIAL" localSheetId="34">ELNY!$B$58:$F$58</definedName>
    <definedName name="OT_FINANCIAL" localSheetId="33">'Executive Life'!$B$58:$F$58</definedName>
    <definedName name="OT_FINANCIAL" localSheetId="35">'Family Guaranty'!$B$58:$F$58</definedName>
    <definedName name="OT_FINANCIAL" localSheetId="36">'Fidelity Bankers'!$B$58:$F$58</definedName>
    <definedName name="OT_FINANCIAL" localSheetId="37">'Fidelity Mutual'!$B$58:$F$58</definedName>
    <definedName name="OT_FINANCIAL" localSheetId="38">'First Capital'!$B$58:$F$58</definedName>
    <definedName name="OT_FINANCIAL" localSheetId="39">'First Natl'!$B$58:$F$58</definedName>
    <definedName name="OT_FINANCIAL" localSheetId="40">'First Natl (Thrnr)'!$B$58:$F$58</definedName>
    <definedName name="OT_FINANCIAL" localSheetId="41">'Franklin American'!$B$58:$F$58</definedName>
    <definedName name="OT_FINANCIAL" localSheetId="42">'Franklin Protective'!$B$58:$F$58</definedName>
    <definedName name="OT_FINANCIAL" localSheetId="43">'Freelancers CO-OP'!$B$58:$F$58</definedName>
    <definedName name="OT_FINANCIAL" localSheetId="44">Freestone!$B$58:$F$58</definedName>
    <definedName name="OT_FINANCIAL" localSheetId="45">'George Washington'!$B$58:$F$58</definedName>
    <definedName name="OT_FINANCIAL" localSheetId="46">'Golden State'!$B$58:$F$58</definedName>
    <definedName name="OT_FINANCIAL" localSheetId="47">'Guarantee Security'!$B$58:$F$58</definedName>
    <definedName name="OT_FINANCIAL" localSheetId="48">HealthyCT!$B$58:$F$58</definedName>
    <definedName name="OT_FINANCIAL" localSheetId="49">Imerica!$B$58:$F$58</definedName>
    <definedName name="OT_FINANCIAL" localSheetId="50">'Inter-American'!$B$58:$F$58</definedName>
    <definedName name="OT_FINANCIAL" localSheetId="51">'International Fin'!$B$58:$F$58</definedName>
    <definedName name="OT_FINANCIAL" localSheetId="52">'Investment Life of America'!$B$58:$F$58</definedName>
    <definedName name="OT_FINANCIAL" localSheetId="53">'Investors Equity'!$B$58:$F$58</definedName>
    <definedName name="OT_FINANCIAL" localSheetId="54">'Kentucky Central'!$B$58:$F$58</definedName>
    <definedName name="OT_FINANCIAL" localSheetId="55">'Land of Lincoln'!$B$58:$F$58</definedName>
    <definedName name="OT_FINANCIAL" localSheetId="56">Legion!$B$58:$F$58</definedName>
    <definedName name="OT_FINANCIAL" localSheetId="57">'Life Health America'!$B$58:$F$58</definedName>
    <definedName name="OT_FINANCIAL" localSheetId="58">'Lincoln Memorial'!$B$58:$F$58</definedName>
    <definedName name="OT_FINANCIAL" localSheetId="59">'London Pac'!$B$58:$F$58</definedName>
    <definedName name="OT_FINANCIAL" localSheetId="60">Lumbermens!$B$58:$F$58</definedName>
    <definedName name="OT_FINANCIAL" localSheetId="61">'Medical Savings'!$B$58:$F$58</definedName>
    <definedName name="OT_FINANCIAL" localSheetId="62">'Memorial Service'!$B$58:$F$58</definedName>
    <definedName name="OT_FINANCIAL" localSheetId="63">Midcontinent!$B$58:$F$58</definedName>
    <definedName name="OT_FINANCIAL" localSheetId="64">'Midwest Life'!$B$58:$F$58</definedName>
    <definedName name="OT_FINANCIAL" localSheetId="65">'Monarch Life'!$B$58:$F$58</definedName>
    <definedName name="OT_FINANCIAL" localSheetId="66">'Mutual Benefit'!$B$58:$F$58</definedName>
    <definedName name="OT_FINANCIAL" localSheetId="67">'Mutual Security'!$B$58:$F$58</definedName>
    <definedName name="OT_FINANCIAL" localSheetId="68">'National Affiliated'!$B$58:$F$58</definedName>
    <definedName name="OT_FINANCIAL" localSheetId="70">'National Heritage'!$B$58:$F$58</definedName>
    <definedName name="OT_FINANCIAL" localSheetId="71">'National States'!$B$58:$F$58</definedName>
    <definedName name="OT_FINANCIAL" localSheetId="69">'Natl American'!$B$58:$F$58</definedName>
    <definedName name="OT_FINANCIAL" localSheetId="72">'New Jersey Life'!$B$58:$F$58</definedName>
    <definedName name="OT_FINANCIAL" localSheetId="74">NNIC!$B$58:$F$58</definedName>
    <definedName name="OT_FINANCIAL" localSheetId="73">'North Carolina Mutual'!$B$58:$F$58</definedName>
    <definedName name="OT_FINANCIAL" localSheetId="75">'Old Colony Life'!$B$58:$F$58</definedName>
    <definedName name="OT_FINANCIAL" localSheetId="76">'Old Faithful'!$B$58:$F$58</definedName>
    <definedName name="OT_FINANCIAL" localSheetId="77">'Pacific Standard'!$B$58:$F$58</definedName>
    <definedName name="OT_FINANCIAL" localSheetId="78">'Pavonia Life'!$B$58:$F$58</definedName>
    <definedName name="OT_FINANCIAL" localSheetId="79">'Pen  Treaty'!$B$58:$F$58</definedName>
    <definedName name="OT_FINANCIAL" localSheetId="80">'Red Rock'!$B$58:$F$58</definedName>
    <definedName name="OT_FINANCIAL" localSheetId="81">Reliance!$B$58:$F$58</definedName>
    <definedName name="OT_FINANCIAL" localSheetId="82">SeeChange!$B$58:$F$58</definedName>
    <definedName name="OT_FINANCIAL" localSheetId="83">'Senior American'!$B$58:$F$58</definedName>
    <definedName name="OT_FINANCIAL" localSheetId="84">Settlers!$B$58:$F$58</definedName>
    <definedName name="OT_FINANCIAL" localSheetId="85">Shenandoah!$B$58:$F$58</definedName>
    <definedName name="OT_FINANCIAL" localSheetId="86">'Southland National Life'!$B$58:$F$58</definedName>
    <definedName name="OT_FINANCIAL" localSheetId="87">'Standard Life IN'!$B$58:$F$58</definedName>
    <definedName name="OT_FINANCIAL" localSheetId="88">'States General'!$B$58:$F$58</definedName>
    <definedName name="OT_FINANCIAL" localSheetId="89">Statesman!$B$58:$F$58</definedName>
    <definedName name="OT_FINANCIAL" localSheetId="90">'Summit National'!$B$58:$F$58</definedName>
    <definedName name="OT_FINANCIAL" localSheetId="91">Supreme!$B$58:$F$58</definedName>
    <definedName name="OT_FINANCIAL" localSheetId="92">Time!$B$58:$F$58</definedName>
    <definedName name="OT_FINANCIAL" localSheetId="106">'Total Summary'!$B$58:$F$58</definedName>
    <definedName name="OT_FINANCIAL" localSheetId="93">Underwriters!$B$58:$F$58</definedName>
    <definedName name="OT_FINANCIAL" localSheetId="94">Unison!$B$58:$F$58</definedName>
    <definedName name="OT_FINANCIAL" localSheetId="95">'United Republic'!$B$58:$F$58</definedName>
    <definedName name="OT_FINANCIAL" localSheetId="96">'Universal Health Care'!$B$58:$F$58</definedName>
    <definedName name="OT_FINANCIAL" localSheetId="97">'Universal Life'!$B$58:$F$58</definedName>
    <definedName name="OT_FINANCIAL" localSheetId="98">Universe!$B$58:$F$58</definedName>
    <definedName name="OT_FINANCIAL" localSheetId="99">Villanova!$B$58:$F$58</definedName>
    <definedName name="PA_FINANCIAL" localSheetId="0">'AF&amp;L'!$B$44:$F$44</definedName>
    <definedName name="PA_FINANCIAL" localSheetId="1">'Alabama Life'!$B$44:$F$44</definedName>
    <definedName name="PA_FINANCIAL" localSheetId="6">'Amer Life Asr'!$B$44:$F$44</definedName>
    <definedName name="PA_FINANCIAL" localSheetId="9">'Amer Std Life Acc'!$B$44:$F$44</definedName>
    <definedName name="PA_FINANCIAL" localSheetId="2">'American Chambers'!$B$44:$F$44</definedName>
    <definedName name="PA_FINANCIAL" localSheetId="3">'American Community'!$B$44:$F$44</definedName>
    <definedName name="PA_FINANCIAL" localSheetId="4">'American Educators'!$B$44:$F$44</definedName>
    <definedName name="PA_FINANCIAL" localSheetId="5">'American Integrity'!$B$44:$F$44</definedName>
    <definedName name="PA_FINANCIAL" localSheetId="7">'American Medical'!$B$44:$F$44</definedName>
    <definedName name="PA_FINANCIAL" localSheetId="8">'American Network'!$B$44:$F$44</definedName>
    <definedName name="PA_FINANCIAL" localSheetId="10">AmerWstrn!$B$44:$F$44</definedName>
    <definedName name="PA_FINANCIAL" localSheetId="11">'AMS Life'!$B$44:$F$44</definedName>
    <definedName name="PA_FINANCIAL" localSheetId="12">'Andrew Jackson'!$B$44:$F$44</definedName>
    <definedName name="PA_FINANCIAL" localSheetId="13">'Bankers Commercial'!$B$44:$F$44</definedName>
    <definedName name="PA_FINANCIAL" localSheetId="14">'Bankers Life'!$B$44:$F$44</definedName>
    <definedName name="PA_FINANCIAL" localSheetId="15">Benicorp!$B$44:$F$44</definedName>
    <definedName name="PA_FINANCIAL" localSheetId="16">'Booker T Washington'!$B$44:$F$44</definedName>
    <definedName name="PA_FINANCIAL" localSheetId="17">Centennial!$B$44:$F$44</definedName>
    <definedName name="PA_FINANCIAL" localSheetId="19">'CO Bankers'!$B$44:$F$44</definedName>
    <definedName name="PA_FINANCIAL" localSheetId="18">'Coastal States'!$B$44:$F$44</definedName>
    <definedName name="PA_FINANCIAL" localSheetId="20">'Colorado Health'!$B$44:$F$44</definedName>
    <definedName name="PA_FINANCIAL" localSheetId="21">'Compass (dbs Meritus)'!$B$44:$F$44</definedName>
    <definedName name="PA_FINANCIAL" localSheetId="22">'Confed Life &amp; Annty (CLIAC)'!$B$44:$F$44</definedName>
    <definedName name="PA_FINANCIAL" localSheetId="23">'Confed Life (CLIC)'!$B$44:$F$44</definedName>
    <definedName name="PA_FINANCIAL" localSheetId="24">'Consolidated National'!$B$44:$F$44</definedName>
    <definedName name="PA_FINANCIAL" localSheetId="25">'Consumers Choice'!$B$44:$F$44</definedName>
    <definedName name="PA_FINANCIAL" localSheetId="26">'Consumers Mutual'!$B$44:$F$44</definedName>
    <definedName name="PA_FINANCIAL" localSheetId="27">'Consumers United'!$B$44:$F$44</definedName>
    <definedName name="PA_FINANCIAL" localSheetId="28">CoOportunity!$B$44:$F$44</definedName>
    <definedName name="PA_FINANCIAL" localSheetId="29">'Coordinated Hlth'!$B$44:$F$44</definedName>
    <definedName name="PA_FINANCIAL" localSheetId="30">'Corporate Life'!$B$44:$F$44</definedName>
    <definedName name="PA_FINANCIAL" localSheetId="31">'Diamond Benefits'!$B$44:$F$44</definedName>
    <definedName name="PA_FINANCIAL" localSheetId="32">'EBL Life'!$B$44:$F$44</definedName>
    <definedName name="PA_FINANCIAL" localSheetId="34">ELNY!$B$44:$F$44</definedName>
    <definedName name="PA_FINANCIAL" localSheetId="33">'Executive Life'!$B$44:$F$44</definedName>
    <definedName name="PA_FINANCIAL" localSheetId="35">'Family Guaranty'!$B$44:$F$44</definedName>
    <definedName name="PA_FINANCIAL" localSheetId="36">'Fidelity Bankers'!$B$44:$F$44</definedName>
    <definedName name="PA_FINANCIAL" localSheetId="37">'Fidelity Mutual'!$B$44:$F$44</definedName>
    <definedName name="PA_FINANCIAL" localSheetId="38">'First Capital'!$B$44:$F$44</definedName>
    <definedName name="PA_FINANCIAL" localSheetId="39">'First Natl'!$B$44:$F$44</definedName>
    <definedName name="PA_FINANCIAL" localSheetId="40">'First Natl (Thrnr)'!$B$44:$F$44</definedName>
    <definedName name="PA_FINANCIAL" localSheetId="41">'Franklin American'!$B$44:$F$44</definedName>
    <definedName name="PA_FINANCIAL" localSheetId="42">'Franklin Protective'!$B$44:$F$44</definedName>
    <definedName name="PA_FINANCIAL" localSheetId="43">'Freelancers CO-OP'!$B$44:$F$44</definedName>
    <definedName name="PA_FINANCIAL" localSheetId="44">Freestone!$B$44:$F$44</definedName>
    <definedName name="PA_FINANCIAL" localSheetId="45">'George Washington'!$B$44:$F$44</definedName>
    <definedName name="PA_FINANCIAL" localSheetId="46">'Golden State'!$B$44:$F$44</definedName>
    <definedName name="PA_FINANCIAL" localSheetId="47">'Guarantee Security'!$B$44:$F$44</definedName>
    <definedName name="PA_FINANCIAL" localSheetId="48">HealthyCT!$B$44:$F$44</definedName>
    <definedName name="PA_FINANCIAL" localSheetId="49">Imerica!$B$44:$F$44</definedName>
    <definedName name="PA_FINANCIAL" localSheetId="50">'Inter-American'!$B$44:$F$44</definedName>
    <definedName name="PA_FINANCIAL" localSheetId="51">'International Fin'!$B$44:$F$44</definedName>
    <definedName name="PA_FINANCIAL" localSheetId="52">'Investment Life of America'!$B$44:$F$44</definedName>
    <definedName name="PA_FINANCIAL" localSheetId="53">'Investors Equity'!$B$44:$F$44</definedName>
    <definedName name="PA_FINANCIAL" localSheetId="54">'Kentucky Central'!$B$44:$F$44</definedName>
    <definedName name="PA_FINANCIAL" localSheetId="55">'Land of Lincoln'!$B$44:$F$44</definedName>
    <definedName name="PA_FINANCIAL" localSheetId="56">Legion!$B$44:$F$44</definedName>
    <definedName name="PA_FINANCIAL" localSheetId="57">'Life Health America'!$B$44:$F$44</definedName>
    <definedName name="PA_FINANCIAL" localSheetId="58">'Lincoln Memorial'!$B$44:$F$44</definedName>
    <definedName name="PA_FINANCIAL" localSheetId="59">'London Pac'!$B$44:$F$44</definedName>
    <definedName name="PA_FINANCIAL" localSheetId="60">Lumbermens!$B$44:$F$44</definedName>
    <definedName name="PA_FINANCIAL" localSheetId="61">'Medical Savings'!$B$44:$F$44</definedName>
    <definedName name="PA_FINANCIAL" localSheetId="62">'Memorial Service'!$B$44:$F$44</definedName>
    <definedName name="PA_FINANCIAL" localSheetId="63">Midcontinent!$B$44:$F$44</definedName>
    <definedName name="PA_FINANCIAL" localSheetId="64">'Midwest Life'!$B$44:$F$44</definedName>
    <definedName name="PA_FINANCIAL" localSheetId="65">'Monarch Life'!$B$44:$F$44</definedName>
    <definedName name="PA_FINANCIAL" localSheetId="66">'Mutual Benefit'!$B$44:$F$44</definedName>
    <definedName name="PA_FINANCIAL" localSheetId="67">'Mutual Security'!$B$44:$F$44</definedName>
    <definedName name="PA_FINANCIAL" localSheetId="68">'National Affiliated'!$B$44:$F$44</definedName>
    <definedName name="PA_FINANCIAL" localSheetId="70">'National Heritage'!$B$44:$F$44</definedName>
    <definedName name="PA_FINANCIAL" localSheetId="71">'National States'!$B$44:$F$44</definedName>
    <definedName name="PA_FINANCIAL" localSheetId="69">'Natl American'!$B$44:$F$44</definedName>
    <definedName name="PA_FINANCIAL" localSheetId="72">'New Jersey Life'!$B$44:$F$44</definedName>
    <definedName name="PA_FINANCIAL" localSheetId="74">NNIC!$B$44:$F$44</definedName>
    <definedName name="PA_FINANCIAL" localSheetId="73">'North Carolina Mutual'!$B$44:$F$44</definedName>
    <definedName name="PA_FINANCIAL" localSheetId="75">'Old Colony Life'!$B$44:$F$44</definedName>
    <definedName name="PA_FINANCIAL" localSheetId="76">'Old Faithful'!$B$44:$F$44</definedName>
    <definedName name="PA_FINANCIAL" localSheetId="77">'Pacific Standard'!$B$44:$F$44</definedName>
    <definedName name="PA_FINANCIAL" localSheetId="78">'Pavonia Life'!$B$44:$F$44</definedName>
    <definedName name="PA_FINANCIAL" localSheetId="79">'Pen  Treaty'!$B$44:$F$44</definedName>
    <definedName name="PA_FINANCIAL" localSheetId="80">'Red Rock'!$B$44:$F$44</definedName>
    <definedName name="PA_FINANCIAL" localSheetId="81">Reliance!$B$44:$F$44</definedName>
    <definedName name="PA_FINANCIAL" localSheetId="82">SeeChange!$B$44:$F$44</definedName>
    <definedName name="PA_FINANCIAL" localSheetId="83">'Senior American'!$B$44:$F$44</definedName>
    <definedName name="PA_FINANCIAL" localSheetId="84">Settlers!$B$44:$F$44</definedName>
    <definedName name="PA_FINANCIAL" localSheetId="85">Shenandoah!$B$44:$F$44</definedName>
    <definedName name="PA_FINANCIAL" localSheetId="86">'Southland National Life'!$B$44:$F$44</definedName>
    <definedName name="PA_FINANCIAL" localSheetId="87">'Standard Life IN'!$B$44:$F$44</definedName>
    <definedName name="PA_FINANCIAL" localSheetId="88">'States General'!$B$44:$F$44</definedName>
    <definedName name="PA_FINANCIAL" localSheetId="89">Statesman!$B$44:$F$44</definedName>
    <definedName name="PA_FINANCIAL" localSheetId="90">'Summit National'!$B$44:$F$44</definedName>
    <definedName name="PA_FINANCIAL" localSheetId="91">Supreme!$B$44:$F$44</definedName>
    <definedName name="PA_FINANCIAL" localSheetId="92">Time!$B$44:$F$44</definedName>
    <definedName name="PA_FINANCIAL" localSheetId="106">'Total Summary'!$B$44:$F$44</definedName>
    <definedName name="PA_FINANCIAL" localSheetId="93">Underwriters!$B$44:$F$44</definedName>
    <definedName name="PA_FINANCIAL" localSheetId="94">Unison!$B$44:$F$44</definedName>
    <definedName name="PA_FINANCIAL" localSheetId="95">'United Republic'!$B$44:$F$44</definedName>
    <definedName name="PA_FINANCIAL" localSheetId="96">'Universal Health Care'!$B$44:$F$44</definedName>
    <definedName name="PA_FINANCIAL" localSheetId="97">'Universal Life'!$B$44:$F$44</definedName>
    <definedName name="PA_FINANCIAL" localSheetId="98">Universe!$B$44:$F$44</definedName>
    <definedName name="PA_FINANCIAL" localSheetId="99">Villanova!$B$44:$F$44</definedName>
    <definedName name="PL_ALLOC_CALLED" localSheetId="100">Summary!$W$6:$W$9</definedName>
    <definedName name="PL_ALLOC_REFUNDED" localSheetId="100">Summary!$X$6:$X$9</definedName>
    <definedName name="PL_ALLOCATED" localSheetId="100">Summary!$K$6:$K$9</definedName>
    <definedName name="PL_CHANGE" localSheetId="100">Summary!$Q$6:$Q$9</definedName>
    <definedName name="PL_HEALTH" localSheetId="100">Summary!$L$6:$L$9</definedName>
    <definedName name="PL_HEALTH_CALLED" localSheetId="100">Summary!$Z$6:$Z$9</definedName>
    <definedName name="PL_HEALTH_REFUNDED" localSheetId="100">Summary!$AA$6:$AA$9</definedName>
    <definedName name="PL_LIFE" localSheetId="100">Summary!$J$6:$J$9</definedName>
    <definedName name="PL_LIFE_CALLED" localSheetId="100">Summary!$T$6:$T$9</definedName>
    <definedName name="PL_LIFE_REFUNDED" localSheetId="100">Summary!$U$6:$U$9</definedName>
    <definedName name="PL_LTC" localSheetId="100">Summary!$N$6:$N$9</definedName>
    <definedName name="PL_RECON" localSheetId="100">Summary!#REF!</definedName>
    <definedName name="PL_TOTAL" localSheetId="100">Summary!$O$6:$O$9</definedName>
    <definedName name="PL_TOTAL_PREV" localSheetId="100">Summary!$P$6:$P$9</definedName>
    <definedName name="PL_UNALLOC_CALLED" localSheetId="100">Summary!$AC$6:$AC$9</definedName>
    <definedName name="PL_UNALLOC_REFUNDED" localSheetId="100">Summary!$AD$6:$AD$9</definedName>
    <definedName name="PL_UNALLOCATED" localSheetId="100">Summary!$M$6:$M$9</definedName>
    <definedName name="PR_FINANCIAL" localSheetId="0">'AF&amp;L'!$B$45:$F$45</definedName>
    <definedName name="PR_FINANCIAL" localSheetId="1">'Alabama Life'!$B$45:$F$45</definedName>
    <definedName name="PR_FINANCIAL" localSheetId="6">'Amer Life Asr'!$B$45:$F$45</definedName>
    <definedName name="PR_FINANCIAL" localSheetId="9">'Amer Std Life Acc'!$B$45:$F$45</definedName>
    <definedName name="PR_FINANCIAL" localSheetId="2">'American Chambers'!$B$45:$F$45</definedName>
    <definedName name="PR_FINANCIAL" localSheetId="3">'American Community'!$B$45:$F$45</definedName>
    <definedName name="PR_FINANCIAL" localSheetId="4">'American Educators'!$B$45:$F$45</definedName>
    <definedName name="PR_FINANCIAL" localSheetId="5">'American Integrity'!$B$45:$F$45</definedName>
    <definedName name="PR_FINANCIAL" localSheetId="7">'American Medical'!$B$45:$F$45</definedName>
    <definedName name="PR_FINANCIAL" localSheetId="8">'American Network'!$B$45:$F$45</definedName>
    <definedName name="PR_FINANCIAL" localSheetId="10">AmerWstrn!$B$45:$F$45</definedName>
    <definedName name="PR_FINANCIAL" localSheetId="11">'AMS Life'!$B$45:$F$45</definedName>
    <definedName name="PR_FINANCIAL" localSheetId="12">'Andrew Jackson'!$B$45:$F$45</definedName>
    <definedName name="PR_FINANCIAL" localSheetId="13">'Bankers Commercial'!$B$45:$F$45</definedName>
    <definedName name="PR_FINANCIAL" localSheetId="14">'Bankers Life'!$B$45:$F$45</definedName>
    <definedName name="PR_FINANCIAL" localSheetId="15">Benicorp!$B$45:$F$45</definedName>
    <definedName name="PR_FINANCIAL" localSheetId="16">'Booker T Washington'!$B$45:$F$45</definedName>
    <definedName name="PR_FINANCIAL" localSheetId="17">Centennial!$B$45:$F$45</definedName>
    <definedName name="PR_FINANCIAL" localSheetId="19">'CO Bankers'!$B$45:$F$45</definedName>
    <definedName name="PR_FINANCIAL" localSheetId="18">'Coastal States'!$B$45:$F$45</definedName>
    <definedName name="PR_FINANCIAL" localSheetId="20">'Colorado Health'!$B$45:$F$45</definedName>
    <definedName name="PR_FINANCIAL" localSheetId="21">'Compass (dbs Meritus)'!$B$45:$F$45</definedName>
    <definedName name="PR_FINANCIAL" localSheetId="22">'Confed Life &amp; Annty (CLIAC)'!$B$45:$F$45</definedName>
    <definedName name="PR_FINANCIAL" localSheetId="23">'Confed Life (CLIC)'!$B$45:$F$45</definedName>
    <definedName name="PR_FINANCIAL" localSheetId="24">'Consolidated National'!$B$45:$F$45</definedName>
    <definedName name="PR_FINANCIAL" localSheetId="25">'Consumers Choice'!$B$45:$F$45</definedName>
    <definedName name="PR_FINANCIAL" localSheetId="26">'Consumers Mutual'!$B$45:$F$45</definedName>
    <definedName name="PR_FINANCIAL" localSheetId="27">'Consumers United'!$B$45:$F$45</definedName>
    <definedName name="PR_FINANCIAL" localSheetId="28">CoOportunity!$B$45:$F$45</definedName>
    <definedName name="PR_FINANCIAL" localSheetId="29">'Coordinated Hlth'!$B$45:$F$45</definedName>
    <definedName name="PR_FINANCIAL" localSheetId="30">'Corporate Life'!$B$45:$F$45</definedName>
    <definedName name="PR_FINANCIAL" localSheetId="31">'Diamond Benefits'!$B$45:$F$45</definedName>
    <definedName name="PR_FINANCIAL" localSheetId="32">'EBL Life'!$B$45:$F$45</definedName>
    <definedName name="PR_FINANCIAL" localSheetId="34">ELNY!$B$45:$F$45</definedName>
    <definedName name="PR_FINANCIAL" localSheetId="33">'Executive Life'!$B$45:$F$45</definedName>
    <definedName name="PR_FINANCIAL" localSheetId="35">'Family Guaranty'!$B$45:$F$45</definedName>
    <definedName name="PR_FINANCIAL" localSheetId="36">'Fidelity Bankers'!$B$45:$F$45</definedName>
    <definedName name="PR_FINANCIAL" localSheetId="37">'Fidelity Mutual'!$B$45:$F$45</definedName>
    <definedName name="PR_FINANCIAL" localSheetId="38">'First Capital'!$B$45:$F$45</definedName>
    <definedName name="PR_FINANCIAL" localSheetId="39">'First Natl'!$B$45:$F$45</definedName>
    <definedName name="PR_FINANCIAL" localSheetId="40">'First Natl (Thrnr)'!$B$45:$F$45</definedName>
    <definedName name="PR_FINANCIAL" localSheetId="41">'Franklin American'!$B$45:$F$45</definedName>
    <definedName name="PR_FINANCIAL" localSheetId="42">'Franklin Protective'!$B$45:$F$45</definedName>
    <definedName name="PR_FINANCIAL" localSheetId="43">'Freelancers CO-OP'!$B$45:$F$45</definedName>
    <definedName name="PR_FINANCIAL" localSheetId="44">Freestone!$B$45:$F$45</definedName>
    <definedName name="PR_FINANCIAL" localSheetId="45">'George Washington'!$B$45:$F$45</definedName>
    <definedName name="PR_FINANCIAL" localSheetId="46">'Golden State'!$B$45:$F$45</definedName>
    <definedName name="PR_FINANCIAL" localSheetId="47">'Guarantee Security'!$B$45:$F$45</definedName>
    <definedName name="PR_FINANCIAL" localSheetId="48">HealthyCT!$B$45:$F$45</definedName>
    <definedName name="PR_FINANCIAL" localSheetId="49">Imerica!$B$45:$F$45</definedName>
    <definedName name="PR_FINANCIAL" localSheetId="50">'Inter-American'!$B$45:$F$45</definedName>
    <definedName name="PR_FINANCIAL" localSheetId="51">'International Fin'!$B$45:$F$45</definedName>
    <definedName name="PR_FINANCIAL" localSheetId="52">'Investment Life of America'!$B$45:$F$45</definedName>
    <definedName name="PR_FINANCIAL" localSheetId="53">'Investors Equity'!$B$45:$F$45</definedName>
    <definedName name="PR_FINANCIAL" localSheetId="54">'Kentucky Central'!$B$45:$F$45</definedName>
    <definedName name="PR_FINANCIAL" localSheetId="55">'Land of Lincoln'!$B$45:$F$45</definedName>
    <definedName name="PR_FINANCIAL" localSheetId="56">Legion!$B$45:$F$45</definedName>
    <definedName name="PR_FINANCIAL" localSheetId="57">'Life Health America'!$B$45:$F$45</definedName>
    <definedName name="PR_FINANCIAL" localSheetId="58">'Lincoln Memorial'!$B$45:$F$45</definedName>
    <definedName name="PR_FINANCIAL" localSheetId="59">'London Pac'!$B$45:$F$45</definedName>
    <definedName name="PR_FINANCIAL" localSheetId="60">Lumbermens!$B$45:$F$45</definedName>
    <definedName name="PR_FINANCIAL" localSheetId="61">'Medical Savings'!$B$45:$F$45</definedName>
    <definedName name="PR_FINANCIAL" localSheetId="62">'Memorial Service'!$B$45:$F$45</definedName>
    <definedName name="PR_FINANCIAL" localSheetId="63">Midcontinent!$B$45:$F$45</definedName>
    <definedName name="PR_FINANCIAL" localSheetId="64">'Midwest Life'!$B$45:$F$45</definedName>
    <definedName name="PR_FINANCIAL" localSheetId="65">'Monarch Life'!$B$45:$F$45</definedName>
    <definedName name="PR_FINANCIAL" localSheetId="66">'Mutual Benefit'!$B$45:$F$45</definedName>
    <definedName name="PR_FINANCIAL" localSheetId="67">'Mutual Security'!$B$45:$F$45</definedName>
    <definedName name="PR_FINANCIAL" localSheetId="68">'National Affiliated'!$B$45:$F$45</definedName>
    <definedName name="PR_FINANCIAL" localSheetId="70">'National Heritage'!$B$45:$F$45</definedName>
    <definedName name="PR_FINANCIAL" localSheetId="71">'National States'!$B$45:$F$45</definedName>
    <definedName name="PR_FINANCIAL" localSheetId="69">'Natl American'!$B$45:$F$45</definedName>
    <definedName name="PR_FINANCIAL" localSheetId="72">'New Jersey Life'!$B$45:$F$45</definedName>
    <definedName name="PR_FINANCIAL" localSheetId="74">NNIC!$B$45:$F$45</definedName>
    <definedName name="PR_FINANCIAL" localSheetId="73">'North Carolina Mutual'!$B$45:$F$45</definedName>
    <definedName name="PR_FINANCIAL" localSheetId="75">'Old Colony Life'!$B$45:$F$45</definedName>
    <definedName name="PR_FINANCIAL" localSheetId="76">'Old Faithful'!$B$45:$F$45</definedName>
    <definedName name="PR_FINANCIAL" localSheetId="77">'Pacific Standard'!$B$45:$F$45</definedName>
    <definedName name="PR_FINANCIAL" localSheetId="78">'Pavonia Life'!$B$45:$F$45</definedName>
    <definedName name="PR_FINANCIAL" localSheetId="79">'Pen  Treaty'!$B$45:$F$45</definedName>
    <definedName name="PR_FINANCIAL" localSheetId="80">'Red Rock'!$B$45:$F$45</definedName>
    <definedName name="PR_FINANCIAL" localSheetId="81">Reliance!$B$45:$F$45</definedName>
    <definedName name="PR_FINANCIAL" localSheetId="82">SeeChange!$B$45:$F$45</definedName>
    <definedName name="PR_FINANCIAL" localSheetId="83">'Senior American'!$B$45:$F$45</definedName>
    <definedName name="PR_FINANCIAL" localSheetId="84">Settlers!$B$45:$F$45</definedName>
    <definedName name="PR_FINANCIAL" localSheetId="85">Shenandoah!$B$45:$F$45</definedName>
    <definedName name="PR_FINANCIAL" localSheetId="86">'Southland National Life'!$B$45:$F$45</definedName>
    <definedName name="PR_FINANCIAL" localSheetId="87">'Standard Life IN'!$B$45:$F$45</definedName>
    <definedName name="PR_FINANCIAL" localSheetId="88">'States General'!$B$45:$F$45</definedName>
    <definedName name="PR_FINANCIAL" localSheetId="89">Statesman!$B$45:$F$45</definedName>
    <definedName name="PR_FINANCIAL" localSheetId="90">'Summit National'!$B$45:$F$45</definedName>
    <definedName name="PR_FINANCIAL" localSheetId="91">Supreme!$B$45:$F$45</definedName>
    <definedName name="PR_FINANCIAL" localSheetId="92">Time!$B$45:$F$45</definedName>
    <definedName name="PR_FINANCIAL" localSheetId="106">'Total Summary'!$B$45:$F$45</definedName>
    <definedName name="PR_FINANCIAL" localSheetId="93">Underwriters!$B$45:$F$45</definedName>
    <definedName name="PR_FINANCIAL" localSheetId="94">Unison!$B$45:$F$45</definedName>
    <definedName name="PR_FINANCIAL" localSheetId="95">'United Republic'!$B$45:$F$45</definedName>
    <definedName name="PR_FINANCIAL" localSheetId="96">'Universal Health Care'!$B$45:$F$45</definedName>
    <definedName name="PR_FINANCIAL" localSheetId="97">'Universal Life'!$B$45:$F$45</definedName>
    <definedName name="PR_FINANCIAL" localSheetId="98">Universe!$B$45:$F$45</definedName>
    <definedName name="PR_FINANCIAL" localSheetId="99">Villanova!$B$45:$F$45</definedName>
    <definedName name="_xlnm.Print_Area" localSheetId="100">Summary!$A$6:$AD$132</definedName>
    <definedName name="_xlnm.Print_Titles" localSheetId="100">Summary!$1:$5</definedName>
    <definedName name="RE_ALLOC_CALLED" localSheetId="100">Summary!$W$118:$W$128</definedName>
    <definedName name="RE_ALLOC_REFUNDED" localSheetId="100">Summary!$X$118:$X$128</definedName>
    <definedName name="RE_ALLOCATED" localSheetId="100">Summary!$K$118:$K$128</definedName>
    <definedName name="RE_CHANGE" localSheetId="100">Summary!$Q$118:$Q$128</definedName>
    <definedName name="RE_HEALTH" localSheetId="100">Summary!$L$118:$L$128</definedName>
    <definedName name="RE_HEALTH_CALLED" localSheetId="100">Summary!$Z$118:$Z$128</definedName>
    <definedName name="RE_HEALTH_REFUNDED" localSheetId="100">Summary!$AA$118:$AA$128</definedName>
    <definedName name="RE_LIFE" localSheetId="100">Summary!$J$118:$J$128</definedName>
    <definedName name="RE_LIFE_CALLED" localSheetId="100">Summary!$T$118:$T$128</definedName>
    <definedName name="RE_LIFE_REFUNDED" localSheetId="100">Summary!$U$118:$U$128</definedName>
    <definedName name="RE_LTC" localSheetId="100">Summary!$N$118:$N$128</definedName>
    <definedName name="RE_RECON" localSheetId="100">Summary!#REF!</definedName>
    <definedName name="RE_TOTAL" localSheetId="100">Summary!$O$118:$O$128</definedName>
    <definedName name="RE_TOTAL_PREV" localSheetId="100">Summary!$P$118:$P$128</definedName>
    <definedName name="RE_UNALLOC_CALLED" localSheetId="100">Summary!$AC$118:$AC$128</definedName>
    <definedName name="RE_UNALLOC_REFUNDED" localSheetId="100">Summary!$AD$118:$AD$128</definedName>
    <definedName name="RE_UNALLOCATED" localSheetId="100">Summary!$M$118:$M$128</definedName>
    <definedName name="REC_TOTAL" localSheetId="103">'Closed Summary'!$L$6:$L$27</definedName>
    <definedName name="REC_TOTAL" localSheetId="104">'Estate Closed Summary'!$L$6:$L$65</definedName>
    <definedName name="REC_TOTAL" localSheetId="102">'Open Summary'!$L$6:$L$17</definedName>
    <definedName name="REC_TOTAL" localSheetId="101">'Pre-Liquidation Summary'!$L$6:$L$7</definedName>
    <definedName name="REC_TOTAL" localSheetId="105">'Released from Oversight Summary'!$L$6:$L$14</definedName>
    <definedName name="RECON" localSheetId="103">'Closed Summary'!$I$6:$I$58</definedName>
    <definedName name="RECON" localSheetId="104">'Estate Closed Summary'!$I$6:$I$58</definedName>
    <definedName name="RECON" localSheetId="102">'Open Summary'!$I$6:$I$58</definedName>
    <definedName name="RECON" localSheetId="101">'Pre-Liquidation Summary'!$I$6:$I$58</definedName>
    <definedName name="RECON" localSheetId="105">'Released from Oversight Summary'!$I$6:$I$58</definedName>
    <definedName name="RI_FINANCIAL" localSheetId="0">'AF&amp;L'!$B$46:$F$46</definedName>
    <definedName name="RI_FINANCIAL" localSheetId="1">'Alabama Life'!$B$46:$F$46</definedName>
    <definedName name="RI_FINANCIAL" localSheetId="6">'Amer Life Asr'!$B$46:$F$46</definedName>
    <definedName name="RI_FINANCIAL" localSheetId="9">'Amer Std Life Acc'!$B$46:$F$46</definedName>
    <definedName name="RI_FINANCIAL" localSheetId="2">'American Chambers'!$B$46:$F$46</definedName>
    <definedName name="RI_FINANCIAL" localSheetId="3">'American Community'!$B$46:$F$46</definedName>
    <definedName name="RI_FINANCIAL" localSheetId="4">'American Educators'!$B$46:$F$46</definedName>
    <definedName name="RI_FINANCIAL" localSheetId="5">'American Integrity'!$B$46:$F$46</definedName>
    <definedName name="RI_FINANCIAL" localSheetId="7">'American Medical'!$B$46:$F$46</definedName>
    <definedName name="RI_FINANCIAL" localSheetId="8">'American Network'!$B$46:$F$46</definedName>
    <definedName name="RI_FINANCIAL" localSheetId="10">AmerWstrn!$B$46:$F$46</definedName>
    <definedName name="RI_FINANCIAL" localSheetId="11">'AMS Life'!$B$46:$F$46</definedName>
    <definedName name="RI_FINANCIAL" localSheetId="12">'Andrew Jackson'!$B$46:$F$46</definedName>
    <definedName name="RI_FINANCIAL" localSheetId="13">'Bankers Commercial'!$B$46:$F$46</definedName>
    <definedName name="RI_FINANCIAL" localSheetId="14">'Bankers Life'!$B$46:$F$46</definedName>
    <definedName name="RI_FINANCIAL" localSheetId="15">Benicorp!$B$46:$F$46</definedName>
    <definedName name="RI_FINANCIAL" localSheetId="16">'Booker T Washington'!$B$46:$F$46</definedName>
    <definedName name="RI_FINANCIAL" localSheetId="17">Centennial!$B$46:$F$46</definedName>
    <definedName name="RI_FINANCIAL" localSheetId="19">'CO Bankers'!$B$46:$F$46</definedName>
    <definedName name="RI_FINANCIAL" localSheetId="18">'Coastal States'!$B$46:$F$46</definedName>
    <definedName name="RI_FINANCIAL" localSheetId="20">'Colorado Health'!$B$46:$F$46</definedName>
    <definedName name="RI_FINANCIAL" localSheetId="21">'Compass (dbs Meritus)'!$B$46:$F$46</definedName>
    <definedName name="RI_FINANCIAL" localSheetId="22">'Confed Life &amp; Annty (CLIAC)'!$B$46:$F$46</definedName>
    <definedName name="RI_FINANCIAL" localSheetId="23">'Confed Life (CLIC)'!$B$46:$F$46</definedName>
    <definedName name="RI_FINANCIAL" localSheetId="24">'Consolidated National'!$B$46:$F$46</definedName>
    <definedName name="RI_FINANCIAL" localSheetId="25">'Consumers Choice'!$B$46:$F$46</definedName>
    <definedName name="RI_FINANCIAL" localSheetId="26">'Consumers Mutual'!$B$46:$F$46</definedName>
    <definedName name="RI_FINANCIAL" localSheetId="27">'Consumers United'!$B$46:$F$46</definedName>
    <definedName name="RI_FINANCIAL" localSheetId="28">CoOportunity!$B$46:$F$46</definedName>
    <definedName name="RI_FINANCIAL" localSheetId="29">'Coordinated Hlth'!$B$46:$F$46</definedName>
    <definedName name="RI_FINANCIAL" localSheetId="30">'Corporate Life'!$B$46:$F$46</definedName>
    <definedName name="RI_FINANCIAL" localSheetId="31">'Diamond Benefits'!$B$46:$F$46</definedName>
    <definedName name="RI_FINANCIAL" localSheetId="32">'EBL Life'!$B$46:$F$46</definedName>
    <definedName name="RI_FINANCIAL" localSheetId="34">ELNY!$B$46:$F$46</definedName>
    <definedName name="RI_FINANCIAL" localSheetId="33">'Executive Life'!$B$46:$F$46</definedName>
    <definedName name="RI_FINANCIAL" localSheetId="35">'Family Guaranty'!$B$46:$F$46</definedName>
    <definedName name="RI_FINANCIAL" localSheetId="36">'Fidelity Bankers'!$B$46:$F$46</definedName>
    <definedName name="RI_FINANCIAL" localSheetId="37">'Fidelity Mutual'!$B$46:$F$46</definedName>
    <definedName name="RI_FINANCIAL" localSheetId="38">'First Capital'!$B$46:$F$46</definedName>
    <definedName name="RI_FINANCIAL" localSheetId="39">'First Natl'!$B$46:$F$46</definedName>
    <definedName name="RI_FINANCIAL" localSheetId="40">'First Natl (Thrnr)'!$B$46:$F$46</definedName>
    <definedName name="RI_FINANCIAL" localSheetId="41">'Franklin American'!$B$46:$F$46</definedName>
    <definedName name="RI_FINANCIAL" localSheetId="42">'Franklin Protective'!$B$46:$F$46</definedName>
    <definedName name="RI_FINANCIAL" localSheetId="43">'Freelancers CO-OP'!$B$46:$F$46</definedName>
    <definedName name="RI_FINANCIAL" localSheetId="44">Freestone!$B$46:$F$46</definedName>
    <definedName name="RI_FINANCIAL" localSheetId="45">'George Washington'!$B$46:$F$46</definedName>
    <definedName name="RI_FINANCIAL" localSheetId="46">'Golden State'!$B$46:$F$46</definedName>
    <definedName name="RI_FINANCIAL" localSheetId="47">'Guarantee Security'!$B$46:$F$46</definedName>
    <definedName name="RI_FINANCIAL" localSheetId="48">HealthyCT!$B$46:$F$46</definedName>
    <definedName name="RI_FINANCIAL" localSheetId="49">Imerica!$B$46:$F$46</definedName>
    <definedName name="RI_FINANCIAL" localSheetId="50">'Inter-American'!$B$46:$F$46</definedName>
    <definedName name="RI_FINANCIAL" localSheetId="51">'International Fin'!$B$46:$F$46</definedName>
    <definedName name="RI_FINANCIAL" localSheetId="52">'Investment Life of America'!$B$46:$F$46</definedName>
    <definedName name="RI_FINANCIAL" localSheetId="53">'Investors Equity'!$B$46:$F$46</definedName>
    <definedName name="RI_FINANCIAL" localSheetId="54">'Kentucky Central'!$B$46:$F$46</definedName>
    <definedName name="RI_FINANCIAL" localSheetId="55">'Land of Lincoln'!$B$46:$F$46</definedName>
    <definedName name="RI_FINANCIAL" localSheetId="56">Legion!$B$46:$F$46</definedName>
    <definedName name="RI_FINANCIAL" localSheetId="57">'Life Health America'!$B$46:$F$46</definedName>
    <definedName name="RI_FINANCIAL" localSheetId="58">'Lincoln Memorial'!$B$46:$F$46</definedName>
    <definedName name="RI_FINANCIAL" localSheetId="59">'London Pac'!$B$46:$F$46</definedName>
    <definedName name="RI_FINANCIAL" localSheetId="60">Lumbermens!$B$46:$F$46</definedName>
    <definedName name="RI_FINANCIAL" localSheetId="61">'Medical Savings'!$B$46:$F$46</definedName>
    <definedName name="RI_FINANCIAL" localSheetId="62">'Memorial Service'!$B$46:$F$46</definedName>
    <definedName name="RI_FINANCIAL" localSheetId="63">Midcontinent!$B$46:$F$46</definedName>
    <definedName name="RI_FINANCIAL" localSheetId="64">'Midwest Life'!$B$46:$F$46</definedName>
    <definedName name="RI_FINANCIAL" localSheetId="65">'Monarch Life'!$B$46:$F$46</definedName>
    <definedName name="RI_FINANCIAL" localSheetId="66">'Mutual Benefit'!$B$46:$F$46</definedName>
    <definedName name="RI_FINANCIAL" localSheetId="67">'Mutual Security'!$B$46:$F$46</definedName>
    <definedName name="RI_FINANCIAL" localSheetId="68">'National Affiliated'!$B$46:$F$46</definedName>
    <definedName name="RI_FINANCIAL" localSheetId="70">'National Heritage'!$B$46:$F$46</definedName>
    <definedName name="RI_FINANCIAL" localSheetId="71">'National States'!$B$46:$F$46</definedName>
    <definedName name="RI_FINANCIAL" localSheetId="69">'Natl American'!$B$46:$F$46</definedName>
    <definedName name="RI_FINANCIAL" localSheetId="72">'New Jersey Life'!$B$46:$F$46</definedName>
    <definedName name="RI_FINANCIAL" localSheetId="74">NNIC!$B$46:$F$46</definedName>
    <definedName name="RI_FINANCIAL" localSheetId="73">'North Carolina Mutual'!$B$46:$F$46</definedName>
    <definedName name="RI_FINANCIAL" localSheetId="75">'Old Colony Life'!$B$46:$F$46</definedName>
    <definedName name="RI_FINANCIAL" localSheetId="76">'Old Faithful'!$B$46:$F$46</definedName>
    <definedName name="RI_FINANCIAL" localSheetId="77">'Pacific Standard'!$B$46:$F$46</definedName>
    <definedName name="RI_FINANCIAL" localSheetId="78">'Pavonia Life'!$B$46:$F$46</definedName>
    <definedName name="RI_FINANCIAL" localSheetId="79">'Pen  Treaty'!$B$46:$F$46</definedName>
    <definedName name="RI_FINANCIAL" localSheetId="80">'Red Rock'!$B$46:$F$46</definedName>
    <definedName name="RI_FINANCIAL" localSheetId="81">Reliance!$B$46:$F$46</definedName>
    <definedName name="RI_FINANCIAL" localSheetId="82">SeeChange!$B$46:$F$46</definedName>
    <definedName name="RI_FINANCIAL" localSheetId="83">'Senior American'!$B$46:$F$46</definedName>
    <definedName name="RI_FINANCIAL" localSheetId="84">Settlers!$B$46:$F$46</definedName>
    <definedName name="RI_FINANCIAL" localSheetId="85">Shenandoah!$B$46:$F$46</definedName>
    <definedName name="RI_FINANCIAL" localSheetId="86">'Southland National Life'!$B$46:$F$46</definedName>
    <definedName name="RI_FINANCIAL" localSheetId="87">'Standard Life IN'!$B$46:$F$46</definedName>
    <definedName name="RI_FINANCIAL" localSheetId="88">'States General'!$B$46:$F$46</definedName>
    <definedName name="RI_FINANCIAL" localSheetId="89">Statesman!$B$46:$F$46</definedName>
    <definedName name="RI_FINANCIAL" localSheetId="90">'Summit National'!$B$46:$F$46</definedName>
    <definedName name="RI_FINANCIAL" localSheetId="91">Supreme!$B$46:$F$46</definedName>
    <definedName name="RI_FINANCIAL" localSheetId="92">Time!$B$46:$F$46</definedName>
    <definedName name="RI_FINANCIAL" localSheetId="106">'Total Summary'!$B$46:$F$46</definedName>
    <definedName name="RI_FINANCIAL" localSheetId="93">Underwriters!$B$46:$F$46</definedName>
    <definedName name="RI_FINANCIAL" localSheetId="94">Unison!$B$46:$F$46</definedName>
    <definedName name="RI_FINANCIAL" localSheetId="95">'United Republic'!$B$46:$F$46</definedName>
    <definedName name="RI_FINANCIAL" localSheetId="96">'Universal Health Care'!$B$46:$F$46</definedName>
    <definedName name="RI_FINANCIAL" localSheetId="97">'Universal Life'!$B$46:$F$46</definedName>
    <definedName name="RI_FINANCIAL" localSheetId="98">Universe!$B$46:$F$46</definedName>
    <definedName name="RI_FINANCIAL" localSheetId="99">Villanova!$B$46:$F$46</definedName>
    <definedName name="SC_FINANCIAL" localSheetId="0">'AF&amp;L'!$B$47:$F$47</definedName>
    <definedName name="SC_FINANCIAL" localSheetId="1">'Alabama Life'!$B$47:$F$47</definedName>
    <definedName name="SC_FINANCIAL" localSheetId="6">'Amer Life Asr'!$B$47:$F$47</definedName>
    <definedName name="SC_FINANCIAL" localSheetId="9">'Amer Std Life Acc'!$B$47:$F$47</definedName>
    <definedName name="SC_FINANCIAL" localSheetId="2">'American Chambers'!$B$47:$F$47</definedName>
    <definedName name="SC_FINANCIAL" localSheetId="3">'American Community'!$B$47:$F$47</definedName>
    <definedName name="SC_FINANCIAL" localSheetId="4">'American Educators'!$B$47:$F$47</definedName>
    <definedName name="SC_FINANCIAL" localSheetId="5">'American Integrity'!$B$47:$F$47</definedName>
    <definedName name="SC_FINANCIAL" localSheetId="7">'American Medical'!$B$47:$F$47</definedName>
    <definedName name="SC_FINANCIAL" localSheetId="8">'American Network'!$B$47:$F$47</definedName>
    <definedName name="SC_FINANCIAL" localSheetId="10">AmerWstrn!$B$47:$F$47</definedName>
    <definedName name="SC_FINANCIAL" localSheetId="11">'AMS Life'!$B$47:$F$47</definedName>
    <definedName name="SC_FINANCIAL" localSheetId="12">'Andrew Jackson'!$B$47:$F$47</definedName>
    <definedName name="SC_FINANCIAL" localSheetId="13">'Bankers Commercial'!$B$47:$F$47</definedName>
    <definedName name="SC_FINANCIAL" localSheetId="14">'Bankers Life'!$B$47:$F$47</definedName>
    <definedName name="SC_FINANCIAL" localSheetId="15">Benicorp!$B$47:$F$47</definedName>
    <definedName name="SC_FINANCIAL" localSheetId="16">'Booker T Washington'!$B$47:$F$47</definedName>
    <definedName name="SC_FINANCIAL" localSheetId="17">Centennial!$B$47:$F$47</definedName>
    <definedName name="SC_FINANCIAL" localSheetId="19">'CO Bankers'!$B$47:$F$47</definedName>
    <definedName name="SC_FINANCIAL" localSheetId="18">'Coastal States'!$B$47:$F$47</definedName>
    <definedName name="SC_FINANCIAL" localSheetId="20">'Colorado Health'!$B$47:$F$47</definedName>
    <definedName name="SC_FINANCIAL" localSheetId="21">'Compass (dbs Meritus)'!$B$47:$F$47</definedName>
    <definedName name="SC_FINANCIAL" localSheetId="22">'Confed Life &amp; Annty (CLIAC)'!$B$47:$F$47</definedName>
    <definedName name="SC_FINANCIAL" localSheetId="23">'Confed Life (CLIC)'!$B$47:$F$47</definedName>
    <definedName name="SC_FINANCIAL" localSheetId="24">'Consolidated National'!$B$47:$F$47</definedName>
    <definedName name="SC_FINANCIAL" localSheetId="25">'Consumers Choice'!$B$47:$F$47</definedName>
    <definedName name="SC_FINANCIAL" localSheetId="26">'Consumers Mutual'!$B$47:$F$47</definedName>
    <definedName name="SC_FINANCIAL" localSheetId="27">'Consumers United'!$B$47:$F$47</definedName>
    <definedName name="SC_FINANCIAL" localSheetId="28">CoOportunity!$B$47:$F$47</definedName>
    <definedName name="SC_FINANCIAL" localSheetId="29">'Coordinated Hlth'!$B$47:$F$47</definedName>
    <definedName name="SC_FINANCIAL" localSheetId="30">'Corporate Life'!$B$47:$F$47</definedName>
    <definedName name="SC_FINANCIAL" localSheetId="31">'Diamond Benefits'!$B$47:$F$47</definedName>
    <definedName name="SC_FINANCIAL" localSheetId="32">'EBL Life'!$B$47:$F$47</definedName>
    <definedName name="SC_FINANCIAL" localSheetId="34">ELNY!$B$47:$F$47</definedName>
    <definedName name="SC_FINANCIAL" localSheetId="33">'Executive Life'!$B$47:$F$47</definedName>
    <definedName name="SC_FINANCIAL" localSheetId="35">'Family Guaranty'!$B$47:$F$47</definedName>
    <definedName name="SC_FINANCIAL" localSheetId="36">'Fidelity Bankers'!$B$47:$F$47</definedName>
    <definedName name="SC_FINANCIAL" localSheetId="37">'Fidelity Mutual'!$B$47:$F$47</definedName>
    <definedName name="SC_FINANCIAL" localSheetId="38">'First Capital'!$B$47:$F$47</definedName>
    <definedName name="SC_FINANCIAL" localSheetId="39">'First Natl'!$B$47:$F$47</definedName>
    <definedName name="SC_FINANCIAL" localSheetId="40">'First Natl (Thrnr)'!$B$47:$F$47</definedName>
    <definedName name="SC_FINANCIAL" localSheetId="41">'Franklin American'!$B$47:$F$47</definedName>
    <definedName name="SC_FINANCIAL" localSheetId="42">'Franklin Protective'!$B$47:$F$47</definedName>
    <definedName name="SC_FINANCIAL" localSheetId="43">'Freelancers CO-OP'!$B$47:$F$47</definedName>
    <definedName name="SC_FINANCIAL" localSheetId="44">Freestone!$B$47:$F$47</definedName>
    <definedName name="SC_FINANCIAL" localSheetId="45">'George Washington'!$B$47:$F$47</definedName>
    <definedName name="SC_FINANCIAL" localSheetId="46">'Golden State'!$B$47:$F$47</definedName>
    <definedName name="SC_FINANCIAL" localSheetId="47">'Guarantee Security'!$B$47:$F$47</definedName>
    <definedName name="SC_FINANCIAL" localSheetId="48">HealthyCT!$B$47:$F$47</definedName>
    <definedName name="SC_FINANCIAL" localSheetId="49">Imerica!$B$47:$F$47</definedName>
    <definedName name="SC_FINANCIAL" localSheetId="50">'Inter-American'!$B$47:$F$47</definedName>
    <definedName name="SC_FINANCIAL" localSheetId="51">'International Fin'!$B$47:$F$47</definedName>
    <definedName name="SC_FINANCIAL" localSheetId="52">'Investment Life of America'!$B$47:$F$47</definedName>
    <definedName name="SC_FINANCIAL" localSheetId="53">'Investors Equity'!$B$47:$F$47</definedName>
    <definedName name="SC_FINANCIAL" localSheetId="54">'Kentucky Central'!$B$47:$F$47</definedName>
    <definedName name="SC_FINANCIAL" localSheetId="55">'Land of Lincoln'!$B$47:$F$47</definedName>
    <definedName name="SC_FINANCIAL" localSheetId="56">Legion!$B$47:$F$47</definedName>
    <definedName name="SC_FINANCIAL" localSheetId="57">'Life Health America'!$B$47:$F$47</definedName>
    <definedName name="SC_FINANCIAL" localSheetId="58">'Lincoln Memorial'!$B$47:$F$47</definedName>
    <definedName name="SC_FINANCIAL" localSheetId="59">'London Pac'!$B$47:$F$47</definedName>
    <definedName name="SC_FINANCIAL" localSheetId="60">Lumbermens!$B$47:$F$47</definedName>
    <definedName name="SC_FINANCIAL" localSheetId="61">'Medical Savings'!$B$47:$F$47</definedName>
    <definedName name="SC_FINANCIAL" localSheetId="62">'Memorial Service'!$B$47:$F$47</definedName>
    <definedName name="SC_FINANCIAL" localSheetId="63">Midcontinent!$B$47:$F$47</definedName>
    <definedName name="SC_FINANCIAL" localSheetId="64">'Midwest Life'!$B$47:$F$47</definedName>
    <definedName name="SC_FINANCIAL" localSheetId="65">'Monarch Life'!$B$47:$F$47</definedName>
    <definedName name="SC_FINANCIAL" localSheetId="66">'Mutual Benefit'!$B$47:$F$47</definedName>
    <definedName name="SC_FINANCIAL" localSheetId="67">'Mutual Security'!$B$47:$F$47</definedName>
    <definedName name="SC_FINANCIAL" localSheetId="68">'National Affiliated'!$B$47:$F$47</definedName>
    <definedName name="SC_FINANCIAL" localSheetId="70">'National Heritage'!$B$47:$F$47</definedName>
    <definedName name="SC_FINANCIAL" localSheetId="71">'National States'!$B$47:$F$47</definedName>
    <definedName name="SC_FINANCIAL" localSheetId="69">'Natl American'!$B$47:$F$47</definedName>
    <definedName name="SC_FINANCIAL" localSheetId="72">'New Jersey Life'!$B$47:$F$47</definedName>
    <definedName name="SC_FINANCIAL" localSheetId="74">NNIC!$B$47:$F$47</definedName>
    <definedName name="SC_FINANCIAL" localSheetId="73">'North Carolina Mutual'!$B$47:$F$47</definedName>
    <definedName name="SC_FINANCIAL" localSheetId="75">'Old Colony Life'!$B$47:$F$47</definedName>
    <definedName name="SC_FINANCIAL" localSheetId="76">'Old Faithful'!$B$47:$F$47</definedName>
    <definedName name="SC_FINANCIAL" localSheetId="77">'Pacific Standard'!$B$47:$F$47</definedName>
    <definedName name="SC_FINANCIAL" localSheetId="78">'Pavonia Life'!$B$47:$F$47</definedName>
    <definedName name="SC_FINANCIAL" localSheetId="79">'Pen  Treaty'!$B$47:$F$47</definedName>
    <definedName name="SC_FINANCIAL" localSheetId="80">'Red Rock'!$B$47:$F$47</definedName>
    <definedName name="SC_FINANCIAL" localSheetId="81">Reliance!$B$47:$F$47</definedName>
    <definedName name="SC_FINANCIAL" localSheetId="82">SeeChange!$B$47:$F$47</definedName>
    <definedName name="SC_FINANCIAL" localSheetId="83">'Senior American'!$B$47:$F$47</definedName>
    <definedName name="SC_FINANCIAL" localSheetId="84">Settlers!$B$47:$F$47</definedName>
    <definedName name="SC_FINANCIAL" localSheetId="85">Shenandoah!$B$47:$F$47</definedName>
    <definedName name="SC_FINANCIAL" localSheetId="86">'Southland National Life'!$B$47:$F$47</definedName>
    <definedName name="SC_FINANCIAL" localSheetId="87">'Standard Life IN'!$B$47:$F$47</definedName>
    <definedName name="SC_FINANCIAL" localSheetId="88">'States General'!$B$47:$F$47</definedName>
    <definedName name="SC_FINANCIAL" localSheetId="89">Statesman!$B$47:$F$47</definedName>
    <definedName name="SC_FINANCIAL" localSheetId="90">'Summit National'!$B$47:$F$47</definedName>
    <definedName name="SC_FINANCIAL" localSheetId="91">Supreme!$B$47:$F$47</definedName>
    <definedName name="SC_FINANCIAL" localSheetId="92">Time!$B$47:$F$47</definedName>
    <definedName name="SC_FINANCIAL" localSheetId="106">'Total Summary'!$B$47:$F$47</definedName>
    <definedName name="SC_FINANCIAL" localSheetId="93">Underwriters!$B$47:$F$47</definedName>
    <definedName name="SC_FINANCIAL" localSheetId="94">Unison!$B$47:$F$47</definedName>
    <definedName name="SC_FINANCIAL" localSheetId="95">'United Republic'!$B$47:$F$47</definedName>
    <definedName name="SC_FINANCIAL" localSheetId="96">'Universal Health Care'!$B$47:$F$47</definedName>
    <definedName name="SC_FINANCIAL" localSheetId="97">'Universal Life'!$B$47:$F$47</definedName>
    <definedName name="SC_FINANCIAL" localSheetId="98">Universe!$B$47:$F$47</definedName>
    <definedName name="SC_FINANCIAL" localSheetId="99">Villanova!$B$47:$F$47</definedName>
    <definedName name="SD_FINANCIAL" localSheetId="0">'AF&amp;L'!$B$48:$F$48</definedName>
    <definedName name="SD_FINANCIAL" localSheetId="1">'Alabama Life'!$B$48:$F$48</definedName>
    <definedName name="SD_FINANCIAL" localSheetId="6">'Amer Life Asr'!$B$48:$F$48</definedName>
    <definedName name="SD_FINANCIAL" localSheetId="9">'Amer Std Life Acc'!$B$48:$F$48</definedName>
    <definedName name="SD_FINANCIAL" localSheetId="2">'American Chambers'!$B$48:$F$48</definedName>
    <definedName name="SD_FINANCIAL" localSheetId="3">'American Community'!$B$48:$F$48</definedName>
    <definedName name="SD_FINANCIAL" localSheetId="4">'American Educators'!$B$48:$F$48</definedName>
    <definedName name="SD_FINANCIAL" localSheetId="5">'American Integrity'!$B$48:$F$48</definedName>
    <definedName name="SD_FINANCIAL" localSheetId="7">'American Medical'!$B$48:$F$48</definedName>
    <definedName name="SD_FINANCIAL" localSheetId="8">'American Network'!$B$48:$F$48</definedName>
    <definedName name="SD_FINANCIAL" localSheetId="10">AmerWstrn!$B$48:$F$48</definedName>
    <definedName name="SD_FINANCIAL" localSheetId="11">'AMS Life'!$B$48:$F$48</definedName>
    <definedName name="SD_FINANCIAL" localSheetId="12">'Andrew Jackson'!$B$48:$F$48</definedName>
    <definedName name="SD_FINANCIAL" localSheetId="13">'Bankers Commercial'!$B$48:$F$48</definedName>
    <definedName name="SD_FINANCIAL" localSheetId="14">'Bankers Life'!$B$48:$F$48</definedName>
    <definedName name="SD_FINANCIAL" localSheetId="15">Benicorp!$B$48:$F$48</definedName>
    <definedName name="SD_FINANCIAL" localSheetId="16">'Booker T Washington'!$B$48:$F$48</definedName>
    <definedName name="SD_FINANCIAL" localSheetId="17">Centennial!$B$48:$F$48</definedName>
    <definedName name="SD_FINANCIAL" localSheetId="19">'CO Bankers'!$B$48:$F$48</definedName>
    <definedName name="SD_FINANCIAL" localSheetId="18">'Coastal States'!$B$48:$F$48</definedName>
    <definedName name="SD_FINANCIAL" localSheetId="20">'Colorado Health'!$B$48:$F$48</definedName>
    <definedName name="SD_FINANCIAL" localSheetId="21">'Compass (dbs Meritus)'!$B$48:$F$48</definedName>
    <definedName name="SD_FINANCIAL" localSheetId="22">'Confed Life &amp; Annty (CLIAC)'!$B$48:$F$48</definedName>
    <definedName name="SD_FINANCIAL" localSheetId="23">'Confed Life (CLIC)'!$B$48:$F$48</definedName>
    <definedName name="SD_FINANCIAL" localSheetId="24">'Consolidated National'!$B$48:$F$48</definedName>
    <definedName name="SD_FINANCIAL" localSheetId="25">'Consumers Choice'!$B$48:$F$48</definedName>
    <definedName name="SD_FINANCIAL" localSheetId="26">'Consumers Mutual'!$B$48:$F$48</definedName>
    <definedName name="SD_FINANCIAL" localSheetId="27">'Consumers United'!$B$48:$F$48</definedName>
    <definedName name="SD_FINANCIAL" localSheetId="28">CoOportunity!$B$48:$F$48</definedName>
    <definedName name="SD_FINANCIAL" localSheetId="29">'Coordinated Hlth'!$B$48:$F$48</definedName>
    <definedName name="SD_FINANCIAL" localSheetId="30">'Corporate Life'!$B$48:$F$48</definedName>
    <definedName name="SD_FINANCIAL" localSheetId="31">'Diamond Benefits'!$B$48:$F$48</definedName>
    <definedName name="SD_FINANCIAL" localSheetId="32">'EBL Life'!$B$48:$F$48</definedName>
    <definedName name="SD_FINANCIAL" localSheetId="34">ELNY!$B$48:$F$48</definedName>
    <definedName name="SD_FINANCIAL" localSheetId="33">'Executive Life'!$B$48:$F$48</definedName>
    <definedName name="SD_FINANCIAL" localSheetId="35">'Family Guaranty'!$B$48:$F$48</definedName>
    <definedName name="SD_FINANCIAL" localSheetId="36">'Fidelity Bankers'!$B$48:$F$48</definedName>
    <definedName name="SD_FINANCIAL" localSheetId="37">'Fidelity Mutual'!$B$48:$F$48</definedName>
    <definedName name="SD_FINANCIAL" localSheetId="38">'First Capital'!$B$48:$F$48</definedName>
    <definedName name="SD_FINANCIAL" localSheetId="39">'First Natl'!$B$48:$F$48</definedName>
    <definedName name="SD_FINANCIAL" localSheetId="40">'First Natl (Thrnr)'!$B$48:$F$48</definedName>
    <definedName name="SD_FINANCIAL" localSheetId="41">'Franklin American'!$B$48:$F$48</definedName>
    <definedName name="SD_FINANCIAL" localSheetId="42">'Franklin Protective'!$B$48:$F$48</definedName>
    <definedName name="SD_FINANCIAL" localSheetId="43">'Freelancers CO-OP'!$B$48:$F$48</definedName>
    <definedName name="SD_FINANCIAL" localSheetId="44">Freestone!$B$48:$F$48</definedName>
    <definedName name="SD_FINANCIAL" localSheetId="45">'George Washington'!$B$48:$F$48</definedName>
    <definedName name="SD_FINANCIAL" localSheetId="46">'Golden State'!$B$48:$F$48</definedName>
    <definedName name="SD_FINANCIAL" localSheetId="47">'Guarantee Security'!$B$48:$F$48</definedName>
    <definedName name="SD_FINANCIAL" localSheetId="48">HealthyCT!$B$48:$F$48</definedName>
    <definedName name="SD_FINANCIAL" localSheetId="49">Imerica!$B$48:$F$48</definedName>
    <definedName name="SD_FINANCIAL" localSheetId="50">'Inter-American'!$B$48:$F$48</definedName>
    <definedName name="SD_FINANCIAL" localSheetId="51">'International Fin'!$B$48:$F$48</definedName>
    <definedName name="SD_FINANCIAL" localSheetId="52">'Investment Life of America'!$B$48:$F$48</definedName>
    <definedName name="SD_FINANCIAL" localSheetId="53">'Investors Equity'!$B$48:$F$48</definedName>
    <definedName name="SD_FINANCIAL" localSheetId="54">'Kentucky Central'!$B$48:$F$48</definedName>
    <definedName name="SD_FINANCIAL" localSheetId="55">'Land of Lincoln'!$B$48:$F$48</definedName>
    <definedName name="SD_FINANCIAL" localSheetId="56">Legion!$B$48:$F$48</definedName>
    <definedName name="SD_FINANCIAL" localSheetId="57">'Life Health America'!$B$48:$F$48</definedName>
    <definedName name="SD_FINANCIAL" localSheetId="58">'Lincoln Memorial'!$B$48:$F$48</definedName>
    <definedName name="SD_FINANCIAL" localSheetId="59">'London Pac'!$B$48:$F$48</definedName>
    <definedName name="SD_FINANCIAL" localSheetId="60">Lumbermens!$B$48:$F$48</definedName>
    <definedName name="SD_FINANCIAL" localSheetId="61">'Medical Savings'!$B$48:$F$48</definedName>
    <definedName name="SD_FINANCIAL" localSheetId="62">'Memorial Service'!$B$48:$F$48</definedName>
    <definedName name="SD_FINANCIAL" localSheetId="63">Midcontinent!$B$48:$F$48</definedName>
    <definedName name="SD_FINANCIAL" localSheetId="64">'Midwest Life'!$B$48:$F$48</definedName>
    <definedName name="SD_FINANCIAL" localSheetId="65">'Monarch Life'!$B$48:$F$48</definedName>
    <definedName name="SD_FINANCIAL" localSheetId="66">'Mutual Benefit'!$B$48:$F$48</definedName>
    <definedName name="SD_FINANCIAL" localSheetId="67">'Mutual Security'!$B$48:$F$48</definedName>
    <definedName name="SD_FINANCIAL" localSheetId="68">'National Affiliated'!$B$48:$F$48</definedName>
    <definedName name="SD_FINANCIAL" localSheetId="70">'National Heritage'!$B$48:$F$48</definedName>
    <definedName name="SD_FINANCIAL" localSheetId="71">'National States'!$B$48:$F$48</definedName>
    <definedName name="SD_FINANCIAL" localSheetId="69">'Natl American'!$B$48:$F$48</definedName>
    <definedName name="SD_FINANCIAL" localSheetId="72">'New Jersey Life'!$B$48:$F$48</definedName>
    <definedName name="SD_FINANCIAL" localSheetId="74">NNIC!$B$48:$F$48</definedName>
    <definedName name="SD_FINANCIAL" localSheetId="73">'North Carolina Mutual'!$B$48:$F$48</definedName>
    <definedName name="SD_FINANCIAL" localSheetId="75">'Old Colony Life'!$B$48:$F$48</definedName>
    <definedName name="SD_FINANCIAL" localSheetId="76">'Old Faithful'!$B$48:$F$48</definedName>
    <definedName name="SD_FINANCIAL" localSheetId="77">'Pacific Standard'!$B$48:$F$48</definedName>
    <definedName name="SD_FINANCIAL" localSheetId="78">'Pavonia Life'!$B$48:$F$48</definedName>
    <definedName name="SD_FINANCIAL" localSheetId="79">'Pen  Treaty'!$B$48:$F$48</definedName>
    <definedName name="SD_FINANCIAL" localSheetId="80">'Red Rock'!$B$48:$F$48</definedName>
    <definedName name="SD_FINANCIAL" localSheetId="81">Reliance!$B$48:$F$48</definedName>
    <definedName name="SD_FINANCIAL" localSheetId="82">SeeChange!$B$48:$F$48</definedName>
    <definedName name="SD_FINANCIAL" localSheetId="83">'Senior American'!$B$48:$F$48</definedName>
    <definedName name="SD_FINANCIAL" localSheetId="84">Settlers!$B$48:$F$48</definedName>
    <definedName name="SD_FINANCIAL" localSheetId="85">Shenandoah!$B$48:$F$48</definedName>
    <definedName name="SD_FINANCIAL" localSheetId="86">'Southland National Life'!$B$48:$F$48</definedName>
    <definedName name="SD_FINANCIAL" localSheetId="87">'Standard Life IN'!$B$48:$F$48</definedName>
    <definedName name="SD_FINANCIAL" localSheetId="88">'States General'!$B$48:$F$48</definedName>
    <definedName name="SD_FINANCIAL" localSheetId="89">Statesman!$B$48:$F$48</definedName>
    <definedName name="SD_FINANCIAL" localSheetId="90">'Summit National'!$B$48:$F$48</definedName>
    <definedName name="SD_FINANCIAL" localSheetId="91">Supreme!$B$48:$F$48</definedName>
    <definedName name="SD_FINANCIAL" localSheetId="92">Time!$B$48:$F$48</definedName>
    <definedName name="SD_FINANCIAL" localSheetId="106">'Total Summary'!$B$48:$F$48</definedName>
    <definedName name="SD_FINANCIAL" localSheetId="93">Underwriters!$B$48:$F$48</definedName>
    <definedName name="SD_FINANCIAL" localSheetId="94">Unison!$B$48:$F$48</definedName>
    <definedName name="SD_FINANCIAL" localSheetId="95">'United Republic'!$B$48:$F$48</definedName>
    <definedName name="SD_FINANCIAL" localSheetId="96">'Universal Health Care'!$B$48:$F$48</definedName>
    <definedName name="SD_FINANCIAL" localSheetId="97">'Universal Life'!$B$48:$F$48</definedName>
    <definedName name="SD_FINANCIAL" localSheetId="98">Universe!$B$48:$F$48</definedName>
    <definedName name="SD_FINANCIAL" localSheetId="99">Villanova!$B$48:$F$48</definedName>
    <definedName name="TN_FINANCIAL" localSheetId="0">'AF&amp;L'!$B$49:$F$49</definedName>
    <definedName name="TN_FINANCIAL" localSheetId="1">'Alabama Life'!$B$49:$F$49</definedName>
    <definedName name="TN_FINANCIAL" localSheetId="6">'Amer Life Asr'!$B$49:$F$49</definedName>
    <definedName name="TN_FINANCIAL" localSheetId="9">'Amer Std Life Acc'!$B$49:$F$49</definedName>
    <definedName name="TN_FINANCIAL" localSheetId="2">'American Chambers'!$B$49:$F$49</definedName>
    <definedName name="TN_FINANCIAL" localSheetId="3">'American Community'!$B$49:$F$49</definedName>
    <definedName name="TN_FINANCIAL" localSheetId="4">'American Educators'!$B$49:$F$49</definedName>
    <definedName name="TN_FINANCIAL" localSheetId="5">'American Integrity'!$B$49:$F$49</definedName>
    <definedName name="TN_FINANCIAL" localSheetId="7">'American Medical'!$B$49:$F$49</definedName>
    <definedName name="TN_FINANCIAL" localSheetId="8">'American Network'!$B$49:$F$49</definedName>
    <definedName name="TN_FINANCIAL" localSheetId="10">AmerWstrn!$B$49:$F$49</definedName>
    <definedName name="TN_FINANCIAL" localSheetId="11">'AMS Life'!$B$49:$F$49</definedName>
    <definedName name="TN_FINANCIAL" localSheetId="12">'Andrew Jackson'!$B$49:$F$49</definedName>
    <definedName name="TN_FINANCIAL" localSheetId="13">'Bankers Commercial'!$B$49:$F$49</definedName>
    <definedName name="TN_FINANCIAL" localSheetId="14">'Bankers Life'!$B$49:$F$49</definedName>
    <definedName name="TN_FINANCIAL" localSheetId="15">Benicorp!$B$49:$F$49</definedName>
    <definedName name="TN_FINANCIAL" localSheetId="16">'Booker T Washington'!$B$49:$F$49</definedName>
    <definedName name="TN_FINANCIAL" localSheetId="17">Centennial!$B$49:$F$49</definedName>
    <definedName name="TN_FINANCIAL" localSheetId="19">'CO Bankers'!$B$49:$F$49</definedName>
    <definedName name="TN_FINANCIAL" localSheetId="18">'Coastal States'!$B$49:$F$49</definedName>
    <definedName name="TN_FINANCIAL" localSheetId="20">'Colorado Health'!$B$49:$F$49</definedName>
    <definedName name="TN_FINANCIAL" localSheetId="21">'Compass (dbs Meritus)'!$B$49:$F$49</definedName>
    <definedName name="TN_FINANCIAL" localSheetId="22">'Confed Life &amp; Annty (CLIAC)'!$B$49:$F$49</definedName>
    <definedName name="TN_FINANCIAL" localSheetId="23">'Confed Life (CLIC)'!$B$49:$F$49</definedName>
    <definedName name="TN_FINANCIAL" localSheetId="24">'Consolidated National'!$B$49:$F$49</definedName>
    <definedName name="TN_FINANCIAL" localSheetId="25">'Consumers Choice'!$B$49:$F$49</definedName>
    <definedName name="TN_FINANCIAL" localSheetId="26">'Consumers Mutual'!$B$49:$F$49</definedName>
    <definedName name="TN_FINANCIAL" localSheetId="27">'Consumers United'!$B$49:$F$49</definedName>
    <definedName name="TN_FINANCIAL" localSheetId="28">CoOportunity!$B$49:$F$49</definedName>
    <definedName name="TN_FINANCIAL" localSheetId="29">'Coordinated Hlth'!$B$49:$F$49</definedName>
    <definedName name="TN_FINANCIAL" localSheetId="30">'Corporate Life'!$B$49:$F$49</definedName>
    <definedName name="TN_FINANCIAL" localSheetId="31">'Diamond Benefits'!$B$49:$F$49</definedName>
    <definedName name="TN_FINANCIAL" localSheetId="32">'EBL Life'!$B$49:$F$49</definedName>
    <definedName name="TN_FINANCIAL" localSheetId="34">ELNY!$B$49:$F$49</definedName>
    <definedName name="TN_FINANCIAL" localSheetId="33">'Executive Life'!$B$49:$F$49</definedName>
    <definedName name="TN_FINANCIAL" localSheetId="35">'Family Guaranty'!$B$49:$F$49</definedName>
    <definedName name="TN_FINANCIAL" localSheetId="36">'Fidelity Bankers'!$B$49:$F$49</definedName>
    <definedName name="TN_FINANCIAL" localSheetId="37">'Fidelity Mutual'!$B$49:$F$49</definedName>
    <definedName name="TN_FINANCIAL" localSheetId="38">'First Capital'!$B$49:$F$49</definedName>
    <definedName name="TN_FINANCIAL" localSheetId="39">'First Natl'!$B$49:$F$49</definedName>
    <definedName name="TN_FINANCIAL" localSheetId="40">'First Natl (Thrnr)'!$B$49:$F$49</definedName>
    <definedName name="TN_FINANCIAL" localSheetId="41">'Franklin American'!$B$49:$F$49</definedName>
    <definedName name="TN_FINANCIAL" localSheetId="42">'Franklin Protective'!$B$49:$F$49</definedName>
    <definedName name="TN_FINANCIAL" localSheetId="43">'Freelancers CO-OP'!$B$49:$F$49</definedName>
    <definedName name="TN_FINANCIAL" localSheetId="44">Freestone!$B$49:$F$49</definedName>
    <definedName name="TN_FINANCIAL" localSheetId="45">'George Washington'!$B$49:$F$49</definedName>
    <definedName name="TN_FINANCIAL" localSheetId="46">'Golden State'!$B$49:$F$49</definedName>
    <definedName name="TN_FINANCIAL" localSheetId="47">'Guarantee Security'!$B$49:$F$49</definedName>
    <definedName name="TN_FINANCIAL" localSheetId="48">HealthyCT!$B$49:$F$49</definedName>
    <definedName name="TN_FINANCIAL" localSheetId="49">Imerica!$B$49:$F$49</definedName>
    <definedName name="TN_FINANCIAL" localSheetId="50">'Inter-American'!$B$49:$F$49</definedName>
    <definedName name="TN_FINANCIAL" localSheetId="51">'International Fin'!$B$49:$F$49</definedName>
    <definedName name="TN_FINANCIAL" localSheetId="52">'Investment Life of America'!$B$49:$F$49</definedName>
    <definedName name="TN_FINANCIAL" localSheetId="53">'Investors Equity'!$B$49:$F$49</definedName>
    <definedName name="TN_FINANCIAL" localSheetId="54">'Kentucky Central'!$B$49:$F$49</definedName>
    <definedName name="TN_FINANCIAL" localSheetId="55">'Land of Lincoln'!$B$49:$F$49</definedName>
    <definedName name="TN_FINANCIAL" localSheetId="56">Legion!$B$49:$F$49</definedName>
    <definedName name="TN_FINANCIAL" localSheetId="57">'Life Health America'!$B$49:$F$49</definedName>
    <definedName name="TN_FINANCIAL" localSheetId="58">'Lincoln Memorial'!$B$49:$F$49</definedName>
    <definedName name="TN_FINANCIAL" localSheetId="59">'London Pac'!$B$49:$F$49</definedName>
    <definedName name="TN_FINANCIAL" localSheetId="60">Lumbermens!$B$49:$F$49</definedName>
    <definedName name="TN_FINANCIAL" localSheetId="61">'Medical Savings'!$B$49:$F$49</definedName>
    <definedName name="TN_FINANCIAL" localSheetId="62">'Memorial Service'!$B$49:$F$49</definedName>
    <definedName name="TN_FINANCIAL" localSheetId="63">Midcontinent!$B$49:$F$49</definedName>
    <definedName name="TN_FINANCIAL" localSheetId="64">'Midwest Life'!$B$49:$F$49</definedName>
    <definedName name="TN_FINANCIAL" localSheetId="65">'Monarch Life'!$B$49:$F$49</definedName>
    <definedName name="TN_FINANCIAL" localSheetId="66">'Mutual Benefit'!$B$49:$F$49</definedName>
    <definedName name="TN_FINANCIAL" localSheetId="67">'Mutual Security'!$B$49:$F$49</definedName>
    <definedName name="TN_FINANCIAL" localSheetId="68">'National Affiliated'!$B$49:$F$49</definedName>
    <definedName name="TN_FINANCIAL" localSheetId="70">'National Heritage'!$B$49:$F$49</definedName>
    <definedName name="TN_FINANCIAL" localSheetId="71">'National States'!$B$49:$F$49</definedName>
    <definedName name="TN_FINANCIAL" localSheetId="69">'Natl American'!$B$49:$F$49</definedName>
    <definedName name="TN_FINANCIAL" localSheetId="72">'New Jersey Life'!$B$49:$F$49</definedName>
    <definedName name="TN_FINANCIAL" localSheetId="74">NNIC!$B$49:$F$49</definedName>
    <definedName name="TN_FINANCIAL" localSheetId="73">'North Carolina Mutual'!$B$49:$F$49</definedName>
    <definedName name="TN_FINANCIAL" localSheetId="75">'Old Colony Life'!$B$49:$F$49</definedName>
    <definedName name="TN_FINANCIAL" localSheetId="76">'Old Faithful'!$B$49:$F$49</definedName>
    <definedName name="TN_FINANCIAL" localSheetId="77">'Pacific Standard'!$B$49:$F$49</definedName>
    <definedName name="TN_FINANCIAL" localSheetId="78">'Pavonia Life'!$B$49:$F$49</definedName>
    <definedName name="TN_FINANCIAL" localSheetId="79">'Pen  Treaty'!$B$49:$F$49</definedName>
    <definedName name="TN_FINANCIAL" localSheetId="80">'Red Rock'!$B$49:$F$49</definedName>
    <definedName name="TN_FINANCIAL" localSheetId="81">Reliance!$B$49:$F$49</definedName>
    <definedName name="TN_FINANCIAL" localSheetId="82">SeeChange!$B$49:$F$49</definedName>
    <definedName name="TN_FINANCIAL" localSheetId="83">'Senior American'!$B$49:$F$49</definedName>
    <definedName name="TN_FINANCIAL" localSheetId="84">Settlers!$B$49:$F$49</definedName>
    <definedName name="TN_FINANCIAL" localSheetId="85">Shenandoah!$B$49:$F$49</definedName>
    <definedName name="TN_FINANCIAL" localSheetId="86">'Southland National Life'!$B$49:$F$49</definedName>
    <definedName name="TN_FINANCIAL" localSheetId="87">'Standard Life IN'!$B$49:$F$49</definedName>
    <definedName name="TN_FINANCIAL" localSheetId="88">'States General'!$B$49:$F$49</definedName>
    <definedName name="TN_FINANCIAL" localSheetId="89">Statesman!$B$49:$F$49</definedName>
    <definedName name="TN_FINANCIAL" localSheetId="90">'Summit National'!$B$49:$F$49</definedName>
    <definedName name="TN_FINANCIAL" localSheetId="91">Supreme!$B$49:$F$49</definedName>
    <definedName name="TN_FINANCIAL" localSheetId="92">Time!$B$49:$F$49</definedName>
    <definedName name="TN_FINANCIAL" localSheetId="106">'Total Summary'!$B$49:$F$49</definedName>
    <definedName name="TN_FINANCIAL" localSheetId="93">Underwriters!$B$49:$F$49</definedName>
    <definedName name="TN_FINANCIAL" localSheetId="94">Unison!$B$49:$F$49</definedName>
    <definedName name="TN_FINANCIAL" localSheetId="95">'United Republic'!$B$49:$F$49</definedName>
    <definedName name="TN_FINANCIAL" localSheetId="96">'Universal Health Care'!$B$49:$F$49</definedName>
    <definedName name="TN_FINANCIAL" localSheetId="97">'Universal Life'!$B$49:$F$49</definedName>
    <definedName name="TN_FINANCIAL" localSheetId="98">Universe!$B$49:$F$49</definedName>
    <definedName name="TN_FINANCIAL" localSheetId="99">Villanova!$B$49:$F$49</definedName>
    <definedName name="TOTAL" localSheetId="103">'Closed Summary'!$G$6:$G$58</definedName>
    <definedName name="TOTAL" localSheetId="104">'Estate Closed Summary'!$G$6:$G$58</definedName>
    <definedName name="TOTAL" localSheetId="102">'Open Summary'!$G$6:$G$58</definedName>
    <definedName name="TOTAL" localSheetId="101">'Pre-Liquidation Summary'!$G$6:$G$58</definedName>
    <definedName name="TOTAL" localSheetId="105">'Released from Oversight Summary'!$G$6:$G$58</definedName>
    <definedName name="TOTAL_10197" localSheetId="100">Summary!$O$58</definedName>
    <definedName name="TOTAL_12577" localSheetId="100">Summary!$O$49</definedName>
    <definedName name="TOTAL_15046" localSheetId="100">Summary!$O$40</definedName>
    <definedName name="TOTAL_15092" localSheetId="100">Summary!$O$32</definedName>
    <definedName name="TOTAL_15093" localSheetId="100">Summary!$O$34</definedName>
    <definedName name="TOTAL_15102" localSheetId="100">Summary!$O$41</definedName>
    <definedName name="TOTAL_15126" localSheetId="100">Summary!$O$31</definedName>
    <definedName name="TOTAL_15128" localSheetId="100">Summary!$O$71</definedName>
    <definedName name="TOTAL_15145" localSheetId="100">Summary!$O$33</definedName>
    <definedName name="TOTAL_15197" localSheetId="100">Summary!$O$39</definedName>
    <definedName name="TOTAL_15314" localSheetId="100">Summary!$O$35</definedName>
    <definedName name="TOTAL_18538" localSheetId="100">Summary!$O$104</definedName>
    <definedName name="TOTAL_19577" localSheetId="100">Summary!$O$114</definedName>
    <definedName name="TOTAL_22977" localSheetId="100">Summary!$O$43</definedName>
    <definedName name="TOTAL_23914" localSheetId="100">Summary!$O$45</definedName>
    <definedName name="TOTAL_24422" localSheetId="100">Summary!$O$91</definedName>
    <definedName name="TOTAL_24457" localSheetId="100">Summary!$O$46</definedName>
    <definedName name="TOTAL_32271" localSheetId="100">Summary!#REF!</definedName>
    <definedName name="TOTAL_35963" localSheetId="100">Summary!$O$30</definedName>
    <definedName name="TOTAL_60305" localSheetId="100">Summary!$O$120</definedName>
    <definedName name="TOTAL_60356" localSheetId="100">Summary!$O$57</definedName>
    <definedName name="TOTAL_60593" localSheetId="100">Summary!$O$19</definedName>
    <definedName name="TOTAL_60917" localSheetId="100">Summary!$O$62</definedName>
    <definedName name="TOTAL_60968" localSheetId="100">Summary!$O$64</definedName>
    <definedName name="TOTAL_61220" localSheetId="100">Summary!$O$65</definedName>
    <definedName name="TOTAL_61468" localSheetId="100">Summary!$O$16</definedName>
    <definedName name="TOTAL_61654" localSheetId="100">Summary!$O$67</definedName>
    <definedName name="TOTAL_61913" localSheetId="100">Summary!$O$37</definedName>
    <definedName name="TOTAL_61980" localSheetId="100">Summary!$O$68</definedName>
    <definedName name="TOTAL_62278" localSheetId="100">Summary!$O$72</definedName>
    <definedName name="TOTAL_63010" localSheetId="100">Summary!$O$36</definedName>
    <definedName name="TOTAL_63266" localSheetId="100">Summary!$O$77</definedName>
    <definedName name="TOTAL_63282" localSheetId="100">Summary!$O$21</definedName>
    <definedName name="TOTAL_63304" localSheetId="100">Summary!$O$122</definedName>
    <definedName name="TOTAL_63452" localSheetId="100">Summary!$O$61</definedName>
    <definedName name="TOTAL_63517" localSheetId="100">Summary!$O$78</definedName>
    <definedName name="TOTAL_63525" localSheetId="100">Summary!$O$38</definedName>
    <definedName name="TOTAL_63533" localSheetId="100">Summary!$O$85</definedName>
    <definedName name="TOTAL_63541" localSheetId="100">Summary!$O$105</definedName>
    <definedName name="TOTAL_63770" localSheetId="100">Summary!$O$82</definedName>
    <definedName name="TOTAL_63924" localSheetId="100">Summary!$O$83</definedName>
    <definedName name="TOTAL_64084" localSheetId="100">Summary!$O$87</definedName>
    <definedName name="TOTAL_64220" localSheetId="100">Summary!$O$126</definedName>
    <definedName name="TOTAL_64874" localSheetId="100">Summary!$O$89</definedName>
    <definedName name="TOTAL_65161" localSheetId="100">Summary!$O$101</definedName>
    <definedName name="TOTAL_65188" localSheetId="100">Summary!$O$90</definedName>
    <definedName name="TOTAL_65447" localSheetId="100">Summary!$O$123</definedName>
    <definedName name="TOTAL_66001" localSheetId="100">Summary!$O$124</definedName>
    <definedName name="TOTAL_66060" localSheetId="100">Summary!$O$94</definedName>
    <definedName name="TOTAL_66265" localSheetId="100">Summary!$O$8</definedName>
    <definedName name="TOTAL_66362" localSheetId="100">Summary!$O$95</definedName>
    <definedName name="TOTAL_66400" localSheetId="100">Summary!$O$96</definedName>
    <definedName name="TOTAL_66907" localSheetId="100">Summary!$O$100</definedName>
    <definedName name="TOTAL_67032" localSheetId="100">Summary!$O$20</definedName>
    <definedName name="TOTAL_67210" localSheetId="100">Summary!$O$86</definedName>
    <definedName name="TOTAL_67229" localSheetId="100">Summary!$O$102</definedName>
    <definedName name="TOTAL_68055" localSheetId="100">Summary!$O$111</definedName>
    <definedName name="TOTAL_68489" localSheetId="100">Summary!$O$79</definedName>
    <definedName name="TOTAL_68845" localSheetId="100">Summary!$O$127</definedName>
    <definedName name="TOTAL_68934" localSheetId="100">Summary!$O$92</definedName>
    <definedName name="TOTAL_69051" localSheetId="100">Summary!$O$47</definedName>
    <definedName name="TOTAL_69175" localSheetId="100">Summary!$O$106</definedName>
    <definedName name="TOTAL_69183" localSheetId="100">Summary!$O$107</definedName>
    <definedName name="TOTAL_69221" localSheetId="100">Summary!$O$98</definedName>
    <definedName name="TOTAL_69302" localSheetId="100">Summary!$O$109</definedName>
    <definedName name="TOTAL_69370" localSheetId="100">Summary!$O$97</definedName>
    <definedName name="TOTAL_69477" localSheetId="100">Summary!$O$48</definedName>
    <definedName name="TOTAL_69752" localSheetId="100">Summary!$O$66</definedName>
    <definedName name="TOTAL_69833" localSheetId="100">Summary!$O$42</definedName>
    <definedName name="TOTAL_70157" localSheetId="100">Summary!$O$24</definedName>
    <definedName name="TOTAL_70181" localSheetId="100">Summary!$O$113</definedName>
    <definedName name="TOTAL_71080" localSheetId="100">Summary!$O$108</definedName>
    <definedName name="TOTAL_71382" localSheetId="100">Summary!$O$70</definedName>
    <definedName name="TOTAL_72842" localSheetId="100">Summary!$O$103</definedName>
    <definedName name="TOTAL_74217A" localSheetId="100">Summary!$O$93</definedName>
    <definedName name="TOTAL_74705" localSheetId="100">Summary!$O$73</definedName>
    <definedName name="TOTAL_74926" localSheetId="100">Summary!$O$44</definedName>
    <definedName name="TOTAL_74969" localSheetId="100">Summary!$O$74</definedName>
    <definedName name="TOTAL_75302" localSheetId="100">Summary!$O$76</definedName>
    <definedName name="TOTAL_75914" localSheetId="100">Summary!$O$56</definedName>
    <definedName name="TOTAL_76015" localSheetId="100">Summary!$O$88</definedName>
    <definedName name="TOTAL_76759" localSheetId="100">Summary!$O$22</definedName>
    <definedName name="TOTAL_77887" localSheetId="100">Summary!$O$18</definedName>
    <definedName name="TOTAL_79057" localSheetId="100">Summary!$O$23</definedName>
    <definedName name="TOTAL_80667" localSheetId="100">Summary!$O$69</definedName>
    <definedName name="TOTAL_81043" localSheetId="100">Summary!$O$15</definedName>
    <definedName name="TOTAL_81078" localSheetId="100">Summary!$O$14</definedName>
    <definedName name="TOTAL_81418" localSheetId="100">Summary!$O$60</definedName>
    <definedName name="TOTAL_84271" localSheetId="100">Summary!$O$84</definedName>
    <definedName name="TOTAL_84786" localSheetId="100">Summary!$O$17</definedName>
    <definedName name="TOTAL_86142" localSheetId="100">Summary!$O$63</definedName>
    <definedName name="TOTAL_87033" localSheetId="100">Summary!$O$75</definedName>
    <definedName name="TOTAL_88161" localSheetId="100">Summary!$O$59</definedName>
    <definedName name="TOTAL_88188" localSheetId="100">Summary!$O$110</definedName>
    <definedName name="TOTAL_93238" localSheetId="100">Summary!$O$112</definedName>
    <definedName name="TOTAL_93777" localSheetId="100">Summary!$O$125</definedName>
    <definedName name="TOTAL_97284" localSheetId="100">Summary!$O$99</definedName>
    <definedName name="TOTAL_98655" localSheetId="100">Summary!$O$80</definedName>
    <definedName name="TOTAL_98825" localSheetId="100">Summary!$O$55</definedName>
    <definedName name="TOTAL_99384" localSheetId="100">Summary!$O$121</definedName>
    <definedName name="TOTAL_CROSSCHECK" localSheetId="103">'Closed Summary'!$H$6:$H$58</definedName>
    <definedName name="TOTAL_CROSSCHECK" localSheetId="104">'Estate Closed Summary'!$H$6:$H$58</definedName>
    <definedName name="TOTAL_CROSSCHECK" localSheetId="102">'Open Summary'!$H$6:$H$58</definedName>
    <definedName name="TOTAL_CROSSCHECK" localSheetId="101">'Pre-Liquidation Summary'!$H$6:$H$58</definedName>
    <definedName name="TOTAL_CROSSCHECK" localSheetId="105">'Released from Oversight Summary'!$H$6:$H$58</definedName>
    <definedName name="TX_FINANCIAL" localSheetId="0">'AF&amp;L'!$B$50:$F$50</definedName>
    <definedName name="TX_FINANCIAL" localSheetId="1">'Alabama Life'!$B$50:$F$50</definedName>
    <definedName name="TX_FINANCIAL" localSheetId="6">'Amer Life Asr'!$B$50:$F$50</definedName>
    <definedName name="TX_FINANCIAL" localSheetId="9">'Amer Std Life Acc'!$B$50:$F$50</definedName>
    <definedName name="TX_FINANCIAL" localSheetId="2">'American Chambers'!$B$50:$F$50</definedName>
    <definedName name="TX_FINANCIAL" localSheetId="3">'American Community'!$B$50:$F$50</definedName>
    <definedName name="TX_FINANCIAL" localSheetId="4">'American Educators'!$B$50:$F$50</definedName>
    <definedName name="TX_FINANCIAL" localSheetId="5">'American Integrity'!$B$50:$F$50</definedName>
    <definedName name="TX_FINANCIAL" localSheetId="7">'American Medical'!$B$50:$F$50</definedName>
    <definedName name="TX_FINANCIAL" localSheetId="8">'American Network'!$B$50:$F$50</definedName>
    <definedName name="TX_FINANCIAL" localSheetId="10">AmerWstrn!$B$50:$F$50</definedName>
    <definedName name="TX_FINANCIAL" localSheetId="11">'AMS Life'!$B$50:$F$50</definedName>
    <definedName name="TX_FINANCIAL" localSheetId="12">'Andrew Jackson'!$B$50:$F$50</definedName>
    <definedName name="TX_FINANCIAL" localSheetId="13">'Bankers Commercial'!$B$50:$F$50</definedName>
    <definedName name="TX_FINANCIAL" localSheetId="14">'Bankers Life'!$B$50:$F$50</definedName>
    <definedName name="TX_FINANCIAL" localSheetId="15">Benicorp!$B$50:$F$50</definedName>
    <definedName name="TX_FINANCIAL" localSheetId="16">'Booker T Washington'!$B$50:$F$50</definedName>
    <definedName name="TX_FINANCIAL" localSheetId="17">Centennial!$B$50:$F$50</definedName>
    <definedName name="TX_FINANCIAL" localSheetId="19">'CO Bankers'!$B$50:$F$50</definedName>
    <definedName name="TX_FINANCIAL" localSheetId="18">'Coastal States'!$B$50:$F$50</definedName>
    <definedName name="TX_FINANCIAL" localSheetId="20">'Colorado Health'!$B$50:$F$50</definedName>
    <definedName name="TX_FINANCIAL" localSheetId="21">'Compass (dbs Meritus)'!$B$50:$F$50</definedName>
    <definedName name="TX_FINANCIAL" localSheetId="22">'Confed Life &amp; Annty (CLIAC)'!$B$50:$F$50</definedName>
    <definedName name="TX_FINANCIAL" localSheetId="23">'Confed Life (CLIC)'!$B$50:$F$50</definedName>
    <definedName name="TX_FINANCIAL" localSheetId="24">'Consolidated National'!$B$50:$F$50</definedName>
    <definedName name="TX_FINANCIAL" localSheetId="25">'Consumers Choice'!$B$50:$F$50</definedName>
    <definedName name="TX_FINANCIAL" localSheetId="26">'Consumers Mutual'!$B$50:$F$50</definedName>
    <definedName name="TX_FINANCIAL" localSheetId="27">'Consumers United'!$B$50:$F$50</definedName>
    <definedName name="TX_FINANCIAL" localSheetId="28">CoOportunity!$B$50:$F$50</definedName>
    <definedName name="TX_FINANCIAL" localSheetId="29">'Coordinated Hlth'!$B$50:$F$50</definedName>
    <definedName name="TX_FINANCIAL" localSheetId="30">'Corporate Life'!$B$50:$F$50</definedName>
    <definedName name="TX_FINANCIAL" localSheetId="31">'Diamond Benefits'!$B$50:$F$50</definedName>
    <definedName name="TX_FINANCIAL" localSheetId="32">'EBL Life'!$B$50:$F$50</definedName>
    <definedName name="TX_FINANCIAL" localSheetId="34">ELNY!$B$50:$F$50</definedName>
    <definedName name="TX_FINANCIAL" localSheetId="33">'Executive Life'!$B$50:$F$50</definedName>
    <definedName name="TX_FINANCIAL" localSheetId="35">'Family Guaranty'!$B$50:$F$50</definedName>
    <definedName name="TX_FINANCIAL" localSheetId="36">'Fidelity Bankers'!$B$50:$F$50</definedName>
    <definedName name="TX_FINANCIAL" localSheetId="37">'Fidelity Mutual'!$B$50:$F$50</definedName>
    <definedName name="TX_FINANCIAL" localSheetId="38">'First Capital'!$B$50:$F$50</definedName>
    <definedName name="TX_FINANCIAL" localSheetId="39">'First Natl'!$B$50:$F$50</definedName>
    <definedName name="TX_FINANCIAL" localSheetId="40">'First Natl (Thrnr)'!$B$50:$F$50</definedName>
    <definedName name="TX_FINANCIAL" localSheetId="41">'Franklin American'!$B$50:$F$50</definedName>
    <definedName name="TX_FINANCIAL" localSheetId="42">'Franklin Protective'!$B$50:$F$50</definedName>
    <definedName name="TX_FINANCIAL" localSheetId="43">'Freelancers CO-OP'!$B$50:$F$50</definedName>
    <definedName name="TX_FINANCIAL" localSheetId="44">Freestone!$B$50:$F$50</definedName>
    <definedName name="TX_FINANCIAL" localSheetId="45">'George Washington'!$B$50:$F$50</definedName>
    <definedName name="TX_FINANCIAL" localSheetId="46">'Golden State'!$B$50:$F$50</definedName>
    <definedName name="TX_FINANCIAL" localSheetId="47">'Guarantee Security'!$B$50:$F$50</definedName>
    <definedName name="TX_FINANCIAL" localSheetId="48">HealthyCT!$B$50:$F$50</definedName>
    <definedName name="TX_FINANCIAL" localSheetId="49">Imerica!$B$50:$F$50</definedName>
    <definedName name="TX_FINANCIAL" localSheetId="50">'Inter-American'!$B$50:$F$50</definedName>
    <definedName name="TX_FINANCIAL" localSheetId="51">'International Fin'!$B$50:$F$50</definedName>
    <definedName name="TX_FINANCIAL" localSheetId="52">'Investment Life of America'!$B$50:$F$50</definedName>
    <definedName name="TX_FINANCIAL" localSheetId="53">'Investors Equity'!$B$50:$F$50</definedName>
    <definedName name="TX_FINANCIAL" localSheetId="54">'Kentucky Central'!$B$50:$F$50</definedName>
    <definedName name="TX_FINANCIAL" localSheetId="55">'Land of Lincoln'!$B$50:$F$50</definedName>
    <definedName name="TX_FINANCIAL" localSheetId="56">Legion!$B$50:$F$50</definedName>
    <definedName name="TX_FINANCIAL" localSheetId="57">'Life Health America'!$B$50:$F$50</definedName>
    <definedName name="TX_FINANCIAL" localSheetId="58">'Lincoln Memorial'!$B$50:$F$50</definedName>
    <definedName name="TX_FINANCIAL" localSheetId="59">'London Pac'!$B$50:$F$50</definedName>
    <definedName name="TX_FINANCIAL" localSheetId="60">Lumbermens!$B$50:$F$50</definedName>
    <definedName name="TX_FINANCIAL" localSheetId="61">'Medical Savings'!$B$50:$F$50</definedName>
    <definedName name="TX_FINANCIAL" localSheetId="62">'Memorial Service'!$B$50:$F$50</definedName>
    <definedName name="TX_FINANCIAL" localSheetId="63">Midcontinent!$B$50:$F$50</definedName>
    <definedName name="TX_FINANCIAL" localSheetId="64">'Midwest Life'!$B$50:$F$50</definedName>
    <definedName name="TX_FINANCIAL" localSheetId="65">'Monarch Life'!$B$50:$F$50</definedName>
    <definedName name="TX_FINANCIAL" localSheetId="66">'Mutual Benefit'!$B$50:$F$50</definedName>
    <definedName name="TX_FINANCIAL" localSheetId="67">'Mutual Security'!$B$50:$F$50</definedName>
    <definedName name="TX_FINANCIAL" localSheetId="68">'National Affiliated'!$B$50:$F$50</definedName>
    <definedName name="TX_FINANCIAL" localSheetId="70">'National Heritage'!$B$50:$F$50</definedName>
    <definedName name="TX_FINANCIAL" localSheetId="71">'National States'!$B$50:$F$50</definedName>
    <definedName name="TX_FINANCIAL" localSheetId="69">'Natl American'!$B$50:$F$50</definedName>
    <definedName name="TX_FINANCIAL" localSheetId="72">'New Jersey Life'!$B$50:$F$50</definedName>
    <definedName name="TX_FINANCIAL" localSheetId="74">NNIC!$B$50:$F$50</definedName>
    <definedName name="TX_FINANCIAL" localSheetId="73">'North Carolina Mutual'!$B$50:$F$50</definedName>
    <definedName name="TX_FINANCIAL" localSheetId="75">'Old Colony Life'!$B$50:$F$50</definedName>
    <definedName name="TX_FINANCIAL" localSheetId="76">'Old Faithful'!$B$50:$F$50</definedName>
    <definedName name="TX_FINANCIAL" localSheetId="77">'Pacific Standard'!$B$50:$F$50</definedName>
    <definedName name="TX_FINANCIAL" localSheetId="78">'Pavonia Life'!$B$50:$F$50</definedName>
    <definedName name="TX_FINANCIAL" localSheetId="79">'Pen  Treaty'!$B$50:$F$50</definedName>
    <definedName name="TX_FINANCIAL" localSheetId="80">'Red Rock'!$B$50:$F$50</definedName>
    <definedName name="TX_FINANCIAL" localSheetId="81">Reliance!$B$50:$F$50</definedName>
    <definedName name="TX_FINANCIAL" localSheetId="82">SeeChange!$B$50:$F$50</definedName>
    <definedName name="TX_FINANCIAL" localSheetId="83">'Senior American'!$B$50:$F$50</definedName>
    <definedName name="TX_FINANCIAL" localSheetId="84">Settlers!$B$50:$F$50</definedName>
    <definedName name="TX_FINANCIAL" localSheetId="85">Shenandoah!$B$50:$F$50</definedName>
    <definedName name="TX_FINANCIAL" localSheetId="86">'Southland National Life'!$B$50:$F$50</definedName>
    <definedName name="TX_FINANCIAL" localSheetId="87">'Standard Life IN'!$B$50:$F$50</definedName>
    <definedName name="TX_FINANCIAL" localSheetId="88">'States General'!$B$50:$F$50</definedName>
    <definedName name="TX_FINANCIAL" localSheetId="89">Statesman!$B$50:$F$50</definedName>
    <definedName name="TX_FINANCIAL" localSheetId="90">'Summit National'!$B$50:$F$50</definedName>
    <definedName name="TX_FINANCIAL" localSheetId="91">Supreme!$B$50:$F$50</definedName>
    <definedName name="TX_FINANCIAL" localSheetId="92">Time!$B$50:$F$50</definedName>
    <definedName name="TX_FINANCIAL" localSheetId="106">'Total Summary'!$B$50:$F$50</definedName>
    <definedName name="TX_FINANCIAL" localSheetId="93">Underwriters!$B$50:$F$50</definedName>
    <definedName name="TX_FINANCIAL" localSheetId="94">Unison!$B$50:$F$50</definedName>
    <definedName name="TX_FINANCIAL" localSheetId="95">'United Republic'!$B$50:$F$50</definedName>
    <definedName name="TX_FINANCIAL" localSheetId="96">'Universal Health Care'!$B$50:$F$50</definedName>
    <definedName name="TX_FINANCIAL" localSheetId="97">'Universal Life'!$B$50:$F$50</definedName>
    <definedName name="TX_FINANCIAL" localSheetId="98">Universe!$B$50:$F$50</definedName>
    <definedName name="TX_FINANCIAL" localSheetId="99">Villanova!$B$50:$F$50</definedName>
    <definedName name="UNALLOC_CALLED" localSheetId="0">'AF&amp;L'!$U$6:$U$58</definedName>
    <definedName name="UNALLOC_CALLED" localSheetId="1">'Alabama Life'!$U$6:$U$58</definedName>
    <definedName name="UNALLOC_CALLED" localSheetId="6">'Amer Life Asr'!$U$6:$U$58</definedName>
    <definedName name="UNALLOC_CALLED" localSheetId="9">'Amer Std Life Acc'!$U$6:$U$58</definedName>
    <definedName name="UNALLOC_CALLED" localSheetId="2">'American Chambers'!$U$6:$U$58</definedName>
    <definedName name="UNALLOC_CALLED" localSheetId="3">'American Community'!$U$6:$U$58</definedName>
    <definedName name="UNALLOC_CALLED" localSheetId="4">'American Educators'!$U$6:$U$58</definedName>
    <definedName name="UNALLOC_CALLED" localSheetId="5">'American Integrity'!$U$6:$U$58</definedName>
    <definedName name="UNALLOC_CALLED" localSheetId="7">'American Medical'!$U$6:$U$58</definedName>
    <definedName name="UNALLOC_CALLED" localSheetId="8">'American Network'!$U$6:$U$58</definedName>
    <definedName name="UNALLOC_CALLED" localSheetId="10">AmerWstrn!$U$6:$U$58</definedName>
    <definedName name="UNALLOC_CALLED" localSheetId="11">'AMS Life'!$U$6:$U$58</definedName>
    <definedName name="UNALLOC_CALLED" localSheetId="12">'Andrew Jackson'!$U$6:$U$58</definedName>
    <definedName name="UNALLOC_CALLED" localSheetId="13">'Bankers Commercial'!$U$6:$U$58</definedName>
    <definedName name="UNALLOC_CALLED" localSheetId="14">'Bankers Life'!$U$6:$U$58</definedName>
    <definedName name="UNALLOC_CALLED" localSheetId="15">Benicorp!$U$6:$U$58</definedName>
    <definedName name="UNALLOC_CALLED" localSheetId="16">'Booker T Washington'!$U$6:$U$58</definedName>
    <definedName name="UNALLOC_CALLED" localSheetId="17">Centennial!$U$6:$U$58</definedName>
    <definedName name="UNALLOC_CALLED" localSheetId="19">'CO Bankers'!$U$6:$U$58</definedName>
    <definedName name="UNALLOC_CALLED" localSheetId="18">'Coastal States'!$U$6:$U$58</definedName>
    <definedName name="UNALLOC_CALLED" localSheetId="20">'Colorado Health'!$U$6:$U$58</definedName>
    <definedName name="UNALLOC_CALLED" localSheetId="21">'Compass (dbs Meritus)'!$U$6:$U$58</definedName>
    <definedName name="UNALLOC_CALLED" localSheetId="22">'Confed Life &amp; Annty (CLIAC)'!$U$6:$U$58</definedName>
    <definedName name="UNALLOC_CALLED" localSheetId="23">'Confed Life (CLIC)'!$U$6:$U$58</definedName>
    <definedName name="UNALLOC_CALLED" localSheetId="24">'Consolidated National'!$U$6:$U$58</definedName>
    <definedName name="UNALLOC_CALLED" localSheetId="25">'Consumers Choice'!$U$6:$U$58</definedName>
    <definedName name="UNALLOC_CALLED" localSheetId="26">'Consumers Mutual'!$U$6:$U$58</definedName>
    <definedName name="UNALLOC_CALLED" localSheetId="27">'Consumers United'!$U$6:$U$58</definedName>
    <definedName name="UNALLOC_CALLED" localSheetId="28">CoOportunity!$U$6:$U$58</definedName>
    <definedName name="UNALLOC_CALLED" localSheetId="29">'Coordinated Hlth'!$U$6:$U$58</definedName>
    <definedName name="UNALLOC_CALLED" localSheetId="30">'Corporate Life'!$U$6:$U$58</definedName>
    <definedName name="UNALLOC_CALLED" localSheetId="31">'Diamond Benefits'!$U$6:$U$58</definedName>
    <definedName name="UNALLOC_CALLED" localSheetId="32">'EBL Life'!$U$6:$U$58</definedName>
    <definedName name="UNALLOC_CALLED" localSheetId="34">ELNY!$U$6:$U$58</definedName>
    <definedName name="UNALLOC_CALLED" localSheetId="33">'Executive Life'!$U$6:$U$58</definedName>
    <definedName name="UNALLOC_CALLED" localSheetId="35">'Family Guaranty'!$U$6:$U$58</definedName>
    <definedName name="UNALLOC_CALLED" localSheetId="36">'Fidelity Bankers'!$U$6:$U$58</definedName>
    <definedName name="UNALLOC_CALLED" localSheetId="37">'Fidelity Mutual'!$U$6:$U$58</definedName>
    <definedName name="UNALLOC_CALLED" localSheetId="38">'First Capital'!$U$6:$U$58</definedName>
    <definedName name="UNALLOC_CALLED" localSheetId="39">'First Natl'!$U$6:$U$58</definedName>
    <definedName name="UNALLOC_CALLED" localSheetId="40">'First Natl (Thrnr)'!$U$6:$U$58</definedName>
    <definedName name="UNALLOC_CALLED" localSheetId="41">'Franklin American'!$U$6:$U$58</definedName>
    <definedName name="UNALLOC_CALLED" localSheetId="42">'Franklin Protective'!$U$6:$U$58</definedName>
    <definedName name="UNALLOC_CALLED" localSheetId="43">'Freelancers CO-OP'!$U$6:$U$58</definedName>
    <definedName name="UNALLOC_CALLED" localSheetId="44">Freestone!$U$6:$U$58</definedName>
    <definedName name="UNALLOC_CALLED" localSheetId="45">'George Washington'!$U$6:$U$58</definedName>
    <definedName name="UNALLOC_CALLED" localSheetId="46">'Golden State'!$U$6:$U$58</definedName>
    <definedName name="UNALLOC_CALLED" localSheetId="47">'Guarantee Security'!$U$6:$U$58</definedName>
    <definedName name="UNALLOC_CALLED" localSheetId="48">HealthyCT!$U$6:$U$58</definedName>
    <definedName name="UNALLOC_CALLED" localSheetId="49">Imerica!$U$6:$U$58</definedName>
    <definedName name="UNALLOC_CALLED" localSheetId="50">'Inter-American'!$U$6:$U$58</definedName>
    <definedName name="UNALLOC_CALLED" localSheetId="51">'International Fin'!$U$6:$U$58</definedName>
    <definedName name="UNALLOC_CALLED" localSheetId="52">'Investment Life of America'!$U$6:$U$58</definedName>
    <definedName name="UNALLOC_CALLED" localSheetId="53">'Investors Equity'!$U$6:$U$58</definedName>
    <definedName name="UNALLOC_CALLED" localSheetId="54">'Kentucky Central'!$U$6:$U$58</definedName>
    <definedName name="UNALLOC_CALLED" localSheetId="55">'Land of Lincoln'!$U$6:$U$58</definedName>
    <definedName name="UNALLOC_CALLED" localSheetId="56">Legion!$U$6:$U$58</definedName>
    <definedName name="UNALLOC_CALLED" localSheetId="57">'Life Health America'!$U$6:$U$58</definedName>
    <definedName name="UNALLOC_CALLED" localSheetId="58">'Lincoln Memorial'!$U$6:$U$58</definedName>
    <definedName name="UNALLOC_CALLED" localSheetId="59">'London Pac'!$U$6:$U$58</definedName>
    <definedName name="UNALLOC_CALLED" localSheetId="60">Lumbermens!$U$6:$U$58</definedName>
    <definedName name="UNALLOC_CALLED" localSheetId="61">'Medical Savings'!$U$6:$U$58</definedName>
    <definedName name="UNALLOC_CALLED" localSheetId="62">'Memorial Service'!$U$6:$U$58</definedName>
    <definedName name="UNALLOC_CALLED" localSheetId="63">Midcontinent!$U$6:$U$58</definedName>
    <definedName name="UNALLOC_CALLED" localSheetId="64">'Midwest Life'!$U$6:$U$58</definedName>
    <definedName name="UNALLOC_CALLED" localSheetId="65">'Monarch Life'!$U$6:$U$58</definedName>
    <definedName name="UNALLOC_CALLED" localSheetId="66">'Mutual Benefit'!$U$6:$U$58</definedName>
    <definedName name="UNALLOC_CALLED" localSheetId="67">'Mutual Security'!$U$6:$U$58</definedName>
    <definedName name="UNALLOC_CALLED" localSheetId="68">'National Affiliated'!$U$6:$U$58</definedName>
    <definedName name="UNALLOC_CALLED" localSheetId="70">'National Heritage'!$U$6:$U$58</definedName>
    <definedName name="UNALLOC_CALLED" localSheetId="71">'National States'!$U$6:$U$58</definedName>
    <definedName name="UNALLOC_CALLED" localSheetId="69">'Natl American'!$U$6:$U$58</definedName>
    <definedName name="UNALLOC_CALLED" localSheetId="72">'New Jersey Life'!$U$6:$U$58</definedName>
    <definedName name="UNALLOC_CALLED" localSheetId="74">NNIC!$U$6:$U$58</definedName>
    <definedName name="UNALLOC_CALLED" localSheetId="73">'North Carolina Mutual'!$U$6:$U$58</definedName>
    <definedName name="UNALLOC_CALLED" localSheetId="75">'Old Colony Life'!$U$6:$U$58</definedName>
    <definedName name="UNALLOC_CALLED" localSheetId="76">'Old Faithful'!$U$6:$U$58</definedName>
    <definedName name="UNALLOC_CALLED" localSheetId="77">'Pacific Standard'!$U$6:$U$58</definedName>
    <definedName name="UNALLOC_CALLED" localSheetId="78">'Pavonia Life'!$U$6:$U$58</definedName>
    <definedName name="UNALLOC_CALLED" localSheetId="79">'Pen  Treaty'!$U$6:$U$58</definedName>
    <definedName name="UNALLOC_CALLED" localSheetId="80">'Red Rock'!$U$6:$U$58</definedName>
    <definedName name="UNALLOC_CALLED" localSheetId="81">Reliance!$U$6:$U$58</definedName>
    <definedName name="UNALLOC_CALLED" localSheetId="82">SeeChange!$U$6:$U$58</definedName>
    <definedName name="UNALLOC_CALLED" localSheetId="83">'Senior American'!$U$6:$U$58</definedName>
    <definedName name="UNALLOC_CALLED" localSheetId="84">Settlers!$U$6:$U$58</definedName>
    <definedName name="UNALLOC_CALLED" localSheetId="85">Shenandoah!$U$6:$U$58</definedName>
    <definedName name="UNALLOC_CALLED" localSheetId="86">'Southland National Life'!$U$6:$U$58</definedName>
    <definedName name="UNALLOC_CALLED" localSheetId="87">'Standard Life IN'!$U$6:$U$58</definedName>
    <definedName name="UNALLOC_CALLED" localSheetId="88">'States General'!$U$6:$U$58</definedName>
    <definedName name="UNALLOC_CALLED" localSheetId="89">Statesman!$U$6:$U$58</definedName>
    <definedName name="UNALLOC_CALLED" localSheetId="90">'Summit National'!$U$6:$U$58</definedName>
    <definedName name="UNALLOC_CALLED" localSheetId="91">Supreme!$U$6:$U$58</definedName>
    <definedName name="UNALLOC_CALLED" localSheetId="92">Time!$U$6:$U$58</definedName>
    <definedName name="UNALLOC_CALLED" localSheetId="106">'Total Summary'!$R$6:$R$59</definedName>
    <definedName name="UNALLOC_CALLED" localSheetId="93">Underwriters!$U$6:$U$58</definedName>
    <definedName name="UNALLOC_CALLED" localSheetId="94">Unison!$U$6:$U$58</definedName>
    <definedName name="UNALLOC_CALLED" localSheetId="95">'United Republic'!$U$6:$U$58</definedName>
    <definedName name="UNALLOC_CALLED" localSheetId="96">'Universal Health Care'!$U$6:$U$58</definedName>
    <definedName name="UNALLOC_CALLED" localSheetId="97">'Universal Life'!$U$6:$U$58</definedName>
    <definedName name="UNALLOC_CALLED" localSheetId="98">Universe!$U$6:$U$58</definedName>
    <definedName name="UNALLOC_CALLED" localSheetId="99">Villanova!$U$6:$U$58</definedName>
    <definedName name="UNALLOC_REFUNDED" localSheetId="0">'AF&amp;L'!$V$6:$V$58</definedName>
    <definedName name="UNALLOC_REFUNDED" localSheetId="1">'Alabama Life'!$V$6:$V$58</definedName>
    <definedName name="UNALLOC_REFUNDED" localSheetId="6">'Amer Life Asr'!$V$6:$V$58</definedName>
    <definedName name="UNALLOC_REFUNDED" localSheetId="9">'Amer Std Life Acc'!$V$6:$V$58</definedName>
    <definedName name="UNALLOC_REFUNDED" localSheetId="2">'American Chambers'!$V$6:$V$58</definedName>
    <definedName name="UNALLOC_REFUNDED" localSheetId="3">'American Community'!$V$6:$V$58</definedName>
    <definedName name="UNALLOC_REFUNDED" localSheetId="4">'American Educators'!$V$6:$V$58</definedName>
    <definedName name="UNALLOC_REFUNDED" localSheetId="5">'American Integrity'!$V$6:$V$58</definedName>
    <definedName name="UNALLOC_REFUNDED" localSheetId="7">'American Medical'!$V$6:$V$58</definedName>
    <definedName name="UNALLOC_REFUNDED" localSheetId="8">'American Network'!$V$6:$V$58</definedName>
    <definedName name="UNALLOC_REFUNDED" localSheetId="10">AmerWstrn!$V$6:$V$58</definedName>
    <definedName name="UNALLOC_REFUNDED" localSheetId="11">'AMS Life'!$V$6:$V$58</definedName>
    <definedName name="UNALLOC_REFUNDED" localSheetId="12">'Andrew Jackson'!$V$6:$V$58</definedName>
    <definedName name="UNALLOC_REFUNDED" localSheetId="13">'Bankers Commercial'!$V$6:$V$58</definedName>
    <definedName name="UNALLOC_REFUNDED" localSheetId="14">'Bankers Life'!$V$6:$V$58</definedName>
    <definedName name="UNALLOC_REFUNDED" localSheetId="15">Benicorp!$V$6:$V$58</definedName>
    <definedName name="UNALLOC_REFUNDED" localSheetId="16">'Booker T Washington'!$V$6:$V$58</definedName>
    <definedName name="UNALLOC_REFUNDED" localSheetId="17">Centennial!$V$6:$V$58</definedName>
    <definedName name="UNALLOC_REFUNDED" localSheetId="19">'CO Bankers'!$V$6:$V$58</definedName>
    <definedName name="UNALLOC_REFUNDED" localSheetId="18">'Coastal States'!$V$6:$V$58</definedName>
    <definedName name="UNALLOC_REFUNDED" localSheetId="20">'Colorado Health'!$V$6:$V$58</definedName>
    <definedName name="UNALLOC_REFUNDED" localSheetId="21">'Compass (dbs Meritus)'!$V$6:$V$58</definedName>
    <definedName name="UNALLOC_REFUNDED" localSheetId="22">'Confed Life &amp; Annty (CLIAC)'!$V$6:$V$58</definedName>
    <definedName name="UNALLOC_REFUNDED" localSheetId="23">'Confed Life (CLIC)'!$V$6:$V$58</definedName>
    <definedName name="UNALLOC_REFUNDED" localSheetId="24">'Consolidated National'!$V$6:$V$58</definedName>
    <definedName name="UNALLOC_REFUNDED" localSheetId="25">'Consumers Choice'!$V$6:$V$58</definedName>
    <definedName name="UNALLOC_REFUNDED" localSheetId="26">'Consumers Mutual'!$V$6:$V$58</definedName>
    <definedName name="UNALLOC_REFUNDED" localSheetId="27">'Consumers United'!$V$6:$V$58</definedName>
    <definedName name="UNALLOC_REFUNDED" localSheetId="28">CoOportunity!$V$6:$V$58</definedName>
    <definedName name="UNALLOC_REFUNDED" localSheetId="29">'Coordinated Hlth'!$V$6:$V$58</definedName>
    <definedName name="UNALLOC_REFUNDED" localSheetId="30">'Corporate Life'!$V$6:$V$58</definedName>
    <definedName name="UNALLOC_REFUNDED" localSheetId="31">'Diamond Benefits'!$V$6:$V$58</definedName>
    <definedName name="UNALLOC_REFUNDED" localSheetId="32">'EBL Life'!$V$6:$V$58</definedName>
    <definedName name="UNALLOC_REFUNDED" localSheetId="34">ELNY!$V$6:$V$58</definedName>
    <definedName name="UNALLOC_REFUNDED" localSheetId="33">'Executive Life'!$V$6:$V$58</definedName>
    <definedName name="UNALLOC_REFUNDED" localSheetId="35">'Family Guaranty'!$V$6:$V$58</definedName>
    <definedName name="UNALLOC_REFUNDED" localSheetId="36">'Fidelity Bankers'!$V$6:$V$58</definedName>
    <definedName name="UNALLOC_REFUNDED" localSheetId="37">'Fidelity Mutual'!$V$6:$V$58</definedName>
    <definedName name="UNALLOC_REFUNDED" localSheetId="38">'First Capital'!$V$6:$V$58</definedName>
    <definedName name="UNALLOC_REFUNDED" localSheetId="39">'First Natl'!$V$6:$V$58</definedName>
    <definedName name="UNALLOC_REFUNDED" localSheetId="40">'First Natl (Thrnr)'!$V$6:$V$58</definedName>
    <definedName name="UNALLOC_REFUNDED" localSheetId="41">'Franklin American'!$V$6:$V$58</definedName>
    <definedName name="UNALLOC_REFUNDED" localSheetId="42">'Franklin Protective'!$V$6:$V$58</definedName>
    <definedName name="UNALLOC_REFUNDED" localSheetId="43">'Freelancers CO-OP'!$V$6:$V$58</definedName>
    <definedName name="UNALLOC_REFUNDED" localSheetId="44">Freestone!$V$6:$V$58</definedName>
    <definedName name="UNALLOC_REFUNDED" localSheetId="45">'George Washington'!$V$6:$V$58</definedName>
    <definedName name="UNALLOC_REFUNDED" localSheetId="46">'Golden State'!$V$6:$V$58</definedName>
    <definedName name="UNALLOC_REFUNDED" localSheetId="47">'Guarantee Security'!$V$6:$V$58</definedName>
    <definedName name="UNALLOC_REFUNDED" localSheetId="48">HealthyCT!$V$6:$V$58</definedName>
    <definedName name="UNALLOC_REFUNDED" localSheetId="49">Imerica!$V$6:$V$58</definedName>
    <definedName name="UNALLOC_REFUNDED" localSheetId="50">'Inter-American'!$V$6:$V$58</definedName>
    <definedName name="UNALLOC_REFUNDED" localSheetId="51">'International Fin'!$V$6:$V$58</definedName>
    <definedName name="UNALLOC_REFUNDED" localSheetId="52">'Investment Life of America'!$V$6:$V$58</definedName>
    <definedName name="UNALLOC_REFUNDED" localSheetId="53">'Investors Equity'!$V$6:$V$58</definedName>
    <definedName name="UNALLOC_REFUNDED" localSheetId="54">'Kentucky Central'!$V$6:$V$58</definedName>
    <definedName name="UNALLOC_REFUNDED" localSheetId="55">'Land of Lincoln'!$V$6:$V$58</definedName>
    <definedName name="UNALLOC_REFUNDED" localSheetId="56">Legion!$V$6:$V$58</definedName>
    <definedName name="UNALLOC_REFUNDED" localSheetId="57">'Life Health America'!$V$6:$V$58</definedName>
    <definedName name="UNALLOC_REFUNDED" localSheetId="58">'Lincoln Memorial'!$V$6:$V$58</definedName>
    <definedName name="UNALLOC_REFUNDED" localSheetId="59">'London Pac'!$V$6:$V$58</definedName>
    <definedName name="UNALLOC_REFUNDED" localSheetId="60">Lumbermens!$V$6:$V$58</definedName>
    <definedName name="UNALLOC_REFUNDED" localSheetId="61">'Medical Savings'!$V$6:$V$58</definedName>
    <definedName name="UNALLOC_REFUNDED" localSheetId="62">'Memorial Service'!$V$6:$V$58</definedName>
    <definedName name="UNALLOC_REFUNDED" localSheetId="63">Midcontinent!$V$6:$V$58</definedName>
    <definedName name="UNALLOC_REFUNDED" localSheetId="64">'Midwest Life'!$V$6:$V$58</definedName>
    <definedName name="UNALLOC_REFUNDED" localSheetId="65">'Monarch Life'!$V$6:$V$58</definedName>
    <definedName name="UNALLOC_REFUNDED" localSheetId="66">'Mutual Benefit'!$V$6:$V$58</definedName>
    <definedName name="UNALLOC_REFUNDED" localSheetId="67">'Mutual Security'!$V$6:$V$58</definedName>
    <definedName name="UNALLOC_REFUNDED" localSheetId="68">'National Affiliated'!$V$6:$V$58</definedName>
    <definedName name="UNALLOC_REFUNDED" localSheetId="70">'National Heritage'!$V$6:$V$58</definedName>
    <definedName name="UNALLOC_REFUNDED" localSheetId="71">'National States'!$V$6:$V$58</definedName>
    <definedName name="UNALLOC_REFUNDED" localSheetId="69">'Natl American'!$V$6:$V$58</definedName>
    <definedName name="UNALLOC_REFUNDED" localSheetId="72">'New Jersey Life'!$V$6:$V$58</definedName>
    <definedName name="UNALLOC_REFUNDED" localSheetId="74">NNIC!$V$6:$V$58</definedName>
    <definedName name="UNALLOC_REFUNDED" localSheetId="73">'North Carolina Mutual'!$V$6:$V$58</definedName>
    <definedName name="UNALLOC_REFUNDED" localSheetId="75">'Old Colony Life'!$V$6:$V$58</definedName>
    <definedName name="UNALLOC_REFUNDED" localSheetId="76">'Old Faithful'!$V$6:$V$58</definedName>
    <definedName name="UNALLOC_REFUNDED" localSheetId="77">'Pacific Standard'!$V$6:$V$58</definedName>
    <definedName name="UNALLOC_REFUNDED" localSheetId="78">'Pavonia Life'!$V$6:$V$58</definedName>
    <definedName name="UNALLOC_REFUNDED" localSheetId="79">'Pen  Treaty'!$V$6:$V$58</definedName>
    <definedName name="UNALLOC_REFUNDED" localSheetId="80">'Red Rock'!$V$6:$V$58</definedName>
    <definedName name="UNALLOC_REFUNDED" localSheetId="81">Reliance!$V$6:$V$58</definedName>
    <definedName name="UNALLOC_REFUNDED" localSheetId="82">SeeChange!$V$6:$V$58</definedName>
    <definedName name="UNALLOC_REFUNDED" localSheetId="83">'Senior American'!$V$6:$V$58</definedName>
    <definedName name="UNALLOC_REFUNDED" localSheetId="84">Settlers!$V$6:$V$58</definedName>
    <definedName name="UNALLOC_REFUNDED" localSheetId="85">Shenandoah!$V$6:$V$58</definedName>
    <definedName name="UNALLOC_REFUNDED" localSheetId="86">'Southland National Life'!$V$6:$V$58</definedName>
    <definedName name="UNALLOC_REFUNDED" localSheetId="87">'Standard Life IN'!$V$6:$V$58</definedName>
    <definedName name="UNALLOC_REFUNDED" localSheetId="88">'States General'!$V$6:$V$58</definedName>
    <definedName name="UNALLOC_REFUNDED" localSheetId="89">Statesman!$V$6:$V$58</definedName>
    <definedName name="UNALLOC_REFUNDED" localSheetId="90">'Summit National'!$V$6:$V$58</definedName>
    <definedName name="UNALLOC_REFUNDED" localSheetId="91">Supreme!$V$6:$V$58</definedName>
    <definedName name="UNALLOC_REFUNDED" localSheetId="92">Time!$V$6:$V$58</definedName>
    <definedName name="UNALLOC_REFUNDED" localSheetId="106">'Total Summary'!$S$6:$S$59</definedName>
    <definedName name="UNALLOC_REFUNDED" localSheetId="93">Underwriters!$V$6:$V$58</definedName>
    <definedName name="UNALLOC_REFUNDED" localSheetId="94">Unison!$V$6:$V$58</definedName>
    <definedName name="UNALLOC_REFUNDED" localSheetId="95">'United Republic'!$V$6:$V$58</definedName>
    <definedName name="UNALLOC_REFUNDED" localSheetId="96">'Universal Health Care'!$V$6:$V$58</definedName>
    <definedName name="UNALLOC_REFUNDED" localSheetId="97">'Universal Life'!$V$6:$V$58</definedName>
    <definedName name="UNALLOC_REFUNDED" localSheetId="98">Universe!$V$6:$V$58</definedName>
    <definedName name="UNALLOC_REFUNDED" localSheetId="99">Villanova!$V$6:$V$58</definedName>
    <definedName name="UNALLOCATED" localSheetId="0">'AF&amp;L'!$E$6:$E$59</definedName>
    <definedName name="UNALLOCATED" localSheetId="1">'Alabama Life'!$E$6:$E$59</definedName>
    <definedName name="UNALLOCATED" localSheetId="6">'Amer Life Asr'!$E$6:$E$59</definedName>
    <definedName name="UNALLOCATED" localSheetId="9">'Amer Std Life Acc'!$E$6:$E$59</definedName>
    <definedName name="UNALLOCATED" localSheetId="2">'American Chambers'!$E$6:$E$59</definedName>
    <definedName name="UNALLOCATED" localSheetId="3">'American Community'!$E$6:$E$59</definedName>
    <definedName name="UNALLOCATED" localSheetId="4">'American Educators'!$E$6:$E$59</definedName>
    <definedName name="UNALLOCATED" localSheetId="5">'American Integrity'!$E$6:$E$59</definedName>
    <definedName name="UNALLOCATED" localSheetId="7">'American Medical'!$E$6:$E$59</definedName>
    <definedName name="UNALLOCATED" localSheetId="8">'American Network'!$E$6:$E$59</definedName>
    <definedName name="UNALLOCATED" localSheetId="10">AmerWstrn!$E$6:$E$59</definedName>
    <definedName name="UNALLOCATED" localSheetId="11">'AMS Life'!$E$6:$E$59</definedName>
    <definedName name="UNALLOCATED" localSheetId="12">'Andrew Jackson'!$E$6:$E$59</definedName>
    <definedName name="UNALLOCATED" localSheetId="13">'Bankers Commercial'!$E$6:$E$59</definedName>
    <definedName name="UNALLOCATED" localSheetId="14">'Bankers Life'!$E$6:$E$59</definedName>
    <definedName name="UNALLOCATED" localSheetId="15">Benicorp!$E$6:$E$59</definedName>
    <definedName name="UNALLOCATED" localSheetId="16">'Booker T Washington'!$E$6:$E$59</definedName>
    <definedName name="UNALLOCATED" localSheetId="17">Centennial!$E$6:$E$59</definedName>
    <definedName name="UNALLOCATED" localSheetId="103">'Closed Summary'!$E$6:$E$58</definedName>
    <definedName name="UNALLOCATED" localSheetId="19">'CO Bankers'!$E$6:$E$59</definedName>
    <definedName name="UNALLOCATED" localSheetId="18">'Coastal States'!$E$6:$E$59</definedName>
    <definedName name="UNALLOCATED" localSheetId="20">'Colorado Health'!$E$6:$E$59</definedName>
    <definedName name="UNALLOCATED" localSheetId="21">'Compass (dbs Meritus)'!$E$6:$E$59</definedName>
    <definedName name="UNALLOCATED" localSheetId="22">'Confed Life &amp; Annty (CLIAC)'!$E$6:$E$59</definedName>
    <definedName name="UNALLOCATED" localSheetId="23">'Confed Life (CLIC)'!$E$6:$E$59</definedName>
    <definedName name="UNALLOCATED" localSheetId="24">'Consolidated National'!$E$6:$E$59</definedName>
    <definedName name="UNALLOCATED" localSheetId="25">'Consumers Choice'!$E$6:$E$59</definedName>
    <definedName name="UNALLOCATED" localSheetId="26">'Consumers Mutual'!$E$6:$E$59</definedName>
    <definedName name="UNALLOCATED" localSheetId="27">'Consumers United'!$E$6:$E$59</definedName>
    <definedName name="UNALLOCATED" localSheetId="28">CoOportunity!$E$6:$E$59</definedName>
    <definedName name="UNALLOCATED" localSheetId="29">'Coordinated Hlth'!$E$6:$E$59</definedName>
    <definedName name="UNALLOCATED" localSheetId="30">'Corporate Life'!$E$6:$E$59</definedName>
    <definedName name="UNALLOCATED" localSheetId="31">'Diamond Benefits'!$E$6:$E$59</definedName>
    <definedName name="UNALLOCATED" localSheetId="32">'EBL Life'!$E$6:$E$59</definedName>
    <definedName name="UNALLOCATED" localSheetId="34">ELNY!$E$6:$E$59</definedName>
    <definedName name="UNALLOCATED" localSheetId="104">'Estate Closed Summary'!$E$6:$E$58</definedName>
    <definedName name="UNALLOCATED" localSheetId="33">'Executive Life'!$E$6:$E$59</definedName>
    <definedName name="UNALLOCATED" localSheetId="35">'Family Guaranty'!$E$6:$E$59</definedName>
    <definedName name="UNALLOCATED" localSheetId="36">'Fidelity Bankers'!$E$6:$E$59</definedName>
    <definedName name="UNALLOCATED" localSheetId="37">'Fidelity Mutual'!$E$6:$E$59</definedName>
    <definedName name="UNALLOCATED" localSheetId="38">'First Capital'!$E$6:$E$59</definedName>
    <definedName name="UNALLOCATED" localSheetId="39">'First Natl'!$E$6:$E$59</definedName>
    <definedName name="UNALLOCATED" localSheetId="40">'First Natl (Thrnr)'!$E$6:$E$59</definedName>
    <definedName name="UNALLOCATED" localSheetId="41">'Franklin American'!$E$6:$E$59</definedName>
    <definedName name="UNALLOCATED" localSheetId="42">'Franklin Protective'!$E$6:$E$59</definedName>
    <definedName name="UNALLOCATED" localSheetId="43">'Freelancers CO-OP'!$E$6:$E$59</definedName>
    <definedName name="UNALLOCATED" localSheetId="44">Freestone!$E$6:$E$59</definedName>
    <definedName name="UNALLOCATED" localSheetId="45">'George Washington'!$E$6:$E$59</definedName>
    <definedName name="UNALLOCATED" localSheetId="46">'Golden State'!$E$6:$E$59</definedName>
    <definedName name="UNALLOCATED" localSheetId="47">'Guarantee Security'!$E$6:$E$59</definedName>
    <definedName name="UNALLOCATED" localSheetId="48">HealthyCT!$E$6:$E$59</definedName>
    <definedName name="UNALLOCATED" localSheetId="49">Imerica!$E$6:$E$59</definedName>
    <definedName name="UNALLOCATED" localSheetId="50">'Inter-American'!$E$6:$E$59</definedName>
    <definedName name="UNALLOCATED" localSheetId="51">'International Fin'!$E$6:$E$59</definedName>
    <definedName name="UNALLOCATED" localSheetId="52">'Investment Life of America'!$E$6:$E$59</definedName>
    <definedName name="UNALLOCATED" localSheetId="53">'Investors Equity'!$E$6:$E$59</definedName>
    <definedName name="UNALLOCATED" localSheetId="54">'Kentucky Central'!$E$6:$E$59</definedName>
    <definedName name="UNALLOCATED" localSheetId="55">'Land of Lincoln'!$E$6:$E$59</definedName>
    <definedName name="UNALLOCATED" localSheetId="56">Legion!$E$6:$E$59</definedName>
    <definedName name="UNALLOCATED" localSheetId="57">'Life Health America'!$E$6:$E$59</definedName>
    <definedName name="UNALLOCATED" localSheetId="58">'Lincoln Memorial'!$E$6:$E$59</definedName>
    <definedName name="UNALLOCATED" localSheetId="59">'London Pac'!$E$6:$E$59</definedName>
    <definedName name="UNALLOCATED" localSheetId="60">Lumbermens!$E$6:$E$59</definedName>
    <definedName name="UNALLOCATED" localSheetId="61">'Medical Savings'!$E$6:$E$59</definedName>
    <definedName name="UNALLOCATED" localSheetId="62">'Memorial Service'!$E$6:$E$59</definedName>
    <definedName name="UNALLOCATED" localSheetId="63">Midcontinent!$E$6:$E$59</definedName>
    <definedName name="UNALLOCATED" localSheetId="64">'Midwest Life'!$E$6:$E$59</definedName>
    <definedName name="UNALLOCATED" localSheetId="65">'Monarch Life'!$E$6:$E$59</definedName>
    <definedName name="UNALLOCATED" localSheetId="66">'Mutual Benefit'!$E$6:$E$59</definedName>
    <definedName name="UNALLOCATED" localSheetId="67">'Mutual Security'!$E$6:$E$59</definedName>
    <definedName name="UNALLOCATED" localSheetId="68">'National Affiliated'!$E$6:$E$59</definedName>
    <definedName name="UNALLOCATED" localSheetId="70">'National Heritage'!$E$6:$E$59</definedName>
    <definedName name="UNALLOCATED" localSheetId="71">'National States'!$E$6:$E$59</definedName>
    <definedName name="UNALLOCATED" localSheetId="69">'Natl American'!$E$6:$E$59</definedName>
    <definedName name="UNALLOCATED" localSheetId="72">'New Jersey Life'!$E$6:$E$59</definedName>
    <definedName name="UNALLOCATED" localSheetId="74">NNIC!$E$6:$E$59</definedName>
    <definedName name="UNALLOCATED" localSheetId="73">'North Carolina Mutual'!$E$6:$E$59</definedName>
    <definedName name="UNALLOCATED" localSheetId="75">'Old Colony Life'!$E$6:$E$59</definedName>
    <definedName name="UNALLOCATED" localSheetId="76">'Old Faithful'!$E$6:$E$59</definedName>
    <definedName name="UNALLOCATED" localSheetId="102">'Open Summary'!$E$6:$E$58</definedName>
    <definedName name="UNALLOCATED" localSheetId="77">'Pacific Standard'!$E$6:$E$59</definedName>
    <definedName name="UNALLOCATED" localSheetId="78">'Pavonia Life'!$E$6:$E$59</definedName>
    <definedName name="UNALLOCATED" localSheetId="79">'Pen  Treaty'!$E$6:$E$59</definedName>
    <definedName name="UNALLOCATED" localSheetId="101">'Pre-Liquidation Summary'!$E$6:$E$58</definedName>
    <definedName name="UNALLOCATED" localSheetId="80">'Red Rock'!$E$6:$E$59</definedName>
    <definedName name="UNALLOCATED" localSheetId="105">'Released from Oversight Summary'!$E$6:$E$58</definedName>
    <definedName name="UNALLOCATED" localSheetId="81">Reliance!$E$6:$E$59</definedName>
    <definedName name="UNALLOCATED" localSheetId="82">SeeChange!$E$6:$E$59</definedName>
    <definedName name="UNALLOCATED" localSheetId="83">'Senior American'!$E$6:$E$59</definedName>
    <definedName name="UNALLOCATED" localSheetId="84">Settlers!$E$6:$E$59</definedName>
    <definedName name="UNALLOCATED" localSheetId="85">Shenandoah!$E$6:$E$59</definedName>
    <definedName name="UNALLOCATED" localSheetId="86">'Southland National Life'!$E$6:$E$59</definedName>
    <definedName name="UNALLOCATED" localSheetId="87">'Standard Life IN'!$E$6:$E$59</definedName>
    <definedName name="UNALLOCATED" localSheetId="88">'States General'!$E$6:$E$59</definedName>
    <definedName name="UNALLOCATED" localSheetId="89">Statesman!$E$6:$E$59</definedName>
    <definedName name="UNALLOCATED" localSheetId="90">'Summit National'!$E$6:$E$59</definedName>
    <definedName name="UNALLOCATED" localSheetId="91">Supreme!$E$6:$E$59</definedName>
    <definedName name="UNALLOCATED" localSheetId="92">Time!$E$6:$E$59</definedName>
    <definedName name="UNALLOCATED" localSheetId="106">'Total Summary'!$E$6:$E$59</definedName>
    <definedName name="UNALLOCATED" localSheetId="93">Underwriters!$E$6:$E$59</definedName>
    <definedName name="UNALLOCATED" localSheetId="94">Unison!$E$6:$E$59</definedName>
    <definedName name="UNALLOCATED" localSheetId="95">'United Republic'!$E$6:$E$59</definedName>
    <definedName name="UNALLOCATED" localSheetId="96">'Universal Health Care'!$E$6:$E$59</definedName>
    <definedName name="UNALLOCATED" localSheetId="97">'Universal Life'!$E$6:$E$59</definedName>
    <definedName name="UNALLOCATED" localSheetId="98">Universe!$E$6:$E$59</definedName>
    <definedName name="UNALLOCATED" localSheetId="99">Villanova!$E$6:$E$59</definedName>
    <definedName name="UT_FINANCIAL" localSheetId="0">'AF&amp;L'!$B$51:$F$51</definedName>
    <definedName name="UT_FINANCIAL" localSheetId="1">'Alabama Life'!$B$51:$F$51</definedName>
    <definedName name="UT_FINANCIAL" localSheetId="6">'Amer Life Asr'!$B$51:$F$51</definedName>
    <definedName name="UT_FINANCIAL" localSheetId="9">'Amer Std Life Acc'!$B$51:$F$51</definedName>
    <definedName name="UT_FINANCIAL" localSheetId="2">'American Chambers'!$B$51:$F$51</definedName>
    <definedName name="UT_FINANCIAL" localSheetId="3">'American Community'!$B$51:$F$51</definedName>
    <definedName name="UT_FINANCIAL" localSheetId="4">'American Educators'!$B$51:$F$51</definedName>
    <definedName name="UT_FINANCIAL" localSheetId="5">'American Integrity'!$B$51:$F$51</definedName>
    <definedName name="UT_FINANCIAL" localSheetId="7">'American Medical'!$B$51:$F$51</definedName>
    <definedName name="UT_FINANCIAL" localSheetId="8">'American Network'!$B$51:$F$51</definedName>
    <definedName name="UT_FINANCIAL" localSheetId="10">AmerWstrn!$B$51:$F$51</definedName>
    <definedName name="UT_FINANCIAL" localSheetId="11">'AMS Life'!$B$51:$F$51</definedName>
    <definedName name="UT_FINANCIAL" localSheetId="12">'Andrew Jackson'!$B$51:$F$51</definedName>
    <definedName name="UT_FINANCIAL" localSheetId="13">'Bankers Commercial'!$B$51:$F$51</definedName>
    <definedName name="UT_FINANCIAL" localSheetId="14">'Bankers Life'!$B$51:$F$51</definedName>
    <definedName name="UT_FINANCIAL" localSheetId="15">Benicorp!$B$51:$F$51</definedName>
    <definedName name="UT_FINANCIAL" localSheetId="16">'Booker T Washington'!$B$51:$F$51</definedName>
    <definedName name="UT_FINANCIAL" localSheetId="17">Centennial!$B$51:$F$51</definedName>
    <definedName name="UT_FINANCIAL" localSheetId="19">'CO Bankers'!$B$51:$F$51</definedName>
    <definedName name="UT_FINANCIAL" localSheetId="18">'Coastal States'!$B$51:$F$51</definedName>
    <definedName name="UT_FINANCIAL" localSheetId="20">'Colorado Health'!$B$51:$F$51</definedName>
    <definedName name="UT_FINANCIAL" localSheetId="21">'Compass (dbs Meritus)'!$B$51:$F$51</definedName>
    <definedName name="UT_FINANCIAL" localSheetId="22">'Confed Life &amp; Annty (CLIAC)'!$B$51:$F$51</definedName>
    <definedName name="UT_FINANCIAL" localSheetId="23">'Confed Life (CLIC)'!$B$51:$F$51</definedName>
    <definedName name="UT_FINANCIAL" localSheetId="24">'Consolidated National'!$B$51:$F$51</definedName>
    <definedName name="UT_FINANCIAL" localSheetId="25">'Consumers Choice'!$B$51:$F$51</definedName>
    <definedName name="UT_FINANCIAL" localSheetId="26">'Consumers Mutual'!$B$51:$F$51</definedName>
    <definedName name="UT_FINANCIAL" localSheetId="27">'Consumers United'!$B$51:$F$51</definedName>
    <definedName name="UT_FINANCIAL" localSheetId="28">CoOportunity!$B$51:$F$51</definedName>
    <definedName name="UT_FINANCIAL" localSheetId="29">'Coordinated Hlth'!$B$51:$F$51</definedName>
    <definedName name="UT_FINANCIAL" localSheetId="30">'Corporate Life'!$B$51:$F$51</definedName>
    <definedName name="UT_FINANCIAL" localSheetId="31">'Diamond Benefits'!$B$51:$F$51</definedName>
    <definedName name="UT_FINANCIAL" localSheetId="32">'EBL Life'!$B$51:$F$51</definedName>
    <definedName name="UT_FINANCIAL" localSheetId="34">ELNY!$B$51:$F$51</definedName>
    <definedName name="UT_FINANCIAL" localSheetId="33">'Executive Life'!$B$51:$F$51</definedName>
    <definedName name="UT_FINANCIAL" localSheetId="35">'Family Guaranty'!$B$51:$F$51</definedName>
    <definedName name="UT_FINANCIAL" localSheetId="36">'Fidelity Bankers'!$B$51:$F$51</definedName>
    <definedName name="UT_FINANCIAL" localSheetId="37">'Fidelity Mutual'!$B$51:$F$51</definedName>
    <definedName name="UT_FINANCIAL" localSheetId="38">'First Capital'!$B$51:$F$51</definedName>
    <definedName name="UT_FINANCIAL" localSheetId="39">'First Natl'!$B$51:$F$51</definedName>
    <definedName name="UT_FINANCIAL" localSheetId="40">'First Natl (Thrnr)'!$B$51:$F$51</definedName>
    <definedName name="UT_FINANCIAL" localSheetId="41">'Franklin American'!$B$51:$F$51</definedName>
    <definedName name="UT_FINANCIAL" localSheetId="42">'Franklin Protective'!$B$51:$F$51</definedName>
    <definedName name="UT_FINANCIAL" localSheetId="43">'Freelancers CO-OP'!$B$51:$F$51</definedName>
    <definedName name="UT_FINANCIAL" localSheetId="44">Freestone!$B$51:$F$51</definedName>
    <definedName name="UT_FINANCIAL" localSheetId="45">'George Washington'!$B$51:$F$51</definedName>
    <definedName name="UT_FINANCIAL" localSheetId="46">'Golden State'!$B$51:$F$51</definedName>
    <definedName name="UT_FINANCIAL" localSheetId="47">'Guarantee Security'!$B$51:$F$51</definedName>
    <definedName name="UT_FINANCIAL" localSheetId="48">HealthyCT!$B$51:$F$51</definedName>
    <definedName name="UT_FINANCIAL" localSheetId="49">Imerica!$B$51:$F$51</definedName>
    <definedName name="UT_FINANCIAL" localSheetId="50">'Inter-American'!$B$51:$F$51</definedName>
    <definedName name="UT_FINANCIAL" localSheetId="51">'International Fin'!$B$51:$F$51</definedName>
    <definedName name="UT_FINANCIAL" localSheetId="52">'Investment Life of America'!$B$51:$F$51</definedName>
    <definedName name="UT_FINANCIAL" localSheetId="53">'Investors Equity'!$B$51:$F$51</definedName>
    <definedName name="UT_FINANCIAL" localSheetId="54">'Kentucky Central'!$B$51:$F$51</definedName>
    <definedName name="UT_FINANCIAL" localSheetId="55">'Land of Lincoln'!$B$51:$F$51</definedName>
    <definedName name="UT_FINANCIAL" localSheetId="56">Legion!$B$51:$F$51</definedName>
    <definedName name="UT_FINANCIAL" localSheetId="57">'Life Health America'!$B$51:$F$51</definedName>
    <definedName name="UT_FINANCIAL" localSheetId="58">'Lincoln Memorial'!$B$51:$F$51</definedName>
    <definedName name="UT_FINANCIAL" localSheetId="59">'London Pac'!$B$51:$F$51</definedName>
    <definedName name="UT_FINANCIAL" localSheetId="60">Lumbermens!$B$51:$F$51</definedName>
    <definedName name="UT_FINANCIAL" localSheetId="61">'Medical Savings'!$B$51:$F$51</definedName>
    <definedName name="UT_FINANCIAL" localSheetId="62">'Memorial Service'!$B$51:$F$51</definedName>
    <definedName name="UT_FINANCIAL" localSheetId="63">Midcontinent!$B$51:$F$51</definedName>
    <definedName name="UT_FINANCIAL" localSheetId="64">'Midwest Life'!$B$51:$F$51</definedName>
    <definedName name="UT_FINANCIAL" localSheetId="65">'Monarch Life'!$B$51:$F$51</definedName>
    <definedName name="UT_FINANCIAL" localSheetId="66">'Mutual Benefit'!$B$51:$F$51</definedName>
    <definedName name="UT_FINANCIAL" localSheetId="67">'Mutual Security'!$B$51:$F$51</definedName>
    <definedName name="UT_FINANCIAL" localSheetId="68">'National Affiliated'!$B$51:$F$51</definedName>
    <definedName name="UT_FINANCIAL" localSheetId="70">'National Heritage'!$B$51:$F$51</definedName>
    <definedName name="UT_FINANCIAL" localSheetId="71">'National States'!$B$51:$F$51</definedName>
    <definedName name="UT_FINANCIAL" localSheetId="69">'Natl American'!$B$51:$F$51</definedName>
    <definedName name="UT_FINANCIAL" localSheetId="72">'New Jersey Life'!$B$51:$F$51</definedName>
    <definedName name="UT_FINANCIAL" localSheetId="74">NNIC!$B$51:$F$51</definedName>
    <definedName name="UT_FINANCIAL" localSheetId="73">'North Carolina Mutual'!$B$51:$F$51</definedName>
    <definedName name="UT_FINANCIAL" localSheetId="75">'Old Colony Life'!$B$51:$F$51</definedName>
    <definedName name="UT_FINANCIAL" localSheetId="76">'Old Faithful'!$B$51:$F$51</definedName>
    <definedName name="UT_FINANCIAL" localSheetId="77">'Pacific Standard'!$B$51:$F$51</definedName>
    <definedName name="UT_FINANCIAL" localSheetId="78">'Pavonia Life'!$B$51:$F$51</definedName>
    <definedName name="UT_FINANCIAL" localSheetId="79">'Pen  Treaty'!$B$51:$F$51</definedName>
    <definedName name="UT_FINANCIAL" localSheetId="80">'Red Rock'!$B$51:$F$51</definedName>
    <definedName name="UT_FINANCIAL" localSheetId="81">Reliance!$B$51:$F$51</definedName>
    <definedName name="UT_FINANCIAL" localSheetId="82">SeeChange!$B$51:$F$51</definedName>
    <definedName name="UT_FINANCIAL" localSheetId="83">'Senior American'!$B$51:$F$51</definedName>
    <definedName name="UT_FINANCIAL" localSheetId="84">Settlers!$B$51:$F$51</definedName>
    <definedName name="UT_FINANCIAL" localSheetId="85">Shenandoah!$B$51:$F$51</definedName>
    <definedName name="UT_FINANCIAL" localSheetId="86">'Southland National Life'!$B$51:$F$51</definedName>
    <definedName name="UT_FINANCIAL" localSheetId="87">'Standard Life IN'!$B$51:$F$51</definedName>
    <definedName name="UT_FINANCIAL" localSheetId="88">'States General'!$B$51:$F$51</definedName>
    <definedName name="UT_FINANCIAL" localSheetId="89">Statesman!$B$51:$F$51</definedName>
    <definedName name="UT_FINANCIAL" localSheetId="90">'Summit National'!$B$51:$F$51</definedName>
    <definedName name="UT_FINANCIAL" localSheetId="91">Supreme!$B$51:$F$51</definedName>
    <definedName name="UT_FINANCIAL" localSheetId="92">Time!$B$51:$F$51</definedName>
    <definedName name="UT_FINANCIAL" localSheetId="106">'Total Summary'!$B$51:$F$51</definedName>
    <definedName name="UT_FINANCIAL" localSheetId="93">Underwriters!$B$51:$F$51</definedName>
    <definedName name="UT_FINANCIAL" localSheetId="94">Unison!$B$51:$F$51</definedName>
    <definedName name="UT_FINANCIAL" localSheetId="95">'United Republic'!$B$51:$F$51</definedName>
    <definedName name="UT_FINANCIAL" localSheetId="96">'Universal Health Care'!$B$51:$F$51</definedName>
    <definedName name="UT_FINANCIAL" localSheetId="97">'Universal Life'!$B$51:$F$51</definedName>
    <definedName name="UT_FINANCIAL" localSheetId="98">Universe!$B$51:$F$51</definedName>
    <definedName name="UT_FINANCIAL" localSheetId="99">Villanova!$B$51:$F$51</definedName>
    <definedName name="VA_FINANCIAL" localSheetId="0">'AF&amp;L'!$B$53:$F$53</definedName>
    <definedName name="VA_FINANCIAL" localSheetId="1">'Alabama Life'!$B$53:$F$53</definedName>
    <definedName name="VA_FINANCIAL" localSheetId="6">'Amer Life Asr'!$B$53:$F$53</definedName>
    <definedName name="VA_FINANCIAL" localSheetId="9">'Amer Std Life Acc'!$B$53:$F$53</definedName>
    <definedName name="VA_FINANCIAL" localSheetId="2">'American Chambers'!$B$53:$F$53</definedName>
    <definedName name="VA_FINANCIAL" localSheetId="3">'American Community'!$B$53:$F$53</definedName>
    <definedName name="VA_FINANCIAL" localSheetId="4">'American Educators'!$B$53:$F$53</definedName>
    <definedName name="VA_FINANCIAL" localSheetId="5">'American Integrity'!$B$53:$F$53</definedName>
    <definedName name="VA_FINANCIAL" localSheetId="7">'American Medical'!$B$53:$F$53</definedName>
    <definedName name="VA_FINANCIAL" localSheetId="8">'American Network'!$B$53:$F$53</definedName>
    <definedName name="VA_FINANCIAL" localSheetId="10">AmerWstrn!$B$53:$F$53</definedName>
    <definedName name="VA_FINANCIAL" localSheetId="11">'AMS Life'!$B$53:$F$53</definedName>
    <definedName name="VA_FINANCIAL" localSheetId="12">'Andrew Jackson'!$B$53:$F$53</definedName>
    <definedName name="VA_FINANCIAL" localSheetId="13">'Bankers Commercial'!$B$53:$F$53</definedName>
    <definedName name="VA_FINANCIAL" localSheetId="14">'Bankers Life'!$B$53:$F$53</definedName>
    <definedName name="VA_FINANCIAL" localSheetId="15">Benicorp!$B$53:$F$53</definedName>
    <definedName name="VA_FINANCIAL" localSheetId="16">'Booker T Washington'!$B$53:$F$53</definedName>
    <definedName name="VA_FINANCIAL" localSheetId="17">Centennial!$B$53:$F$53</definedName>
    <definedName name="VA_FINANCIAL" localSheetId="19">'CO Bankers'!$B$53:$F$53</definedName>
    <definedName name="VA_FINANCIAL" localSheetId="18">'Coastal States'!$B$53:$F$53</definedName>
    <definedName name="VA_FINANCIAL" localSheetId="20">'Colorado Health'!$B$53:$F$53</definedName>
    <definedName name="VA_FINANCIAL" localSheetId="21">'Compass (dbs Meritus)'!$B$53:$F$53</definedName>
    <definedName name="VA_FINANCIAL" localSheetId="22">'Confed Life &amp; Annty (CLIAC)'!$B$53:$F$53</definedName>
    <definedName name="VA_FINANCIAL" localSheetId="23">'Confed Life (CLIC)'!$B$53:$F$53</definedName>
    <definedName name="VA_FINANCIAL" localSheetId="24">'Consolidated National'!$B$53:$F$53</definedName>
    <definedName name="VA_FINANCIAL" localSheetId="25">'Consumers Choice'!$B$53:$F$53</definedName>
    <definedName name="VA_FINANCIAL" localSheetId="26">'Consumers Mutual'!$B$53:$F$53</definedName>
    <definedName name="VA_FINANCIAL" localSheetId="27">'Consumers United'!$B$53:$F$53</definedName>
    <definedName name="VA_FINANCIAL" localSheetId="28">CoOportunity!$B$53:$F$53</definedName>
    <definedName name="VA_FINANCIAL" localSheetId="29">'Coordinated Hlth'!$B$53:$F$53</definedName>
    <definedName name="VA_FINANCIAL" localSheetId="30">'Corporate Life'!$B$53:$F$53</definedName>
    <definedName name="VA_FINANCIAL" localSheetId="31">'Diamond Benefits'!$B$53:$F$53</definedName>
    <definedName name="VA_FINANCIAL" localSheetId="32">'EBL Life'!$B$53:$F$53</definedName>
    <definedName name="VA_FINANCIAL" localSheetId="34">ELNY!$B$53:$F$53</definedName>
    <definedName name="VA_FINANCIAL" localSheetId="33">'Executive Life'!$B$53:$F$53</definedName>
    <definedName name="VA_FINANCIAL" localSheetId="35">'Family Guaranty'!$B$53:$F$53</definedName>
    <definedName name="VA_FINANCIAL" localSheetId="36">'Fidelity Bankers'!$B$53:$F$53</definedName>
    <definedName name="VA_FINANCIAL" localSheetId="37">'Fidelity Mutual'!$B$53:$F$53</definedName>
    <definedName name="VA_FINANCIAL" localSheetId="38">'First Capital'!$B$53:$F$53</definedName>
    <definedName name="VA_FINANCIAL" localSheetId="39">'First Natl'!$B$53:$F$53</definedName>
    <definedName name="VA_FINANCIAL" localSheetId="40">'First Natl (Thrnr)'!$B$53:$F$53</definedName>
    <definedName name="VA_FINANCIAL" localSheetId="41">'Franklin American'!$B$53:$F$53</definedName>
    <definedName name="VA_FINANCIAL" localSheetId="42">'Franklin Protective'!$B$53:$F$53</definedName>
    <definedName name="VA_FINANCIAL" localSheetId="43">'Freelancers CO-OP'!$B$53:$F$53</definedName>
    <definedName name="VA_FINANCIAL" localSheetId="44">Freestone!$B$53:$F$53</definedName>
    <definedName name="VA_FINANCIAL" localSheetId="45">'George Washington'!$B$53:$F$53</definedName>
    <definedName name="VA_FINANCIAL" localSheetId="46">'Golden State'!$B$53:$F$53</definedName>
    <definedName name="VA_FINANCIAL" localSheetId="47">'Guarantee Security'!$B$53:$F$53</definedName>
    <definedName name="VA_FINANCIAL" localSheetId="48">HealthyCT!$B$53:$F$53</definedName>
    <definedName name="VA_FINANCIAL" localSheetId="49">Imerica!$B$53:$F$53</definedName>
    <definedName name="VA_FINANCIAL" localSheetId="50">'Inter-American'!$B$53:$F$53</definedName>
    <definedName name="VA_FINANCIAL" localSheetId="51">'International Fin'!$B$53:$F$53</definedName>
    <definedName name="VA_FINANCIAL" localSheetId="52">'Investment Life of America'!$B$53:$F$53</definedName>
    <definedName name="VA_FINANCIAL" localSheetId="53">'Investors Equity'!$B$53:$F$53</definedName>
    <definedName name="VA_FINANCIAL" localSheetId="54">'Kentucky Central'!$B$53:$F$53</definedName>
    <definedName name="VA_FINANCIAL" localSheetId="55">'Land of Lincoln'!$B$53:$F$53</definedName>
    <definedName name="VA_FINANCIAL" localSheetId="56">Legion!$B$53:$F$53</definedName>
    <definedName name="VA_FINANCIAL" localSheetId="57">'Life Health America'!$B$53:$F$53</definedName>
    <definedName name="VA_FINANCIAL" localSheetId="58">'Lincoln Memorial'!$B$53:$F$53</definedName>
    <definedName name="VA_FINANCIAL" localSheetId="59">'London Pac'!$B$53:$F$53</definedName>
    <definedName name="VA_FINANCIAL" localSheetId="60">Lumbermens!$B$53:$F$53</definedName>
    <definedName name="VA_FINANCIAL" localSheetId="61">'Medical Savings'!$B$53:$F$53</definedName>
    <definedName name="VA_FINANCIAL" localSheetId="62">'Memorial Service'!$B$53:$F$53</definedName>
    <definedName name="VA_FINANCIAL" localSheetId="63">Midcontinent!$B$53:$F$53</definedName>
    <definedName name="VA_FINANCIAL" localSheetId="64">'Midwest Life'!$B$53:$F$53</definedName>
    <definedName name="VA_FINANCIAL" localSheetId="65">'Monarch Life'!$B$53:$F$53</definedName>
    <definedName name="VA_FINANCIAL" localSheetId="66">'Mutual Benefit'!$B$53:$F$53</definedName>
    <definedName name="VA_FINANCIAL" localSheetId="67">'Mutual Security'!$B$53:$F$53</definedName>
    <definedName name="VA_FINANCIAL" localSheetId="68">'National Affiliated'!$B$53:$F$53</definedName>
    <definedName name="VA_FINANCIAL" localSheetId="70">'National Heritage'!$B$53:$F$53</definedName>
    <definedName name="VA_FINANCIAL" localSheetId="71">'National States'!$B$53:$F$53</definedName>
    <definedName name="VA_FINANCIAL" localSheetId="69">'Natl American'!$B$53:$F$53</definedName>
    <definedName name="VA_FINANCIAL" localSheetId="72">'New Jersey Life'!$B$53:$F$53</definedName>
    <definedName name="VA_FINANCIAL" localSheetId="74">NNIC!$B$53:$F$53</definedName>
    <definedName name="VA_FINANCIAL" localSheetId="73">'North Carolina Mutual'!$B$53:$F$53</definedName>
    <definedName name="VA_FINANCIAL" localSheetId="75">'Old Colony Life'!$B$53:$F$53</definedName>
    <definedName name="VA_FINANCIAL" localSheetId="76">'Old Faithful'!$B$53:$F$53</definedName>
    <definedName name="VA_FINANCIAL" localSheetId="77">'Pacific Standard'!$B$53:$F$53</definedName>
    <definedName name="VA_FINANCIAL" localSheetId="78">'Pavonia Life'!$B$53:$F$53</definedName>
    <definedName name="VA_FINANCIAL" localSheetId="79">'Pen  Treaty'!$B$53:$F$53</definedName>
    <definedName name="VA_FINANCIAL" localSheetId="80">'Red Rock'!$B$53:$F$53</definedName>
    <definedName name="VA_FINANCIAL" localSheetId="81">Reliance!$B$53:$F$53</definedName>
    <definedName name="VA_FINANCIAL" localSheetId="82">SeeChange!$B$53:$F$53</definedName>
    <definedName name="VA_FINANCIAL" localSheetId="83">'Senior American'!$B$53:$F$53</definedName>
    <definedName name="VA_FINANCIAL" localSheetId="84">Settlers!$B$53:$F$53</definedName>
    <definedName name="VA_FINANCIAL" localSheetId="85">Shenandoah!$B$53:$F$53</definedName>
    <definedName name="VA_FINANCIAL" localSheetId="86">'Southland National Life'!$B$53:$F$53</definedName>
    <definedName name="VA_FINANCIAL" localSheetId="87">'Standard Life IN'!$B$53:$F$53</definedName>
    <definedName name="VA_FINANCIAL" localSheetId="88">'States General'!$B$53:$F$53</definedName>
    <definedName name="VA_FINANCIAL" localSheetId="89">Statesman!$B$53:$F$53</definedName>
    <definedName name="VA_FINANCIAL" localSheetId="90">'Summit National'!$B$53:$F$53</definedName>
    <definedName name="VA_FINANCIAL" localSheetId="91">Supreme!$B$53:$F$53</definedName>
    <definedName name="VA_FINANCIAL" localSheetId="92">Time!$B$53:$F$53</definedName>
    <definedName name="VA_FINANCIAL" localSheetId="106">'Total Summary'!$B$53:$F$53</definedName>
    <definedName name="VA_FINANCIAL" localSheetId="93">Underwriters!$B$53:$F$53</definedName>
    <definedName name="VA_FINANCIAL" localSheetId="94">Unison!$B$53:$F$53</definedName>
    <definedName name="VA_FINANCIAL" localSheetId="95">'United Republic'!$B$53:$F$53</definedName>
    <definedName name="VA_FINANCIAL" localSheetId="96">'Universal Health Care'!$B$53:$F$53</definedName>
    <definedName name="VA_FINANCIAL" localSheetId="97">'Universal Life'!$B$53:$F$53</definedName>
    <definedName name="VA_FINANCIAL" localSheetId="98">Universe!$B$53:$F$53</definedName>
    <definedName name="VA_FINANCIAL" localSheetId="99">Villanova!$B$53:$F$53</definedName>
    <definedName name="VT_FINANCIAL" localSheetId="0">'AF&amp;L'!$B$52:$F$52</definedName>
    <definedName name="VT_FINANCIAL" localSheetId="1">'Alabama Life'!$B$52:$F$52</definedName>
    <definedName name="VT_FINANCIAL" localSheetId="6">'Amer Life Asr'!$B$52:$F$52</definedName>
    <definedName name="VT_FINANCIAL" localSheetId="9">'Amer Std Life Acc'!$B$52:$F$52</definedName>
    <definedName name="VT_FINANCIAL" localSheetId="2">'American Chambers'!$B$52:$F$52</definedName>
    <definedName name="VT_FINANCIAL" localSheetId="3">'American Community'!$B$52:$F$52</definedName>
    <definedName name="VT_FINANCIAL" localSheetId="4">'American Educators'!$B$52:$F$52</definedName>
    <definedName name="VT_FINANCIAL" localSheetId="5">'American Integrity'!$B$52:$F$52</definedName>
    <definedName name="VT_FINANCIAL" localSheetId="7">'American Medical'!$B$52:$F$52</definedName>
    <definedName name="VT_FINANCIAL" localSheetId="8">'American Network'!$B$52:$F$52</definedName>
    <definedName name="VT_FINANCIAL" localSheetId="10">AmerWstrn!$B$52:$F$52</definedName>
    <definedName name="VT_FINANCIAL" localSheetId="11">'AMS Life'!$B$52:$F$52</definedName>
    <definedName name="VT_FINANCIAL" localSheetId="12">'Andrew Jackson'!$B$52:$F$52</definedName>
    <definedName name="VT_FINANCIAL" localSheetId="13">'Bankers Commercial'!$B$52:$F$52</definedName>
    <definedName name="VT_FINANCIAL" localSheetId="14">'Bankers Life'!$B$52:$F$52</definedName>
    <definedName name="VT_FINANCIAL" localSheetId="15">Benicorp!$B$52:$F$52</definedName>
    <definedName name="VT_FINANCIAL" localSheetId="16">'Booker T Washington'!$B$52:$F$52</definedName>
    <definedName name="VT_FINANCIAL" localSheetId="17">Centennial!$B$52:$F$52</definedName>
    <definedName name="VT_FINANCIAL" localSheetId="19">'CO Bankers'!$B$52:$F$52</definedName>
    <definedName name="VT_FINANCIAL" localSheetId="18">'Coastal States'!$B$52:$F$52</definedName>
    <definedName name="VT_FINANCIAL" localSheetId="20">'Colorado Health'!$B$52:$F$52</definedName>
    <definedName name="VT_FINANCIAL" localSheetId="21">'Compass (dbs Meritus)'!$B$52:$F$52</definedName>
    <definedName name="VT_FINANCIAL" localSheetId="22">'Confed Life &amp; Annty (CLIAC)'!$B$52:$F$52</definedName>
    <definedName name="VT_FINANCIAL" localSheetId="23">'Confed Life (CLIC)'!$B$52:$F$52</definedName>
    <definedName name="VT_FINANCIAL" localSheetId="24">'Consolidated National'!$B$52:$F$52</definedName>
    <definedName name="VT_FINANCIAL" localSheetId="25">'Consumers Choice'!$B$52:$F$52</definedName>
    <definedName name="VT_FINANCIAL" localSheetId="26">'Consumers Mutual'!$B$52:$F$52</definedName>
    <definedName name="VT_FINANCIAL" localSheetId="27">'Consumers United'!$B$52:$F$52</definedName>
    <definedName name="VT_FINANCIAL" localSheetId="28">CoOportunity!$B$52:$F$52</definedName>
    <definedName name="VT_FINANCIAL" localSheetId="29">'Coordinated Hlth'!$B$52:$F$52</definedName>
    <definedName name="VT_FINANCIAL" localSheetId="30">'Corporate Life'!$B$52:$F$52</definedName>
    <definedName name="VT_FINANCIAL" localSheetId="31">'Diamond Benefits'!$B$52:$F$52</definedName>
    <definedName name="VT_FINANCIAL" localSheetId="32">'EBL Life'!$B$52:$F$52</definedName>
    <definedName name="VT_FINANCIAL" localSheetId="34">ELNY!$B$52:$F$52</definedName>
    <definedName name="VT_FINANCIAL" localSheetId="33">'Executive Life'!$B$52:$F$52</definedName>
    <definedName name="VT_FINANCIAL" localSheetId="35">'Family Guaranty'!$B$52:$F$52</definedName>
    <definedName name="VT_FINANCIAL" localSheetId="36">'Fidelity Bankers'!$B$52:$F$52</definedName>
    <definedName name="VT_FINANCIAL" localSheetId="37">'Fidelity Mutual'!$B$52:$F$52</definedName>
    <definedName name="VT_FINANCIAL" localSheetId="38">'First Capital'!$B$52:$F$52</definedName>
    <definedName name="VT_FINANCIAL" localSheetId="39">'First Natl'!$B$52:$F$52</definedName>
    <definedName name="VT_FINANCIAL" localSheetId="40">'First Natl (Thrnr)'!$B$52:$F$52</definedName>
    <definedName name="VT_FINANCIAL" localSheetId="41">'Franklin American'!$B$52:$F$52</definedName>
    <definedName name="VT_FINANCIAL" localSheetId="42">'Franklin Protective'!$B$52:$F$52</definedName>
    <definedName name="VT_FINANCIAL" localSheetId="43">'Freelancers CO-OP'!$B$52:$F$52</definedName>
    <definedName name="VT_FINANCIAL" localSheetId="44">Freestone!$B$52:$F$52</definedName>
    <definedName name="VT_FINANCIAL" localSheetId="45">'George Washington'!$B$52:$F$52</definedName>
    <definedName name="VT_FINANCIAL" localSheetId="46">'Golden State'!$B$52:$F$52</definedName>
    <definedName name="VT_FINANCIAL" localSheetId="47">'Guarantee Security'!$B$52:$F$52</definedName>
    <definedName name="VT_FINANCIAL" localSheetId="48">HealthyCT!$B$52:$F$52</definedName>
    <definedName name="VT_FINANCIAL" localSheetId="49">Imerica!$B$52:$F$52</definedName>
    <definedName name="VT_FINANCIAL" localSheetId="50">'Inter-American'!$B$52:$F$52</definedName>
    <definedName name="VT_FINANCIAL" localSheetId="51">'International Fin'!$B$52:$F$52</definedName>
    <definedName name="VT_FINANCIAL" localSheetId="52">'Investment Life of America'!$B$52:$F$52</definedName>
    <definedName name="VT_FINANCIAL" localSheetId="53">'Investors Equity'!$B$52:$F$52</definedName>
    <definedName name="VT_FINANCIAL" localSheetId="54">'Kentucky Central'!$B$52:$F$52</definedName>
    <definedName name="VT_FINANCIAL" localSheetId="55">'Land of Lincoln'!$B$52:$F$52</definedName>
    <definedName name="VT_FINANCIAL" localSheetId="56">Legion!$B$52:$F$52</definedName>
    <definedName name="VT_FINANCIAL" localSheetId="57">'Life Health America'!$B$52:$F$52</definedName>
    <definedName name="VT_FINANCIAL" localSheetId="58">'Lincoln Memorial'!$B$52:$F$52</definedName>
    <definedName name="VT_FINANCIAL" localSheetId="59">'London Pac'!$B$52:$F$52</definedName>
    <definedName name="VT_FINANCIAL" localSheetId="60">Lumbermens!$B$52:$F$52</definedName>
    <definedName name="VT_FINANCIAL" localSheetId="61">'Medical Savings'!$B$52:$F$52</definedName>
    <definedName name="VT_FINANCIAL" localSheetId="62">'Memorial Service'!$B$52:$F$52</definedName>
    <definedName name="VT_FINANCIAL" localSheetId="63">Midcontinent!$B$52:$F$52</definedName>
    <definedName name="VT_FINANCIAL" localSheetId="64">'Midwest Life'!$B$52:$F$52</definedName>
    <definedName name="VT_FINANCIAL" localSheetId="65">'Monarch Life'!$B$52:$F$52</definedName>
    <definedName name="VT_FINANCIAL" localSheetId="66">'Mutual Benefit'!$B$52:$F$52</definedName>
    <definedName name="VT_FINANCIAL" localSheetId="67">'Mutual Security'!$B$52:$F$52</definedName>
    <definedName name="VT_FINANCIAL" localSheetId="68">'National Affiliated'!$B$52:$F$52</definedName>
    <definedName name="VT_FINANCIAL" localSheetId="70">'National Heritage'!$B$52:$F$52</definedName>
    <definedName name="VT_FINANCIAL" localSheetId="71">'National States'!$B$52:$F$52</definedName>
    <definedName name="VT_FINANCIAL" localSheetId="69">'Natl American'!$B$52:$F$52</definedName>
    <definedName name="VT_FINANCIAL" localSheetId="72">'New Jersey Life'!$B$52:$F$52</definedName>
    <definedName name="VT_FINANCIAL" localSheetId="74">NNIC!$B$52:$F$52</definedName>
    <definedName name="VT_FINANCIAL" localSheetId="73">'North Carolina Mutual'!$B$52:$F$52</definedName>
    <definedName name="VT_FINANCIAL" localSheetId="75">'Old Colony Life'!$B$52:$F$52</definedName>
    <definedName name="VT_FINANCIAL" localSheetId="76">'Old Faithful'!$B$52:$F$52</definedName>
    <definedName name="VT_FINANCIAL" localSheetId="77">'Pacific Standard'!$B$52:$F$52</definedName>
    <definedName name="VT_FINANCIAL" localSheetId="78">'Pavonia Life'!$B$52:$F$52</definedName>
    <definedName name="VT_FINANCIAL" localSheetId="79">'Pen  Treaty'!$B$52:$F$52</definedName>
    <definedName name="VT_FINANCIAL" localSheetId="80">'Red Rock'!$B$52:$F$52</definedName>
    <definedName name="VT_FINANCIAL" localSheetId="81">Reliance!$B$52:$F$52</definedName>
    <definedName name="VT_FINANCIAL" localSheetId="82">SeeChange!$B$52:$F$52</definedName>
    <definedName name="VT_FINANCIAL" localSheetId="83">'Senior American'!$B$52:$F$52</definedName>
    <definedName name="VT_FINANCIAL" localSheetId="84">Settlers!$B$52:$F$52</definedName>
    <definedName name="VT_FINANCIAL" localSheetId="85">Shenandoah!$B$52:$F$52</definedName>
    <definedName name="VT_FINANCIAL" localSheetId="86">'Southland National Life'!$B$52:$F$52</definedName>
    <definedName name="VT_FINANCIAL" localSheetId="87">'Standard Life IN'!$B$52:$F$52</definedName>
    <definedName name="VT_FINANCIAL" localSheetId="88">'States General'!$B$52:$F$52</definedName>
    <definedName name="VT_FINANCIAL" localSheetId="89">Statesman!$B$52:$F$52</definedName>
    <definedName name="VT_FINANCIAL" localSheetId="90">'Summit National'!$B$52:$F$52</definedName>
    <definedName name="VT_FINANCIAL" localSheetId="91">Supreme!$B$52:$F$52</definedName>
    <definedName name="VT_FINANCIAL" localSheetId="92">Time!$B$52:$F$52</definedName>
    <definedName name="VT_FINANCIAL" localSheetId="106">'Total Summary'!$B$52:$F$52</definedName>
    <definedName name="VT_FINANCIAL" localSheetId="93">Underwriters!$B$52:$F$52</definedName>
    <definedName name="VT_FINANCIAL" localSheetId="94">Unison!$B$52:$F$52</definedName>
    <definedName name="VT_FINANCIAL" localSheetId="95">'United Republic'!$B$52:$F$52</definedName>
    <definedName name="VT_FINANCIAL" localSheetId="96">'Universal Health Care'!$B$52:$F$52</definedName>
    <definedName name="VT_FINANCIAL" localSheetId="97">'Universal Life'!$B$52:$F$52</definedName>
    <definedName name="VT_FINANCIAL" localSheetId="98">Universe!$B$52:$F$52</definedName>
    <definedName name="VT_FINANCIAL" localSheetId="99">Villanova!$B$52:$F$52</definedName>
    <definedName name="WA_FINANCIAL" localSheetId="0">'AF&amp;L'!$B$54:$F$54</definedName>
    <definedName name="WA_FINANCIAL" localSheetId="1">'Alabama Life'!$B$54:$F$54</definedName>
    <definedName name="WA_FINANCIAL" localSheetId="6">'Amer Life Asr'!$B$54:$F$54</definedName>
    <definedName name="WA_FINANCIAL" localSheetId="9">'Amer Std Life Acc'!$B$54:$F$54</definedName>
    <definedName name="WA_FINANCIAL" localSheetId="2">'American Chambers'!$B$54:$F$54</definedName>
    <definedName name="WA_FINANCIAL" localSheetId="3">'American Community'!$B$54:$F$54</definedName>
    <definedName name="WA_FINANCIAL" localSheetId="4">'American Educators'!$B$54:$F$54</definedName>
    <definedName name="WA_FINANCIAL" localSheetId="5">'American Integrity'!$B$54:$F$54</definedName>
    <definedName name="WA_FINANCIAL" localSheetId="7">'American Medical'!$B$54:$F$54</definedName>
    <definedName name="WA_FINANCIAL" localSheetId="8">'American Network'!$B$54:$F$54</definedName>
    <definedName name="WA_FINANCIAL" localSheetId="10">AmerWstrn!$B$54:$F$54</definedName>
    <definedName name="WA_FINANCIAL" localSheetId="11">'AMS Life'!$B$54:$F$54</definedName>
    <definedName name="WA_FINANCIAL" localSheetId="12">'Andrew Jackson'!$B$54:$F$54</definedName>
    <definedName name="WA_FINANCIAL" localSheetId="13">'Bankers Commercial'!$B$54:$F$54</definedName>
    <definedName name="WA_FINANCIAL" localSheetId="14">'Bankers Life'!$B$54:$F$54</definedName>
    <definedName name="WA_FINANCIAL" localSheetId="15">Benicorp!$B$54:$F$54</definedName>
    <definedName name="WA_FINANCIAL" localSheetId="16">'Booker T Washington'!$B$54:$F$54</definedName>
    <definedName name="WA_FINANCIAL" localSheetId="17">Centennial!$B$54:$F$54</definedName>
    <definedName name="WA_FINANCIAL" localSheetId="19">'CO Bankers'!$B$54:$F$54</definedName>
    <definedName name="WA_FINANCIAL" localSheetId="18">'Coastal States'!$B$54:$F$54</definedName>
    <definedName name="WA_FINANCIAL" localSheetId="20">'Colorado Health'!$B$54:$F$54</definedName>
    <definedName name="WA_FINANCIAL" localSheetId="21">'Compass (dbs Meritus)'!$B$54:$F$54</definedName>
    <definedName name="WA_FINANCIAL" localSheetId="22">'Confed Life &amp; Annty (CLIAC)'!$B$54:$F$54</definedName>
    <definedName name="WA_FINANCIAL" localSheetId="23">'Confed Life (CLIC)'!$B$54:$F$54</definedName>
    <definedName name="WA_FINANCIAL" localSheetId="24">'Consolidated National'!$B$54:$F$54</definedName>
    <definedName name="WA_FINANCIAL" localSheetId="25">'Consumers Choice'!$B$54:$F$54</definedName>
    <definedName name="WA_FINANCIAL" localSheetId="26">'Consumers Mutual'!$B$54:$F$54</definedName>
    <definedName name="WA_FINANCIAL" localSheetId="27">'Consumers United'!$B$54:$F$54</definedName>
    <definedName name="WA_FINANCIAL" localSheetId="28">CoOportunity!$B$54:$F$54</definedName>
    <definedName name="WA_FINANCIAL" localSheetId="29">'Coordinated Hlth'!$B$54:$F$54</definedName>
    <definedName name="WA_FINANCIAL" localSheetId="30">'Corporate Life'!$B$54:$F$54</definedName>
    <definedName name="WA_FINANCIAL" localSheetId="31">'Diamond Benefits'!$B$54:$F$54</definedName>
    <definedName name="WA_FINANCIAL" localSheetId="32">'EBL Life'!$B$54:$F$54</definedName>
    <definedName name="WA_FINANCIAL" localSheetId="34">ELNY!$B$54:$F$54</definedName>
    <definedName name="WA_FINANCIAL" localSheetId="33">'Executive Life'!$B$54:$F$54</definedName>
    <definedName name="WA_FINANCIAL" localSheetId="35">'Family Guaranty'!$B$54:$F$54</definedName>
    <definedName name="WA_FINANCIAL" localSheetId="36">'Fidelity Bankers'!$B$54:$F$54</definedName>
    <definedName name="WA_FINANCIAL" localSheetId="37">'Fidelity Mutual'!$B$54:$F$54</definedName>
    <definedName name="WA_FINANCIAL" localSheetId="38">'First Capital'!$B$54:$F$54</definedName>
    <definedName name="WA_FINANCIAL" localSheetId="39">'First Natl'!$B$54:$F$54</definedName>
    <definedName name="WA_FINANCIAL" localSheetId="40">'First Natl (Thrnr)'!$B$54:$F$54</definedName>
    <definedName name="WA_FINANCIAL" localSheetId="41">'Franklin American'!$B$54:$F$54</definedName>
    <definedName name="WA_FINANCIAL" localSheetId="42">'Franklin Protective'!$B$54:$F$54</definedName>
    <definedName name="WA_FINANCIAL" localSheetId="43">'Freelancers CO-OP'!$B$54:$F$54</definedName>
    <definedName name="WA_FINANCIAL" localSheetId="44">Freestone!$B$54:$F$54</definedName>
    <definedName name="WA_FINANCIAL" localSheetId="45">'George Washington'!$B$54:$F$54</definedName>
    <definedName name="WA_FINANCIAL" localSheetId="46">'Golden State'!$B$54:$F$54</definedName>
    <definedName name="WA_FINANCIAL" localSheetId="47">'Guarantee Security'!$B$54:$F$54</definedName>
    <definedName name="WA_FINANCIAL" localSheetId="48">HealthyCT!$B$54:$F$54</definedName>
    <definedName name="WA_FINANCIAL" localSheetId="49">Imerica!$B$54:$F$54</definedName>
    <definedName name="WA_FINANCIAL" localSheetId="50">'Inter-American'!$B$54:$F$54</definedName>
    <definedName name="WA_FINANCIAL" localSheetId="51">'International Fin'!$B$54:$F$54</definedName>
    <definedName name="WA_FINANCIAL" localSheetId="52">'Investment Life of America'!$B$54:$F$54</definedName>
    <definedName name="WA_FINANCIAL" localSheetId="53">'Investors Equity'!$B$54:$F$54</definedName>
    <definedName name="WA_FINANCIAL" localSheetId="54">'Kentucky Central'!$B$54:$F$54</definedName>
    <definedName name="WA_FINANCIAL" localSheetId="55">'Land of Lincoln'!$B$54:$F$54</definedName>
    <definedName name="WA_FINANCIAL" localSheetId="56">Legion!$B$54:$F$54</definedName>
    <definedName name="WA_FINANCIAL" localSheetId="57">'Life Health America'!$B$54:$F$54</definedName>
    <definedName name="WA_FINANCIAL" localSheetId="58">'Lincoln Memorial'!$B$54:$F$54</definedName>
    <definedName name="WA_FINANCIAL" localSheetId="59">'London Pac'!$B$54:$F$54</definedName>
    <definedName name="WA_FINANCIAL" localSheetId="60">Lumbermens!$B$54:$F$54</definedName>
    <definedName name="WA_FINANCIAL" localSheetId="61">'Medical Savings'!$B$54:$F$54</definedName>
    <definedName name="WA_FINANCIAL" localSheetId="62">'Memorial Service'!$B$54:$F$54</definedName>
    <definedName name="WA_FINANCIAL" localSheetId="63">Midcontinent!$B$54:$F$54</definedName>
    <definedName name="WA_FINANCIAL" localSheetId="64">'Midwest Life'!$B$54:$F$54</definedName>
    <definedName name="WA_FINANCIAL" localSheetId="65">'Monarch Life'!$B$54:$F$54</definedName>
    <definedName name="WA_FINANCIAL" localSheetId="66">'Mutual Benefit'!$B$54:$F$54</definedName>
    <definedName name="WA_FINANCIAL" localSheetId="67">'Mutual Security'!$B$54:$F$54</definedName>
    <definedName name="WA_FINANCIAL" localSheetId="68">'National Affiliated'!$B$54:$F$54</definedName>
    <definedName name="WA_FINANCIAL" localSheetId="70">'National Heritage'!$B$54:$F$54</definedName>
    <definedName name="WA_FINANCIAL" localSheetId="71">'National States'!$B$54:$F$54</definedName>
    <definedName name="WA_FINANCIAL" localSheetId="69">'Natl American'!$B$54:$F$54</definedName>
    <definedName name="WA_FINANCIAL" localSheetId="72">'New Jersey Life'!$B$54:$F$54</definedName>
    <definedName name="WA_FINANCIAL" localSheetId="74">NNIC!$B$54:$F$54</definedName>
    <definedName name="WA_FINANCIAL" localSheetId="73">'North Carolina Mutual'!$B$54:$F$54</definedName>
    <definedName name="WA_FINANCIAL" localSheetId="75">'Old Colony Life'!$B$54:$F$54</definedName>
    <definedName name="WA_FINANCIAL" localSheetId="76">'Old Faithful'!$B$54:$F$54</definedName>
    <definedName name="WA_FINANCIAL" localSheetId="77">'Pacific Standard'!$B$54:$F$54</definedName>
    <definedName name="WA_FINANCIAL" localSheetId="78">'Pavonia Life'!$B$54:$F$54</definedName>
    <definedName name="WA_FINANCIAL" localSheetId="79">'Pen  Treaty'!$B$54:$F$54</definedName>
    <definedName name="WA_FINANCIAL" localSheetId="80">'Red Rock'!$B$54:$F$54</definedName>
    <definedName name="WA_FINANCIAL" localSheetId="81">Reliance!$B$54:$F$54</definedName>
    <definedName name="WA_FINANCIAL" localSheetId="82">SeeChange!$B$54:$F$54</definedName>
    <definedName name="WA_FINANCIAL" localSheetId="83">'Senior American'!$B$54:$F$54</definedName>
    <definedName name="WA_FINANCIAL" localSheetId="84">Settlers!$B$54:$F$54</definedName>
    <definedName name="WA_FINANCIAL" localSheetId="85">Shenandoah!$B$54:$F$54</definedName>
    <definedName name="WA_FINANCIAL" localSheetId="86">'Southland National Life'!$B$54:$F$54</definedName>
    <definedName name="WA_FINANCIAL" localSheetId="87">'Standard Life IN'!$B$54:$F$54</definedName>
    <definedName name="WA_FINANCIAL" localSheetId="88">'States General'!$B$54:$F$54</definedName>
    <definedName name="WA_FINANCIAL" localSheetId="89">Statesman!$B$54:$F$54</definedName>
    <definedName name="WA_FINANCIAL" localSheetId="90">'Summit National'!$B$54:$F$54</definedName>
    <definedName name="WA_FINANCIAL" localSheetId="91">Supreme!$B$54:$F$54</definedName>
    <definedName name="WA_FINANCIAL" localSheetId="92">Time!$B$54:$F$54</definedName>
    <definedName name="WA_FINANCIAL" localSheetId="106">'Total Summary'!$B$54:$F$54</definedName>
    <definedName name="WA_FINANCIAL" localSheetId="93">Underwriters!$B$54:$F$54</definedName>
    <definedName name="WA_FINANCIAL" localSheetId="94">Unison!$B$54:$F$54</definedName>
    <definedName name="WA_FINANCIAL" localSheetId="95">'United Republic'!$B$54:$F$54</definedName>
    <definedName name="WA_FINANCIAL" localSheetId="96">'Universal Health Care'!$B$54:$F$54</definedName>
    <definedName name="WA_FINANCIAL" localSheetId="97">'Universal Life'!$B$54:$F$54</definedName>
    <definedName name="WA_FINANCIAL" localSheetId="98">Universe!$B$54:$F$54</definedName>
    <definedName name="WA_FINANCIAL" localSheetId="99">Villanova!$B$54:$F$54</definedName>
    <definedName name="WI_FINANCIAL" localSheetId="0">'AF&amp;L'!$B$56:$F$56</definedName>
    <definedName name="WI_FINANCIAL" localSheetId="1">'Alabama Life'!$B$56:$F$56</definedName>
    <definedName name="WI_FINANCIAL" localSheetId="6">'Amer Life Asr'!$B$56:$F$56</definedName>
    <definedName name="WI_FINANCIAL" localSheetId="9">'Amer Std Life Acc'!$B$56:$F$56</definedName>
    <definedName name="WI_FINANCIAL" localSheetId="2">'American Chambers'!$B$56:$F$56</definedName>
    <definedName name="WI_FINANCIAL" localSheetId="3">'American Community'!$B$56:$F$56</definedName>
    <definedName name="WI_FINANCIAL" localSheetId="4">'American Educators'!$B$56:$F$56</definedName>
    <definedName name="WI_FINANCIAL" localSheetId="5">'American Integrity'!$B$56:$F$56</definedName>
    <definedName name="WI_FINANCIAL" localSheetId="7">'American Medical'!$B$56:$F$56</definedName>
    <definedName name="WI_FINANCIAL" localSheetId="8">'American Network'!$B$56:$F$56</definedName>
    <definedName name="WI_FINANCIAL" localSheetId="10">AmerWstrn!$B$56:$F$56</definedName>
    <definedName name="WI_FINANCIAL" localSheetId="11">'AMS Life'!$B$56:$F$56</definedName>
    <definedName name="WI_FINANCIAL" localSheetId="12">'Andrew Jackson'!$B$56:$F$56</definedName>
    <definedName name="WI_FINANCIAL" localSheetId="13">'Bankers Commercial'!$B$56:$F$56</definedName>
    <definedName name="WI_FINANCIAL" localSheetId="14">'Bankers Life'!$B$56:$F$56</definedName>
    <definedName name="WI_FINANCIAL" localSheetId="15">Benicorp!$B$56:$F$56</definedName>
    <definedName name="WI_FINANCIAL" localSheetId="16">'Booker T Washington'!$B$56:$F$56</definedName>
    <definedName name="WI_FINANCIAL" localSheetId="17">Centennial!$B$56:$F$56</definedName>
    <definedName name="WI_FINANCIAL" localSheetId="19">'CO Bankers'!$B$56:$F$56</definedName>
    <definedName name="WI_FINANCIAL" localSheetId="18">'Coastal States'!$B$56:$F$56</definedName>
    <definedName name="WI_FINANCIAL" localSheetId="20">'Colorado Health'!$B$56:$F$56</definedName>
    <definedName name="WI_FINANCIAL" localSheetId="21">'Compass (dbs Meritus)'!$B$56:$F$56</definedName>
    <definedName name="WI_FINANCIAL" localSheetId="22">'Confed Life &amp; Annty (CLIAC)'!$B$56:$F$56</definedName>
    <definedName name="WI_FINANCIAL" localSheetId="23">'Confed Life (CLIC)'!$B$56:$F$56</definedName>
    <definedName name="WI_FINANCIAL" localSheetId="24">'Consolidated National'!$B$56:$F$56</definedName>
    <definedName name="WI_FINANCIAL" localSheetId="25">'Consumers Choice'!$B$56:$F$56</definedName>
    <definedName name="WI_FINANCIAL" localSheetId="26">'Consumers Mutual'!$B$56:$F$56</definedName>
    <definedName name="WI_FINANCIAL" localSheetId="27">'Consumers United'!$B$56:$F$56</definedName>
    <definedName name="WI_FINANCIAL" localSheetId="28">CoOportunity!$B$56:$F$56</definedName>
    <definedName name="WI_FINANCIAL" localSheetId="29">'Coordinated Hlth'!$B$56:$F$56</definedName>
    <definedName name="WI_FINANCIAL" localSheetId="30">'Corporate Life'!$B$56:$F$56</definedName>
    <definedName name="WI_FINANCIAL" localSheetId="31">'Diamond Benefits'!$B$56:$F$56</definedName>
    <definedName name="WI_FINANCIAL" localSheetId="32">'EBL Life'!$B$56:$F$56</definedName>
    <definedName name="WI_FINANCIAL" localSheetId="34">ELNY!$B$56:$F$56</definedName>
    <definedName name="WI_FINANCIAL" localSheetId="33">'Executive Life'!$B$56:$F$56</definedName>
    <definedName name="WI_FINANCIAL" localSheetId="35">'Family Guaranty'!$B$56:$F$56</definedName>
    <definedName name="WI_FINANCIAL" localSheetId="36">'Fidelity Bankers'!$B$56:$F$56</definedName>
    <definedName name="WI_FINANCIAL" localSheetId="37">'Fidelity Mutual'!$B$56:$F$56</definedName>
    <definedName name="WI_FINANCIAL" localSheetId="38">'First Capital'!$B$56:$F$56</definedName>
    <definedName name="WI_FINANCIAL" localSheetId="39">'First Natl'!$B$56:$F$56</definedName>
    <definedName name="WI_FINANCIAL" localSheetId="40">'First Natl (Thrnr)'!$B$56:$F$56</definedName>
    <definedName name="WI_FINANCIAL" localSheetId="41">'Franklin American'!$B$56:$F$56</definedName>
    <definedName name="WI_FINANCIAL" localSheetId="42">'Franklin Protective'!$B$56:$F$56</definedName>
    <definedName name="WI_FINANCIAL" localSheetId="43">'Freelancers CO-OP'!$B$56:$F$56</definedName>
    <definedName name="WI_FINANCIAL" localSheetId="44">Freestone!$B$56:$F$56</definedName>
    <definedName name="WI_FINANCIAL" localSheetId="45">'George Washington'!$B$56:$F$56</definedName>
    <definedName name="WI_FINANCIAL" localSheetId="46">'Golden State'!$B$56:$F$56</definedName>
    <definedName name="WI_FINANCIAL" localSheetId="47">'Guarantee Security'!$B$56:$F$56</definedName>
    <definedName name="WI_FINANCIAL" localSheetId="48">HealthyCT!$B$56:$F$56</definedName>
    <definedName name="WI_FINANCIAL" localSheetId="49">Imerica!$B$56:$F$56</definedName>
    <definedName name="WI_FINANCIAL" localSheetId="50">'Inter-American'!$B$56:$F$56</definedName>
    <definedName name="WI_FINANCIAL" localSheetId="51">'International Fin'!$B$56:$F$56</definedName>
    <definedName name="WI_FINANCIAL" localSheetId="52">'Investment Life of America'!$B$56:$F$56</definedName>
    <definedName name="WI_FINANCIAL" localSheetId="53">'Investors Equity'!$B$56:$F$56</definedName>
    <definedName name="WI_FINANCIAL" localSheetId="54">'Kentucky Central'!$B$56:$F$56</definedName>
    <definedName name="WI_FINANCIAL" localSheetId="55">'Land of Lincoln'!$B$56:$F$56</definedName>
    <definedName name="WI_FINANCIAL" localSheetId="56">Legion!$B$56:$F$56</definedName>
    <definedName name="WI_FINANCIAL" localSheetId="57">'Life Health America'!$B$56:$F$56</definedName>
    <definedName name="WI_FINANCIAL" localSheetId="58">'Lincoln Memorial'!$B$56:$F$56</definedName>
    <definedName name="WI_FINANCIAL" localSheetId="59">'London Pac'!$B$56:$F$56</definedName>
    <definedName name="WI_FINANCIAL" localSheetId="60">Lumbermens!$B$56:$F$56</definedName>
    <definedName name="WI_FINANCIAL" localSheetId="61">'Medical Savings'!$B$56:$F$56</definedName>
    <definedName name="WI_FINANCIAL" localSheetId="62">'Memorial Service'!$B$56:$F$56</definedName>
    <definedName name="WI_FINANCIAL" localSheetId="63">Midcontinent!$B$56:$F$56</definedName>
    <definedName name="WI_FINANCIAL" localSheetId="64">'Midwest Life'!$B$56:$F$56</definedName>
    <definedName name="WI_FINANCIAL" localSheetId="65">'Monarch Life'!$B$56:$F$56</definedName>
    <definedName name="WI_FINANCIAL" localSheetId="66">'Mutual Benefit'!$B$56:$F$56</definedName>
    <definedName name="WI_FINANCIAL" localSheetId="67">'Mutual Security'!$B$56:$F$56</definedName>
    <definedName name="WI_FINANCIAL" localSheetId="68">'National Affiliated'!$B$56:$F$56</definedName>
    <definedName name="WI_FINANCIAL" localSheetId="70">'National Heritage'!$B$56:$F$56</definedName>
    <definedName name="WI_FINANCIAL" localSheetId="71">'National States'!$B$56:$F$56</definedName>
    <definedName name="WI_FINANCIAL" localSheetId="69">'Natl American'!$B$56:$F$56</definedName>
    <definedName name="WI_FINANCIAL" localSheetId="72">'New Jersey Life'!$B$56:$F$56</definedName>
    <definedName name="WI_FINANCIAL" localSheetId="74">NNIC!$B$56:$F$56</definedName>
    <definedName name="WI_FINANCIAL" localSheetId="73">'North Carolina Mutual'!$B$56:$F$56</definedName>
    <definedName name="WI_FINANCIAL" localSheetId="75">'Old Colony Life'!$B$56:$F$56</definedName>
    <definedName name="WI_FINANCIAL" localSheetId="76">'Old Faithful'!$B$56:$F$56</definedName>
    <definedName name="WI_FINANCIAL" localSheetId="77">'Pacific Standard'!$B$56:$F$56</definedName>
    <definedName name="WI_FINANCIAL" localSheetId="78">'Pavonia Life'!$B$56:$F$56</definedName>
    <definedName name="WI_FINANCIAL" localSheetId="79">'Pen  Treaty'!$B$56:$F$56</definedName>
    <definedName name="WI_FINANCIAL" localSheetId="80">'Red Rock'!$B$56:$F$56</definedName>
    <definedName name="WI_FINANCIAL" localSheetId="81">Reliance!$B$56:$F$56</definedName>
    <definedName name="WI_FINANCIAL" localSheetId="82">SeeChange!$B$56:$F$56</definedName>
    <definedName name="WI_FINANCIAL" localSheetId="83">'Senior American'!$B$56:$F$56</definedName>
    <definedName name="WI_FINANCIAL" localSheetId="84">Settlers!$B$56:$F$56</definedName>
    <definedName name="WI_FINANCIAL" localSheetId="85">Shenandoah!$B$56:$F$56</definedName>
    <definedName name="WI_FINANCIAL" localSheetId="86">'Southland National Life'!$B$56:$F$56</definedName>
    <definedName name="WI_FINANCIAL" localSheetId="87">'Standard Life IN'!$B$56:$F$56</definedName>
    <definedName name="WI_FINANCIAL" localSheetId="88">'States General'!$B$56:$F$56</definedName>
    <definedName name="WI_FINANCIAL" localSheetId="89">Statesman!$B$56:$F$56</definedName>
    <definedName name="WI_FINANCIAL" localSheetId="90">'Summit National'!$B$56:$F$56</definedName>
    <definedName name="WI_FINANCIAL" localSheetId="91">Supreme!$B$56:$F$56</definedName>
    <definedName name="WI_FINANCIAL" localSheetId="92">Time!$B$56:$F$56</definedName>
    <definedName name="WI_FINANCIAL" localSheetId="106">'Total Summary'!$B$56:$F$56</definedName>
    <definedName name="WI_FINANCIAL" localSheetId="93">Underwriters!$B$56:$F$56</definedName>
    <definedName name="WI_FINANCIAL" localSheetId="94">Unison!$B$56:$F$56</definedName>
    <definedName name="WI_FINANCIAL" localSheetId="95">'United Republic'!$B$56:$F$56</definedName>
    <definedName name="WI_FINANCIAL" localSheetId="96">'Universal Health Care'!$B$56:$F$56</definedName>
    <definedName name="WI_FINANCIAL" localSheetId="97">'Universal Life'!$B$56:$F$56</definedName>
    <definedName name="WI_FINANCIAL" localSheetId="98">Universe!$B$56:$F$56</definedName>
    <definedName name="WI_FINANCIAL" localSheetId="99">Villanova!$B$56:$F$56</definedName>
    <definedName name="WV_FINANCIAL" localSheetId="0">'AF&amp;L'!$B$55:$F$55</definedName>
    <definedName name="WV_FINANCIAL" localSheetId="1">'Alabama Life'!$B$55:$F$55</definedName>
    <definedName name="WV_FINANCIAL" localSheetId="6">'Amer Life Asr'!$B$55:$F$55</definedName>
    <definedName name="WV_FINANCIAL" localSheetId="9">'Amer Std Life Acc'!$B$55:$F$55</definedName>
    <definedName name="WV_FINANCIAL" localSheetId="2">'American Chambers'!$B$55:$F$55</definedName>
    <definedName name="WV_FINANCIAL" localSheetId="3">'American Community'!$B$55:$F$55</definedName>
    <definedName name="WV_FINANCIAL" localSheetId="4">'American Educators'!$B$55:$F$55</definedName>
    <definedName name="WV_FINANCIAL" localSheetId="5">'American Integrity'!$B$55:$F$55</definedName>
    <definedName name="WV_FINANCIAL" localSheetId="7">'American Medical'!$B$55:$F$55</definedName>
    <definedName name="WV_FINANCIAL" localSheetId="8">'American Network'!$B$55:$F$55</definedName>
    <definedName name="WV_FINANCIAL" localSheetId="10">AmerWstrn!$B$55:$F$55</definedName>
    <definedName name="WV_FINANCIAL" localSheetId="11">'AMS Life'!$B$55:$F$55</definedName>
    <definedName name="WV_FINANCIAL" localSheetId="12">'Andrew Jackson'!$B$55:$F$55</definedName>
    <definedName name="WV_FINANCIAL" localSheetId="13">'Bankers Commercial'!$B$55:$F$55</definedName>
    <definedName name="WV_FINANCIAL" localSheetId="14">'Bankers Life'!$B$55:$F$55</definedName>
    <definedName name="WV_FINANCIAL" localSheetId="15">Benicorp!$B$55:$F$55</definedName>
    <definedName name="WV_FINANCIAL" localSheetId="16">'Booker T Washington'!$B$55:$F$55</definedName>
    <definedName name="WV_FINANCIAL" localSheetId="17">Centennial!$B$55:$F$55</definedName>
    <definedName name="WV_FINANCIAL" localSheetId="19">'CO Bankers'!$B$55:$F$55</definedName>
    <definedName name="WV_FINANCIAL" localSheetId="18">'Coastal States'!$B$55:$F$55</definedName>
    <definedName name="WV_FINANCIAL" localSheetId="20">'Colorado Health'!$B$55:$F$55</definedName>
    <definedName name="WV_FINANCIAL" localSheetId="21">'Compass (dbs Meritus)'!$B$55:$F$55</definedName>
    <definedName name="WV_FINANCIAL" localSheetId="22">'Confed Life &amp; Annty (CLIAC)'!$B$55:$F$55</definedName>
    <definedName name="WV_FINANCIAL" localSheetId="23">'Confed Life (CLIC)'!$B$55:$F$55</definedName>
    <definedName name="WV_FINANCIAL" localSheetId="24">'Consolidated National'!$B$55:$F$55</definedName>
    <definedName name="WV_FINANCIAL" localSheetId="25">'Consumers Choice'!$B$55:$F$55</definedName>
    <definedName name="WV_FINANCIAL" localSheetId="26">'Consumers Mutual'!$B$55:$F$55</definedName>
    <definedName name="WV_FINANCIAL" localSheetId="27">'Consumers United'!$B$55:$F$55</definedName>
    <definedName name="WV_FINANCIAL" localSheetId="28">CoOportunity!$B$55:$F$55</definedName>
    <definedName name="WV_FINANCIAL" localSheetId="29">'Coordinated Hlth'!$B$55:$F$55</definedName>
    <definedName name="WV_FINANCIAL" localSheetId="30">'Corporate Life'!$B$55:$F$55</definedName>
    <definedName name="WV_FINANCIAL" localSheetId="31">'Diamond Benefits'!$B$55:$F$55</definedName>
    <definedName name="WV_FINANCIAL" localSheetId="32">'EBL Life'!$B$55:$F$55</definedName>
    <definedName name="WV_FINANCIAL" localSheetId="34">ELNY!$B$55:$F$55</definedName>
    <definedName name="WV_FINANCIAL" localSheetId="33">'Executive Life'!$B$55:$F$55</definedName>
    <definedName name="WV_FINANCIAL" localSheetId="35">'Family Guaranty'!$B$55:$F$55</definedName>
    <definedName name="WV_FINANCIAL" localSheetId="36">'Fidelity Bankers'!$B$55:$F$55</definedName>
    <definedName name="WV_FINANCIAL" localSheetId="37">'Fidelity Mutual'!$B$55:$F$55</definedName>
    <definedName name="WV_FINANCIAL" localSheetId="38">'First Capital'!$B$55:$F$55</definedName>
    <definedName name="WV_FINANCIAL" localSheetId="39">'First Natl'!$B$55:$F$55</definedName>
    <definedName name="WV_FINANCIAL" localSheetId="40">'First Natl (Thrnr)'!$B$55:$F$55</definedName>
    <definedName name="WV_FINANCIAL" localSheetId="41">'Franklin American'!$B$55:$F$55</definedName>
    <definedName name="WV_FINANCIAL" localSheetId="42">'Franklin Protective'!$B$55:$F$55</definedName>
    <definedName name="WV_FINANCIAL" localSheetId="43">'Freelancers CO-OP'!$B$55:$F$55</definedName>
    <definedName name="WV_FINANCIAL" localSheetId="44">Freestone!$B$55:$F$55</definedName>
    <definedName name="WV_FINANCIAL" localSheetId="45">'George Washington'!$B$55:$F$55</definedName>
    <definedName name="WV_FINANCIAL" localSheetId="46">'Golden State'!$B$55:$F$55</definedName>
    <definedName name="WV_FINANCIAL" localSheetId="47">'Guarantee Security'!$B$55:$F$55</definedName>
    <definedName name="WV_FINANCIAL" localSheetId="48">HealthyCT!$B$55:$F$55</definedName>
    <definedName name="WV_FINANCIAL" localSheetId="49">Imerica!$B$55:$F$55</definedName>
    <definedName name="WV_FINANCIAL" localSheetId="50">'Inter-American'!$B$55:$F$55</definedName>
    <definedName name="WV_FINANCIAL" localSheetId="51">'International Fin'!$B$55:$F$55</definedName>
    <definedName name="WV_FINANCIAL" localSheetId="52">'Investment Life of America'!$B$55:$F$55</definedName>
    <definedName name="WV_FINANCIAL" localSheetId="53">'Investors Equity'!$B$55:$F$55</definedName>
    <definedName name="WV_FINANCIAL" localSheetId="54">'Kentucky Central'!$B$55:$F$55</definedName>
    <definedName name="WV_FINANCIAL" localSheetId="55">'Land of Lincoln'!$B$55:$F$55</definedName>
    <definedName name="WV_FINANCIAL" localSheetId="56">Legion!$B$55:$F$55</definedName>
    <definedName name="WV_FINANCIAL" localSheetId="57">'Life Health America'!$B$55:$F$55</definedName>
    <definedName name="WV_FINANCIAL" localSheetId="58">'Lincoln Memorial'!$B$55:$F$55</definedName>
    <definedName name="WV_FINANCIAL" localSheetId="59">'London Pac'!$B$55:$F$55</definedName>
    <definedName name="WV_FINANCIAL" localSheetId="60">Lumbermens!$B$55:$F$55</definedName>
    <definedName name="WV_FINANCIAL" localSheetId="61">'Medical Savings'!$B$55:$F$55</definedName>
    <definedName name="WV_FINANCIAL" localSheetId="62">'Memorial Service'!$B$55:$F$55</definedName>
    <definedName name="WV_FINANCIAL" localSheetId="63">Midcontinent!$B$55:$F$55</definedName>
    <definedName name="WV_FINANCIAL" localSheetId="64">'Midwest Life'!$B$55:$F$55</definedName>
    <definedName name="WV_FINANCIAL" localSheetId="65">'Monarch Life'!$B$55:$F$55</definedName>
    <definedName name="WV_FINANCIAL" localSheetId="66">'Mutual Benefit'!$B$55:$F$55</definedName>
    <definedName name="WV_FINANCIAL" localSheetId="67">'Mutual Security'!$B$55:$F$55</definedName>
    <definedName name="WV_FINANCIAL" localSheetId="68">'National Affiliated'!$B$55:$F$55</definedName>
    <definedName name="WV_FINANCIAL" localSheetId="70">'National Heritage'!$B$55:$F$55</definedName>
    <definedName name="WV_FINANCIAL" localSheetId="71">'National States'!$B$55:$F$55</definedName>
    <definedName name="WV_FINANCIAL" localSheetId="69">'Natl American'!$B$55:$F$55</definedName>
    <definedName name="WV_FINANCIAL" localSheetId="72">'New Jersey Life'!$B$55:$F$55</definedName>
    <definedName name="WV_FINANCIAL" localSheetId="74">NNIC!$B$55:$F$55</definedName>
    <definedName name="WV_FINANCIAL" localSheetId="73">'North Carolina Mutual'!$B$55:$F$55</definedName>
    <definedName name="WV_FINANCIAL" localSheetId="75">'Old Colony Life'!$B$55:$F$55</definedName>
    <definedName name="WV_FINANCIAL" localSheetId="76">'Old Faithful'!$B$55:$F$55</definedName>
    <definedName name="WV_FINANCIAL" localSheetId="77">'Pacific Standard'!$B$55:$F$55</definedName>
    <definedName name="WV_FINANCIAL" localSheetId="78">'Pavonia Life'!$B$55:$F$55</definedName>
    <definedName name="WV_FINANCIAL" localSheetId="79">'Pen  Treaty'!$B$55:$F$55</definedName>
    <definedName name="WV_FINANCIAL" localSheetId="80">'Red Rock'!$B$55:$F$55</definedName>
    <definedName name="WV_FINANCIAL" localSheetId="81">Reliance!$B$55:$F$55</definedName>
    <definedName name="WV_FINANCIAL" localSheetId="82">SeeChange!$B$55:$F$55</definedName>
    <definedName name="WV_FINANCIAL" localSheetId="83">'Senior American'!$B$55:$F$55</definedName>
    <definedName name="WV_FINANCIAL" localSheetId="84">Settlers!$B$55:$F$55</definedName>
    <definedName name="WV_FINANCIAL" localSheetId="85">Shenandoah!$B$55:$F$55</definedName>
    <definedName name="WV_FINANCIAL" localSheetId="86">'Southland National Life'!$B$55:$F$55</definedName>
    <definedName name="WV_FINANCIAL" localSheetId="87">'Standard Life IN'!$B$55:$F$55</definedName>
    <definedName name="WV_FINANCIAL" localSheetId="88">'States General'!$B$55:$F$55</definedName>
    <definedName name="WV_FINANCIAL" localSheetId="89">Statesman!$B$55:$F$55</definedName>
    <definedName name="WV_FINANCIAL" localSheetId="90">'Summit National'!$B$55:$F$55</definedName>
    <definedName name="WV_FINANCIAL" localSheetId="91">Supreme!$B$55:$F$55</definedName>
    <definedName name="WV_FINANCIAL" localSheetId="92">Time!$B$55:$F$55</definedName>
    <definedName name="WV_FINANCIAL" localSheetId="106">'Total Summary'!$B$55:$F$55</definedName>
    <definedName name="WV_FINANCIAL" localSheetId="93">Underwriters!$B$55:$F$55</definedName>
    <definedName name="WV_FINANCIAL" localSheetId="94">Unison!$B$55:$F$55</definedName>
    <definedName name="WV_FINANCIAL" localSheetId="95">'United Republic'!$B$55:$F$55</definedName>
    <definedName name="WV_FINANCIAL" localSheetId="96">'Universal Health Care'!$B$55:$F$55</definedName>
    <definedName name="WV_FINANCIAL" localSheetId="97">'Universal Life'!$B$55:$F$55</definedName>
    <definedName name="WV_FINANCIAL" localSheetId="98">Universe!$B$55:$F$55</definedName>
    <definedName name="WV_FINANCIAL" localSheetId="99">Villanova!$B$55:$F$55</definedName>
    <definedName name="WY_FINANCIAL" localSheetId="0">'AF&amp;L'!$B$57:$F$57</definedName>
    <definedName name="WY_FINANCIAL" localSheetId="1">'Alabama Life'!$B$57:$F$57</definedName>
    <definedName name="WY_FINANCIAL" localSheetId="6">'Amer Life Asr'!$B$57:$F$57</definedName>
    <definedName name="WY_FINANCIAL" localSheetId="9">'Amer Std Life Acc'!$B$57:$F$57</definedName>
    <definedName name="WY_FINANCIAL" localSheetId="2">'American Chambers'!$B$57:$F$57</definedName>
    <definedName name="WY_FINANCIAL" localSheetId="3">'American Community'!$B$57:$F$57</definedName>
    <definedName name="WY_FINANCIAL" localSheetId="4">'American Educators'!$B$57:$F$57</definedName>
    <definedName name="WY_FINANCIAL" localSheetId="5">'American Integrity'!$B$57:$F$57</definedName>
    <definedName name="WY_FINANCIAL" localSheetId="7">'American Medical'!$B$57:$F$57</definedName>
    <definedName name="WY_FINANCIAL" localSheetId="8">'American Network'!$B$57:$F$57</definedName>
    <definedName name="WY_FINANCIAL" localSheetId="10">AmerWstrn!$B$57:$F$57</definedName>
    <definedName name="WY_FINANCIAL" localSheetId="11">'AMS Life'!$B$57:$F$57</definedName>
    <definedName name="WY_FINANCIAL" localSheetId="12">'Andrew Jackson'!$B$57:$F$57</definedName>
    <definedName name="WY_FINANCIAL" localSheetId="13">'Bankers Commercial'!$B$57:$F$57</definedName>
    <definedName name="WY_FINANCIAL" localSheetId="14">'Bankers Life'!$B$57:$F$57</definedName>
    <definedName name="WY_FINANCIAL" localSheetId="15">Benicorp!$B$57:$F$57</definedName>
    <definedName name="WY_FINANCIAL" localSheetId="16">'Booker T Washington'!$B$57:$F$57</definedName>
    <definedName name="WY_FINANCIAL" localSheetId="17">Centennial!$B$57:$F$57</definedName>
    <definedName name="WY_FINANCIAL" localSheetId="19">'CO Bankers'!$B$57:$F$57</definedName>
    <definedName name="WY_FINANCIAL" localSheetId="18">'Coastal States'!$B$57:$F$57</definedName>
    <definedName name="WY_FINANCIAL" localSheetId="20">'Colorado Health'!$B$57:$F$57</definedName>
    <definedName name="WY_FINANCIAL" localSheetId="21">'Compass (dbs Meritus)'!$B$57:$F$57</definedName>
    <definedName name="WY_FINANCIAL" localSheetId="22">'Confed Life &amp; Annty (CLIAC)'!$B$57:$F$57</definedName>
    <definedName name="WY_FINANCIAL" localSheetId="23">'Confed Life (CLIC)'!$B$57:$F$57</definedName>
    <definedName name="WY_FINANCIAL" localSheetId="24">'Consolidated National'!$B$57:$F$57</definedName>
    <definedName name="WY_FINANCIAL" localSheetId="25">'Consumers Choice'!$B$57:$F$57</definedName>
    <definedName name="WY_FINANCIAL" localSheetId="26">'Consumers Mutual'!$B$57:$F$57</definedName>
    <definedName name="WY_FINANCIAL" localSheetId="27">'Consumers United'!$B$57:$F$57</definedName>
    <definedName name="WY_FINANCIAL" localSheetId="28">CoOportunity!$B$57:$F$57</definedName>
    <definedName name="WY_FINANCIAL" localSheetId="29">'Coordinated Hlth'!$B$57:$F$57</definedName>
    <definedName name="WY_FINANCIAL" localSheetId="30">'Corporate Life'!$B$57:$F$57</definedName>
    <definedName name="WY_FINANCIAL" localSheetId="31">'Diamond Benefits'!$B$57:$F$57</definedName>
    <definedName name="WY_FINANCIAL" localSheetId="32">'EBL Life'!$B$57:$F$57</definedName>
    <definedName name="WY_FINANCIAL" localSheetId="34">ELNY!$B$57:$F$57</definedName>
    <definedName name="WY_FINANCIAL" localSheetId="33">'Executive Life'!$B$57:$F$57</definedName>
    <definedName name="WY_FINANCIAL" localSheetId="35">'Family Guaranty'!$B$57:$F$57</definedName>
    <definedName name="WY_FINANCIAL" localSheetId="36">'Fidelity Bankers'!$B$57:$F$57</definedName>
    <definedName name="WY_FINANCIAL" localSheetId="37">'Fidelity Mutual'!$B$57:$F$57</definedName>
    <definedName name="WY_FINANCIAL" localSheetId="38">'First Capital'!$B$57:$F$57</definedName>
    <definedName name="WY_FINANCIAL" localSheetId="39">'First Natl'!$B$57:$F$57</definedName>
    <definedName name="WY_FINANCIAL" localSheetId="40">'First Natl (Thrnr)'!$B$57:$F$57</definedName>
    <definedName name="WY_FINANCIAL" localSheetId="41">'Franklin American'!$B$57:$F$57</definedName>
    <definedName name="WY_FINANCIAL" localSheetId="42">'Franklin Protective'!$B$57:$F$57</definedName>
    <definedName name="WY_FINANCIAL" localSheetId="43">'Freelancers CO-OP'!$B$57:$F$57</definedName>
    <definedName name="WY_FINANCIAL" localSheetId="44">Freestone!$B$57:$F$57</definedName>
    <definedName name="WY_FINANCIAL" localSheetId="45">'George Washington'!$B$57:$F$57</definedName>
    <definedName name="WY_FINANCIAL" localSheetId="46">'Golden State'!$B$57:$F$57</definedName>
    <definedName name="WY_FINANCIAL" localSheetId="47">'Guarantee Security'!$B$57:$F$57</definedName>
    <definedName name="WY_FINANCIAL" localSheetId="48">HealthyCT!$B$57:$F$57</definedName>
    <definedName name="WY_FINANCIAL" localSheetId="49">Imerica!$B$57:$F$57</definedName>
    <definedName name="WY_FINANCIAL" localSheetId="50">'Inter-American'!$B$57:$F$57</definedName>
    <definedName name="WY_FINANCIAL" localSheetId="51">'International Fin'!$B$57:$F$57</definedName>
    <definedName name="WY_FINANCIAL" localSheetId="52">'Investment Life of America'!$B$57:$F$57</definedName>
    <definedName name="WY_FINANCIAL" localSheetId="53">'Investors Equity'!$B$57:$F$57</definedName>
    <definedName name="WY_FINANCIAL" localSheetId="54">'Kentucky Central'!$B$57:$F$57</definedName>
    <definedName name="WY_FINANCIAL" localSheetId="55">'Land of Lincoln'!$B$57:$F$57</definedName>
    <definedName name="WY_FINANCIAL" localSheetId="56">Legion!$B$57:$F$57</definedName>
    <definedName name="WY_FINANCIAL" localSheetId="57">'Life Health America'!$B$57:$F$57</definedName>
    <definedName name="WY_FINANCIAL" localSheetId="58">'Lincoln Memorial'!$B$57:$F$57</definedName>
    <definedName name="WY_FINANCIAL" localSheetId="59">'London Pac'!$B$57:$F$57</definedName>
    <definedName name="WY_FINANCIAL" localSheetId="60">Lumbermens!$B$57:$F$57</definedName>
    <definedName name="WY_FINANCIAL" localSheetId="61">'Medical Savings'!$B$57:$F$57</definedName>
    <definedName name="WY_FINANCIAL" localSheetId="62">'Memorial Service'!$B$57:$F$57</definedName>
    <definedName name="WY_FINANCIAL" localSheetId="63">Midcontinent!$B$57:$F$57</definedName>
    <definedName name="WY_FINANCIAL" localSheetId="64">'Midwest Life'!$B$57:$F$57</definedName>
    <definedName name="WY_FINANCIAL" localSheetId="65">'Monarch Life'!$B$57:$F$57</definedName>
    <definedName name="WY_FINANCIAL" localSheetId="66">'Mutual Benefit'!$B$57:$F$57</definedName>
    <definedName name="WY_FINANCIAL" localSheetId="67">'Mutual Security'!$B$57:$F$57</definedName>
    <definedName name="WY_FINANCIAL" localSheetId="68">'National Affiliated'!$B$57:$F$57</definedName>
    <definedName name="WY_FINANCIAL" localSheetId="70">'National Heritage'!$B$57:$F$57</definedName>
    <definedName name="WY_FINANCIAL" localSheetId="71">'National States'!$B$57:$F$57</definedName>
    <definedName name="WY_FINANCIAL" localSheetId="69">'Natl American'!$B$57:$F$57</definedName>
    <definedName name="WY_FINANCIAL" localSheetId="72">'New Jersey Life'!$B$57:$F$57</definedName>
    <definedName name="WY_FINANCIAL" localSheetId="74">NNIC!$B$57:$F$57</definedName>
    <definedName name="WY_FINANCIAL" localSheetId="73">'North Carolina Mutual'!$B$57:$F$57</definedName>
    <definedName name="WY_FINANCIAL" localSheetId="75">'Old Colony Life'!$B$57:$F$57</definedName>
    <definedName name="WY_FINANCIAL" localSheetId="76">'Old Faithful'!$B$57:$F$57</definedName>
    <definedName name="WY_FINANCIAL" localSheetId="77">'Pacific Standard'!$B$57:$F$57</definedName>
    <definedName name="WY_FINANCIAL" localSheetId="78">'Pavonia Life'!$B$57:$F$57</definedName>
    <definedName name="WY_FINANCIAL" localSheetId="79">'Pen  Treaty'!$B$57:$F$57</definedName>
    <definedName name="WY_FINANCIAL" localSheetId="80">'Red Rock'!$B$57:$F$57</definedName>
    <definedName name="WY_FINANCIAL" localSheetId="81">Reliance!$B$57:$F$57</definedName>
    <definedName name="WY_FINANCIAL" localSheetId="82">SeeChange!$B$57:$F$57</definedName>
    <definedName name="WY_FINANCIAL" localSheetId="83">'Senior American'!$B$57:$F$57</definedName>
    <definedName name="WY_FINANCIAL" localSheetId="84">Settlers!$B$57:$F$57</definedName>
    <definedName name="WY_FINANCIAL" localSheetId="85">Shenandoah!$B$57:$F$57</definedName>
    <definedName name="WY_FINANCIAL" localSheetId="86">'Southland National Life'!$B$57:$F$57</definedName>
    <definedName name="WY_FINANCIAL" localSheetId="87">'Standard Life IN'!$B$57:$F$57</definedName>
    <definedName name="WY_FINANCIAL" localSheetId="88">'States General'!$B$57:$F$57</definedName>
    <definedName name="WY_FINANCIAL" localSheetId="89">Statesman!$B$57:$F$57</definedName>
    <definedName name="WY_FINANCIAL" localSheetId="90">'Summit National'!$B$57:$F$57</definedName>
    <definedName name="WY_FINANCIAL" localSheetId="91">Supreme!$B$57:$F$57</definedName>
    <definedName name="WY_FINANCIAL" localSheetId="92">Time!$B$57:$F$57</definedName>
    <definedName name="WY_FINANCIAL" localSheetId="106">'Total Summary'!$B$57:$F$57</definedName>
    <definedName name="WY_FINANCIAL" localSheetId="93">Underwriters!$B$57:$F$57</definedName>
    <definedName name="WY_FINANCIAL" localSheetId="94">Unison!$B$57:$F$57</definedName>
    <definedName name="WY_FINANCIAL" localSheetId="95">'United Republic'!$B$57:$F$57</definedName>
    <definedName name="WY_FINANCIAL" localSheetId="96">'Universal Health Care'!$B$57:$F$57</definedName>
    <definedName name="WY_FINANCIAL" localSheetId="97">'Universal Life'!$B$57:$F$57</definedName>
    <definedName name="WY_FINANCIAL" localSheetId="98">Universe!$B$57:$F$57</definedName>
    <definedName name="WY_FINANCIAL" localSheetId="99">Villanova!$B$57:$F$57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019" i="108" l="1"/>
  <c r="H2019" i="108"/>
  <c r="G2019" i="108"/>
  <c r="F2019" i="108"/>
  <c r="E2019" i="108"/>
  <c r="I2019" i="108" s="1"/>
  <c r="J2018" i="108"/>
  <c r="I2018" i="108"/>
  <c r="H2018" i="108"/>
  <c r="G2018" i="108"/>
  <c r="F2018" i="108"/>
  <c r="E2018" i="108"/>
  <c r="J2017" i="108"/>
  <c r="H2017" i="108"/>
  <c r="G2017" i="108"/>
  <c r="F2017" i="108"/>
  <c r="E2017" i="108"/>
  <c r="I2017" i="108" s="1"/>
  <c r="J2016" i="108"/>
  <c r="I2016" i="108"/>
  <c r="H2016" i="108"/>
  <c r="G2016" i="108"/>
  <c r="F2016" i="108"/>
  <c r="E2016" i="108"/>
  <c r="J2015" i="108"/>
  <c r="H2015" i="108"/>
  <c r="G2015" i="108"/>
  <c r="F2015" i="108"/>
  <c r="E2015" i="108"/>
  <c r="I2015" i="108" s="1"/>
  <c r="J2014" i="108"/>
  <c r="I2014" i="108"/>
  <c r="H2014" i="108"/>
  <c r="G2014" i="108"/>
  <c r="F2014" i="108"/>
  <c r="E2014" i="108"/>
  <c r="J2013" i="108"/>
  <c r="H2013" i="108"/>
  <c r="G2013" i="108"/>
  <c r="F2013" i="108"/>
  <c r="E2013" i="108"/>
  <c r="I2013" i="108" s="1"/>
  <c r="D2013" i="108"/>
  <c r="D2014" i="108" s="1"/>
  <c r="D2015" i="108" s="1"/>
  <c r="D2016" i="108" s="1"/>
  <c r="D2017" i="108" s="1"/>
  <c r="D2018" i="108" s="1"/>
  <c r="J2012" i="108"/>
  <c r="I2012" i="108"/>
  <c r="H2012" i="108"/>
  <c r="G2012" i="108"/>
  <c r="F2012" i="108"/>
  <c r="E2012" i="108"/>
  <c r="J2011" i="108"/>
  <c r="H2011" i="108"/>
  <c r="G2011" i="108"/>
  <c r="F2011" i="108"/>
  <c r="E2011" i="108"/>
  <c r="I2011" i="108" s="1"/>
  <c r="J2010" i="108"/>
  <c r="H2010" i="108"/>
  <c r="G2010" i="108"/>
  <c r="I2010" i="108" s="1"/>
  <c r="F2010" i="108"/>
  <c r="E2010" i="108"/>
  <c r="J2009" i="108"/>
  <c r="I2009" i="108"/>
  <c r="H2009" i="108"/>
  <c r="G2009" i="108"/>
  <c r="F2009" i="108"/>
  <c r="E2009" i="108"/>
  <c r="J2008" i="108"/>
  <c r="H2008" i="108"/>
  <c r="G2008" i="108"/>
  <c r="F2008" i="108"/>
  <c r="E2008" i="108"/>
  <c r="I2008" i="108" s="1"/>
  <c r="J2007" i="108"/>
  <c r="H2007" i="108"/>
  <c r="G2007" i="108"/>
  <c r="F2007" i="108"/>
  <c r="E2007" i="108"/>
  <c r="I2007" i="108" s="1"/>
  <c r="J2006" i="108"/>
  <c r="H2006" i="108"/>
  <c r="G2006" i="108"/>
  <c r="F2006" i="108"/>
  <c r="E2006" i="108"/>
  <c r="I2006" i="108" s="1"/>
  <c r="J2005" i="108"/>
  <c r="I2005" i="108"/>
  <c r="H2005" i="108"/>
  <c r="G2005" i="108"/>
  <c r="F2005" i="108"/>
  <c r="E2005" i="108"/>
  <c r="J2004" i="108"/>
  <c r="H2004" i="108"/>
  <c r="G2004" i="108"/>
  <c r="F2004" i="108"/>
  <c r="E2004" i="108"/>
  <c r="I2004" i="108" s="1"/>
  <c r="J2003" i="108"/>
  <c r="H2003" i="108"/>
  <c r="G2003" i="108"/>
  <c r="I2003" i="108" s="1"/>
  <c r="F2003" i="108"/>
  <c r="E2003" i="108"/>
  <c r="J2002" i="108"/>
  <c r="I2002" i="108"/>
  <c r="H2002" i="108"/>
  <c r="G2002" i="108"/>
  <c r="F2002" i="108"/>
  <c r="E2002" i="108"/>
  <c r="J2001" i="108"/>
  <c r="H2001" i="108"/>
  <c r="G2001" i="108"/>
  <c r="F2001" i="108"/>
  <c r="E2001" i="108"/>
  <c r="I2001" i="108" s="1"/>
  <c r="J2000" i="108"/>
  <c r="H2000" i="108"/>
  <c r="G2000" i="108"/>
  <c r="F2000" i="108"/>
  <c r="E2000" i="108"/>
  <c r="I2000" i="108" s="1"/>
  <c r="J1999" i="108"/>
  <c r="H1999" i="108"/>
  <c r="G1999" i="108"/>
  <c r="F1999" i="108"/>
  <c r="E1999" i="108"/>
  <c r="I1999" i="108" s="1"/>
  <c r="J1998" i="108"/>
  <c r="I1998" i="108"/>
  <c r="H1998" i="108"/>
  <c r="G1998" i="108"/>
  <c r="F1998" i="108"/>
  <c r="E1998" i="108"/>
  <c r="J1997" i="108"/>
  <c r="H1997" i="108"/>
  <c r="G1997" i="108"/>
  <c r="F1997" i="108"/>
  <c r="E1997" i="108"/>
  <c r="J1996" i="108"/>
  <c r="H1996" i="108"/>
  <c r="G1996" i="108"/>
  <c r="F1996" i="108"/>
  <c r="E1996" i="108"/>
  <c r="J1995" i="108"/>
  <c r="H1995" i="108"/>
  <c r="G1995" i="108"/>
  <c r="F1995" i="108"/>
  <c r="E1995" i="108"/>
  <c r="J1994" i="108"/>
  <c r="H1994" i="108"/>
  <c r="G1994" i="108"/>
  <c r="F1994" i="108"/>
  <c r="E1994" i="108"/>
  <c r="J1993" i="108"/>
  <c r="H1993" i="108"/>
  <c r="G1993" i="108"/>
  <c r="F1993" i="108"/>
  <c r="E1993" i="108"/>
  <c r="J1992" i="108"/>
  <c r="H1992" i="108"/>
  <c r="G1992" i="108"/>
  <c r="F1992" i="108"/>
  <c r="E1992" i="108"/>
  <c r="J1991" i="108"/>
  <c r="I1991" i="108"/>
  <c r="H1991" i="108"/>
  <c r="G1991" i="108"/>
  <c r="F1991" i="108"/>
  <c r="E1991" i="108"/>
  <c r="J1990" i="108"/>
  <c r="H1990" i="108"/>
  <c r="G1990" i="108"/>
  <c r="F1990" i="108"/>
  <c r="E1990" i="108"/>
  <c r="J1989" i="108"/>
  <c r="H1989" i="108"/>
  <c r="G1989" i="108"/>
  <c r="F1989" i="108"/>
  <c r="E1989" i="108"/>
  <c r="J1988" i="108"/>
  <c r="H1988" i="108"/>
  <c r="G1988" i="108"/>
  <c r="F1988" i="108"/>
  <c r="E1988" i="108"/>
  <c r="J1987" i="108"/>
  <c r="H1987" i="108"/>
  <c r="G1987" i="108"/>
  <c r="F1987" i="108"/>
  <c r="E1987" i="108"/>
  <c r="J1986" i="108"/>
  <c r="H1986" i="108"/>
  <c r="G1986" i="108"/>
  <c r="F1986" i="108"/>
  <c r="E1986" i="108"/>
  <c r="J1985" i="108"/>
  <c r="H1985" i="108"/>
  <c r="G1985" i="108"/>
  <c r="G2022" i="108" s="1"/>
  <c r="F1985" i="108"/>
  <c r="E1985" i="108"/>
  <c r="J1984" i="108"/>
  <c r="I1984" i="108"/>
  <c r="H1984" i="108"/>
  <c r="G1984" i="108"/>
  <c r="F1984" i="108"/>
  <c r="E1984" i="108"/>
  <c r="J1983" i="108"/>
  <c r="J2022" i="108" s="1"/>
  <c r="H1983" i="108"/>
  <c r="H2022" i="108" s="1"/>
  <c r="G1983" i="108"/>
  <c r="F1983" i="108"/>
  <c r="F2022" i="108" s="1"/>
  <c r="E1983" i="108"/>
  <c r="E2022" i="108" s="1"/>
  <c r="I1981" i="108"/>
  <c r="I1980" i="108"/>
  <c r="I1979" i="108"/>
  <c r="I1978" i="108"/>
  <c r="M1977" i="108"/>
  <c r="I1977" i="108"/>
  <c r="M1976" i="108"/>
  <c r="I1976" i="108"/>
  <c r="M1975" i="108"/>
  <c r="I1975" i="108"/>
  <c r="M1974" i="108"/>
  <c r="I1974" i="108"/>
  <c r="M1973" i="108"/>
  <c r="I1973" i="108"/>
  <c r="M1972" i="108"/>
  <c r="I1972" i="108"/>
  <c r="M1971" i="108"/>
  <c r="I1971" i="108"/>
  <c r="M1970" i="108"/>
  <c r="I1970" i="108"/>
  <c r="M1969" i="108"/>
  <c r="I1969" i="108"/>
  <c r="M1968" i="108"/>
  <c r="I1968" i="108"/>
  <c r="M1967" i="108"/>
  <c r="I1967" i="108"/>
  <c r="M1966" i="108"/>
  <c r="I1966" i="108"/>
  <c r="M1965" i="108"/>
  <c r="I1965" i="108"/>
  <c r="M1964" i="108"/>
  <c r="I1964" i="108"/>
  <c r="M1963" i="108"/>
  <c r="I1963" i="108"/>
  <c r="M1962" i="108"/>
  <c r="I1962" i="108"/>
  <c r="M1961" i="108"/>
  <c r="I1961" i="108"/>
  <c r="M1960" i="108"/>
  <c r="I1960" i="108"/>
  <c r="M1959" i="108"/>
  <c r="I1959" i="108"/>
  <c r="M1958" i="108"/>
  <c r="I1958" i="108"/>
  <c r="M1957" i="108"/>
  <c r="I1957" i="108"/>
  <c r="M1956" i="108"/>
  <c r="I1956" i="108"/>
  <c r="M1955" i="108"/>
  <c r="I1955" i="108"/>
  <c r="M1954" i="108"/>
  <c r="I1954" i="108"/>
  <c r="M1953" i="108"/>
  <c r="I1953" i="108"/>
  <c r="M1952" i="108"/>
  <c r="I1952" i="108"/>
  <c r="M1951" i="108"/>
  <c r="I1951" i="108"/>
  <c r="M1950" i="108"/>
  <c r="I1950" i="108"/>
  <c r="M1949" i="108"/>
  <c r="I1949" i="108"/>
  <c r="M1948" i="108"/>
  <c r="I1948" i="108"/>
  <c r="M1947" i="108"/>
  <c r="I1947" i="108"/>
  <c r="M1946" i="108"/>
  <c r="I1946" i="108"/>
  <c r="M1945" i="108"/>
  <c r="I1945" i="108"/>
  <c r="I1943" i="108"/>
  <c r="I1942" i="108"/>
  <c r="M1941" i="108"/>
  <c r="I1941" i="108"/>
  <c r="I1940" i="108"/>
  <c r="M1939" i="108"/>
  <c r="I1939" i="108"/>
  <c r="M1938" i="108"/>
  <c r="I1938" i="108"/>
  <c r="M1937" i="108"/>
  <c r="I1937" i="108"/>
  <c r="M1936" i="108"/>
  <c r="I1936" i="108"/>
  <c r="M1935" i="108"/>
  <c r="I1935" i="108"/>
  <c r="M1934" i="108"/>
  <c r="I1934" i="108"/>
  <c r="M1933" i="108"/>
  <c r="I1933" i="108"/>
  <c r="M1932" i="108"/>
  <c r="I1932" i="108"/>
  <c r="M1931" i="108"/>
  <c r="I1931" i="108"/>
  <c r="M1930" i="108"/>
  <c r="I1930" i="108"/>
  <c r="M1929" i="108"/>
  <c r="I1929" i="108"/>
  <c r="M1928" i="108"/>
  <c r="I1928" i="108"/>
  <c r="M1927" i="108"/>
  <c r="I1927" i="108"/>
  <c r="M1926" i="108"/>
  <c r="I1926" i="108"/>
  <c r="M1925" i="108"/>
  <c r="I1925" i="108"/>
  <c r="M1924" i="108"/>
  <c r="I1924" i="108"/>
  <c r="M1923" i="108"/>
  <c r="I1923" i="108"/>
  <c r="M1922" i="108"/>
  <c r="I1922" i="108"/>
  <c r="M1921" i="108"/>
  <c r="I1921" i="108"/>
  <c r="M1920" i="108"/>
  <c r="I1920" i="108"/>
  <c r="M1919" i="108"/>
  <c r="I1919" i="108"/>
  <c r="M1918" i="108"/>
  <c r="I1918" i="108"/>
  <c r="M1917" i="108"/>
  <c r="I1917" i="108"/>
  <c r="M1916" i="108"/>
  <c r="I1916" i="108"/>
  <c r="M1915" i="108"/>
  <c r="I1915" i="108"/>
  <c r="M1914" i="108"/>
  <c r="I1914" i="108"/>
  <c r="M1913" i="108"/>
  <c r="I1913" i="108"/>
  <c r="M1912" i="108"/>
  <c r="I1912" i="108"/>
  <c r="M1911" i="108"/>
  <c r="I1911" i="108"/>
  <c r="M1910" i="108"/>
  <c r="I1910" i="108"/>
  <c r="M1909" i="108"/>
  <c r="I1909" i="108"/>
  <c r="M1908" i="108"/>
  <c r="I1908" i="108"/>
  <c r="M1907" i="108"/>
  <c r="I1907" i="108"/>
  <c r="I1905" i="108"/>
  <c r="I1904" i="108"/>
  <c r="M1903" i="108"/>
  <c r="I1903" i="108"/>
  <c r="I1902" i="108"/>
  <c r="M1901" i="108"/>
  <c r="I1901" i="108"/>
  <c r="M1900" i="108"/>
  <c r="I1900" i="108"/>
  <c r="M1899" i="108"/>
  <c r="I1899" i="108"/>
  <c r="M1898" i="108"/>
  <c r="I1898" i="108"/>
  <c r="M1897" i="108"/>
  <c r="I1897" i="108"/>
  <c r="M1896" i="108"/>
  <c r="I1896" i="108"/>
  <c r="M1895" i="108"/>
  <c r="I1895" i="108"/>
  <c r="M1894" i="108"/>
  <c r="I1894" i="108"/>
  <c r="M1893" i="108"/>
  <c r="I1893" i="108"/>
  <c r="M1892" i="108"/>
  <c r="I1892" i="108"/>
  <c r="M1891" i="108"/>
  <c r="I1891" i="108"/>
  <c r="M1890" i="108"/>
  <c r="I1890" i="108"/>
  <c r="M1889" i="108"/>
  <c r="I1889" i="108"/>
  <c r="M1888" i="108"/>
  <c r="I1888" i="108"/>
  <c r="M1887" i="108"/>
  <c r="I1887" i="108"/>
  <c r="M1886" i="108"/>
  <c r="I1886" i="108"/>
  <c r="M1885" i="108"/>
  <c r="I1885" i="108"/>
  <c r="M1884" i="108"/>
  <c r="I1884" i="108"/>
  <c r="M1883" i="108"/>
  <c r="I1883" i="108"/>
  <c r="M1882" i="108"/>
  <c r="I1882" i="108"/>
  <c r="M1881" i="108"/>
  <c r="I1881" i="108"/>
  <c r="M1880" i="108"/>
  <c r="I1880" i="108"/>
  <c r="M1879" i="108"/>
  <c r="I1879" i="108"/>
  <c r="M1878" i="108"/>
  <c r="I1878" i="108"/>
  <c r="M1877" i="108"/>
  <c r="I1877" i="108"/>
  <c r="M1876" i="108"/>
  <c r="I1876" i="108"/>
  <c r="M1875" i="108"/>
  <c r="I1875" i="108"/>
  <c r="M1874" i="108"/>
  <c r="I1874" i="108"/>
  <c r="M1873" i="108"/>
  <c r="I1873" i="108"/>
  <c r="M1872" i="108"/>
  <c r="I1872" i="108"/>
  <c r="M1871" i="108"/>
  <c r="I1871" i="108"/>
  <c r="M1870" i="108"/>
  <c r="I1870" i="108"/>
  <c r="M1869" i="108"/>
  <c r="I1869" i="108"/>
  <c r="I1867" i="108"/>
  <c r="I1866" i="108"/>
  <c r="M1865" i="108"/>
  <c r="I1865" i="108"/>
  <c r="I1864" i="108"/>
  <c r="M1863" i="108"/>
  <c r="I1863" i="108"/>
  <c r="M1862" i="108"/>
  <c r="I1862" i="108"/>
  <c r="M1861" i="108"/>
  <c r="I1861" i="108"/>
  <c r="M1860" i="108"/>
  <c r="I1860" i="108"/>
  <c r="M1859" i="108"/>
  <c r="I1859" i="108"/>
  <c r="M1858" i="108"/>
  <c r="I1858" i="108"/>
  <c r="M1857" i="108"/>
  <c r="I1857" i="108"/>
  <c r="M1856" i="108"/>
  <c r="I1856" i="108"/>
  <c r="M1855" i="108"/>
  <c r="I1855" i="108"/>
  <c r="M1854" i="108"/>
  <c r="I1854" i="108"/>
  <c r="M1853" i="108"/>
  <c r="I1853" i="108"/>
  <c r="M1852" i="108"/>
  <c r="I1852" i="108"/>
  <c r="M1851" i="108"/>
  <c r="I1851" i="108"/>
  <c r="M1850" i="108"/>
  <c r="I1850" i="108"/>
  <c r="M1849" i="108"/>
  <c r="I1849" i="108"/>
  <c r="M1848" i="108"/>
  <c r="I1848" i="108"/>
  <c r="M1847" i="108"/>
  <c r="I1847" i="108"/>
  <c r="M1846" i="108"/>
  <c r="I1846" i="108"/>
  <c r="M1845" i="108"/>
  <c r="I1845" i="108"/>
  <c r="M1844" i="108"/>
  <c r="I1844" i="108"/>
  <c r="M1843" i="108"/>
  <c r="I1843" i="108"/>
  <c r="M1842" i="108"/>
  <c r="I1842" i="108"/>
  <c r="M1841" i="108"/>
  <c r="I1841" i="108"/>
  <c r="M1840" i="108"/>
  <c r="I1840" i="108"/>
  <c r="M1839" i="108"/>
  <c r="I1839" i="108"/>
  <c r="M1838" i="108"/>
  <c r="I1838" i="108"/>
  <c r="M1837" i="108"/>
  <c r="I1837" i="108"/>
  <c r="M1836" i="108"/>
  <c r="I1836" i="108"/>
  <c r="M1835" i="108"/>
  <c r="I1835" i="108"/>
  <c r="M1834" i="108"/>
  <c r="I1834" i="108"/>
  <c r="M1833" i="108"/>
  <c r="I1833" i="108"/>
  <c r="M1832" i="108"/>
  <c r="I1832" i="108"/>
  <c r="M1831" i="108"/>
  <c r="I1831" i="108"/>
  <c r="I1829" i="108"/>
  <c r="I1828" i="108"/>
  <c r="M1827" i="108"/>
  <c r="I1827" i="108"/>
  <c r="I1826" i="108"/>
  <c r="M1825" i="108"/>
  <c r="I1825" i="108"/>
  <c r="M1824" i="108"/>
  <c r="I1824" i="108"/>
  <c r="M1823" i="108"/>
  <c r="I1823" i="108"/>
  <c r="M1822" i="108"/>
  <c r="I1822" i="108"/>
  <c r="M1821" i="108"/>
  <c r="I1821" i="108"/>
  <c r="M1820" i="108"/>
  <c r="I1820" i="108"/>
  <c r="M1819" i="108"/>
  <c r="I1819" i="108"/>
  <c r="M1818" i="108"/>
  <c r="I1818" i="108"/>
  <c r="M1817" i="108"/>
  <c r="I1817" i="108"/>
  <c r="M1816" i="108"/>
  <c r="I1816" i="108"/>
  <c r="M1815" i="108"/>
  <c r="I1815" i="108"/>
  <c r="M1814" i="108"/>
  <c r="I1814" i="108"/>
  <c r="M1813" i="108"/>
  <c r="I1813" i="108"/>
  <c r="M1812" i="108"/>
  <c r="I1812" i="108"/>
  <c r="M1811" i="108"/>
  <c r="I1811" i="108"/>
  <c r="M1810" i="108"/>
  <c r="I1810" i="108"/>
  <c r="M1809" i="108"/>
  <c r="I1809" i="108"/>
  <c r="M1808" i="108"/>
  <c r="I1808" i="108"/>
  <c r="M1807" i="108"/>
  <c r="I1807" i="108"/>
  <c r="M1806" i="108"/>
  <c r="I1806" i="108"/>
  <c r="M1805" i="108"/>
  <c r="I1805" i="108"/>
  <c r="M1804" i="108"/>
  <c r="I1804" i="108"/>
  <c r="M1803" i="108"/>
  <c r="I1803" i="108"/>
  <c r="M1802" i="108"/>
  <c r="I1802" i="108"/>
  <c r="M1801" i="108"/>
  <c r="I1801" i="108"/>
  <c r="M1800" i="108"/>
  <c r="I1800" i="108"/>
  <c r="M1799" i="108"/>
  <c r="I1799" i="108"/>
  <c r="M1798" i="108"/>
  <c r="I1798" i="108"/>
  <c r="M1797" i="108"/>
  <c r="I1797" i="108"/>
  <c r="M1796" i="108"/>
  <c r="I1796" i="108"/>
  <c r="M1795" i="108"/>
  <c r="I1795" i="108"/>
  <c r="M1794" i="108"/>
  <c r="I1794" i="108"/>
  <c r="M1793" i="108"/>
  <c r="I1793" i="108"/>
  <c r="I1791" i="108"/>
  <c r="I1790" i="108"/>
  <c r="M1789" i="108"/>
  <c r="I1789" i="108"/>
  <c r="I1788" i="108"/>
  <c r="M1787" i="108"/>
  <c r="I1787" i="108"/>
  <c r="M1786" i="108"/>
  <c r="I1786" i="108"/>
  <c r="M1785" i="108"/>
  <c r="I1785" i="108"/>
  <c r="M1784" i="108"/>
  <c r="I1784" i="108"/>
  <c r="M1783" i="108"/>
  <c r="I1783" i="108"/>
  <c r="M1782" i="108"/>
  <c r="I1782" i="108"/>
  <c r="M1781" i="108"/>
  <c r="I1781" i="108"/>
  <c r="M1780" i="108"/>
  <c r="I1780" i="108"/>
  <c r="M1779" i="108"/>
  <c r="I1779" i="108"/>
  <c r="M1778" i="108"/>
  <c r="I1778" i="108"/>
  <c r="M1777" i="108"/>
  <c r="I1777" i="108"/>
  <c r="M1776" i="108"/>
  <c r="I1776" i="108"/>
  <c r="M1775" i="108"/>
  <c r="I1775" i="108"/>
  <c r="M1774" i="108"/>
  <c r="I1774" i="108"/>
  <c r="M1773" i="108"/>
  <c r="I1773" i="108"/>
  <c r="M1772" i="108"/>
  <c r="I1772" i="108"/>
  <c r="M1771" i="108"/>
  <c r="I1771" i="108"/>
  <c r="M1770" i="108"/>
  <c r="I1770" i="108"/>
  <c r="M1769" i="108"/>
  <c r="I1769" i="108"/>
  <c r="M1768" i="108"/>
  <c r="I1768" i="108"/>
  <c r="M1767" i="108"/>
  <c r="I1767" i="108"/>
  <c r="M1766" i="108"/>
  <c r="I1766" i="108"/>
  <c r="M1765" i="108"/>
  <c r="I1765" i="108"/>
  <c r="M1764" i="108"/>
  <c r="I1764" i="108"/>
  <c r="M1763" i="108"/>
  <c r="I1763" i="108"/>
  <c r="M1762" i="108"/>
  <c r="I1762" i="108"/>
  <c r="M1761" i="108"/>
  <c r="I1761" i="108"/>
  <c r="M1760" i="108"/>
  <c r="I1760" i="108"/>
  <c r="M1759" i="108"/>
  <c r="I1759" i="108"/>
  <c r="M1758" i="108"/>
  <c r="I1758" i="108"/>
  <c r="M1757" i="108"/>
  <c r="I1757" i="108"/>
  <c r="M1756" i="108"/>
  <c r="I1756" i="108"/>
  <c r="M1755" i="108"/>
  <c r="I1755" i="108"/>
  <c r="I1753" i="108"/>
  <c r="I1752" i="108"/>
  <c r="M1751" i="108"/>
  <c r="I1751" i="108"/>
  <c r="I1750" i="108"/>
  <c r="M1749" i="108"/>
  <c r="I1749" i="108"/>
  <c r="M1748" i="108"/>
  <c r="I1748" i="108"/>
  <c r="M1747" i="108"/>
  <c r="I1747" i="108"/>
  <c r="M1746" i="108"/>
  <c r="I1746" i="108"/>
  <c r="M1745" i="108"/>
  <c r="I1745" i="108"/>
  <c r="M1744" i="108"/>
  <c r="I1744" i="108"/>
  <c r="M1743" i="108"/>
  <c r="I1743" i="108"/>
  <c r="M1742" i="108"/>
  <c r="I1742" i="108"/>
  <c r="M1741" i="108"/>
  <c r="I1741" i="108"/>
  <c r="M1740" i="108"/>
  <c r="I1740" i="108"/>
  <c r="M1739" i="108"/>
  <c r="I1739" i="108"/>
  <c r="M1738" i="108"/>
  <c r="I1738" i="108"/>
  <c r="M1737" i="108"/>
  <c r="I1737" i="108"/>
  <c r="M1736" i="108"/>
  <c r="I1736" i="108"/>
  <c r="M1735" i="108"/>
  <c r="I1735" i="108"/>
  <c r="M1734" i="108"/>
  <c r="I1734" i="108"/>
  <c r="M1733" i="108"/>
  <c r="I1733" i="108"/>
  <c r="M1732" i="108"/>
  <c r="I1732" i="108"/>
  <c r="M1731" i="108"/>
  <c r="I1731" i="108"/>
  <c r="M1730" i="108"/>
  <c r="I1730" i="108"/>
  <c r="M1729" i="108"/>
  <c r="I1729" i="108"/>
  <c r="M1728" i="108"/>
  <c r="I1728" i="108"/>
  <c r="M1727" i="108"/>
  <c r="I1727" i="108"/>
  <c r="M1726" i="108"/>
  <c r="I1726" i="108"/>
  <c r="M1725" i="108"/>
  <c r="I1725" i="108"/>
  <c r="M1724" i="108"/>
  <c r="I1724" i="108"/>
  <c r="M1723" i="108"/>
  <c r="I1723" i="108"/>
  <c r="M1722" i="108"/>
  <c r="I1722" i="108"/>
  <c r="M1721" i="108"/>
  <c r="I1721" i="108"/>
  <c r="M1720" i="108"/>
  <c r="I1720" i="108"/>
  <c r="M1719" i="108"/>
  <c r="I1719" i="108"/>
  <c r="M1718" i="108"/>
  <c r="I1718" i="108"/>
  <c r="M1717" i="108"/>
  <c r="I1717" i="108"/>
  <c r="I1715" i="108"/>
  <c r="I1714" i="108"/>
  <c r="M1713" i="108"/>
  <c r="I1713" i="108"/>
  <c r="I1712" i="108"/>
  <c r="M1711" i="108"/>
  <c r="I1711" i="108"/>
  <c r="M1710" i="108"/>
  <c r="I1710" i="108"/>
  <c r="M1709" i="108"/>
  <c r="I1709" i="108"/>
  <c r="M1708" i="108"/>
  <c r="I1708" i="108"/>
  <c r="M1707" i="108"/>
  <c r="I1707" i="108"/>
  <c r="M1706" i="108"/>
  <c r="I1706" i="108"/>
  <c r="M1705" i="108"/>
  <c r="I1705" i="108"/>
  <c r="M1704" i="108"/>
  <c r="I1704" i="108"/>
  <c r="M1703" i="108"/>
  <c r="I1703" i="108"/>
  <c r="M1702" i="108"/>
  <c r="I1702" i="108"/>
  <c r="M1701" i="108"/>
  <c r="I1701" i="108"/>
  <c r="M1700" i="108"/>
  <c r="I1700" i="108"/>
  <c r="M1699" i="108"/>
  <c r="I1699" i="108"/>
  <c r="M1698" i="108"/>
  <c r="I1698" i="108"/>
  <c r="M1697" i="108"/>
  <c r="I1697" i="108"/>
  <c r="M1696" i="108"/>
  <c r="I1696" i="108"/>
  <c r="M1695" i="108"/>
  <c r="I1695" i="108"/>
  <c r="M1694" i="108"/>
  <c r="I1694" i="108"/>
  <c r="M1693" i="108"/>
  <c r="I1693" i="108"/>
  <c r="M1692" i="108"/>
  <c r="I1692" i="108"/>
  <c r="M1691" i="108"/>
  <c r="I1691" i="108"/>
  <c r="M1690" i="108"/>
  <c r="I1690" i="108"/>
  <c r="M1689" i="108"/>
  <c r="I1689" i="108"/>
  <c r="M1688" i="108"/>
  <c r="I1688" i="108"/>
  <c r="M1687" i="108"/>
  <c r="I1687" i="108"/>
  <c r="M1686" i="108"/>
  <c r="I1686" i="108"/>
  <c r="M1685" i="108"/>
  <c r="I1685" i="108"/>
  <c r="M1684" i="108"/>
  <c r="I1684" i="108"/>
  <c r="M1683" i="108"/>
  <c r="I1683" i="108"/>
  <c r="M1682" i="108"/>
  <c r="I1682" i="108"/>
  <c r="M1681" i="108"/>
  <c r="I1681" i="108"/>
  <c r="M1680" i="108"/>
  <c r="I1680" i="108"/>
  <c r="M1679" i="108"/>
  <c r="I1679" i="108"/>
  <c r="I1677" i="108"/>
  <c r="I1676" i="108"/>
  <c r="M1675" i="108"/>
  <c r="I1675" i="108"/>
  <c r="I1674" i="108"/>
  <c r="M1673" i="108"/>
  <c r="I1673" i="108"/>
  <c r="M1672" i="108"/>
  <c r="I1672" i="108"/>
  <c r="M1671" i="108"/>
  <c r="I1671" i="108"/>
  <c r="M1670" i="108"/>
  <c r="I1670" i="108"/>
  <c r="M1669" i="108"/>
  <c r="I1669" i="108"/>
  <c r="M1668" i="108"/>
  <c r="I1668" i="108"/>
  <c r="M1667" i="108"/>
  <c r="I1667" i="108"/>
  <c r="M1666" i="108"/>
  <c r="I1666" i="108"/>
  <c r="M1665" i="108"/>
  <c r="I1665" i="108"/>
  <c r="M1664" i="108"/>
  <c r="I1664" i="108"/>
  <c r="M1663" i="108"/>
  <c r="I1663" i="108"/>
  <c r="M1662" i="108"/>
  <c r="I1662" i="108"/>
  <c r="M1661" i="108"/>
  <c r="I1661" i="108"/>
  <c r="M1660" i="108"/>
  <c r="I1660" i="108"/>
  <c r="M1659" i="108"/>
  <c r="I1659" i="108"/>
  <c r="M1658" i="108"/>
  <c r="I1658" i="108"/>
  <c r="M1657" i="108"/>
  <c r="I1657" i="108"/>
  <c r="M1656" i="108"/>
  <c r="I1656" i="108"/>
  <c r="M1655" i="108"/>
  <c r="I1655" i="108"/>
  <c r="M1654" i="108"/>
  <c r="I1654" i="108"/>
  <c r="M1653" i="108"/>
  <c r="I1653" i="108"/>
  <c r="M1652" i="108"/>
  <c r="I1652" i="108"/>
  <c r="M1651" i="108"/>
  <c r="I1651" i="108"/>
  <c r="M1650" i="108"/>
  <c r="I1650" i="108"/>
  <c r="M1649" i="108"/>
  <c r="I1649" i="108"/>
  <c r="M1648" i="108"/>
  <c r="I1648" i="108"/>
  <c r="M1647" i="108"/>
  <c r="I1647" i="108"/>
  <c r="M1646" i="108"/>
  <c r="I1646" i="108"/>
  <c r="M1645" i="108"/>
  <c r="I1645" i="108"/>
  <c r="M1644" i="108"/>
  <c r="I1644" i="108"/>
  <c r="M1643" i="108"/>
  <c r="I1643" i="108"/>
  <c r="M1642" i="108"/>
  <c r="I1642" i="108"/>
  <c r="M1641" i="108"/>
  <c r="I1641" i="108"/>
  <c r="I1639" i="108"/>
  <c r="I1638" i="108"/>
  <c r="M1637" i="108"/>
  <c r="I1637" i="108"/>
  <c r="I1636" i="108"/>
  <c r="M1635" i="108"/>
  <c r="I1635" i="108"/>
  <c r="M1634" i="108"/>
  <c r="I1634" i="108"/>
  <c r="M1633" i="108"/>
  <c r="I1633" i="108"/>
  <c r="M1632" i="108"/>
  <c r="I1632" i="108"/>
  <c r="M1631" i="108"/>
  <c r="I1631" i="108"/>
  <c r="M1630" i="108"/>
  <c r="I1630" i="108"/>
  <c r="M1629" i="108"/>
  <c r="I1629" i="108"/>
  <c r="M1628" i="108"/>
  <c r="I1628" i="108"/>
  <c r="M1627" i="108"/>
  <c r="I1627" i="108"/>
  <c r="M1626" i="108"/>
  <c r="I1626" i="108"/>
  <c r="M1625" i="108"/>
  <c r="I1625" i="108"/>
  <c r="M1624" i="108"/>
  <c r="I1624" i="108"/>
  <c r="M1623" i="108"/>
  <c r="I1623" i="108"/>
  <c r="M1622" i="108"/>
  <c r="I1622" i="108"/>
  <c r="M1621" i="108"/>
  <c r="I1621" i="108"/>
  <c r="M1620" i="108"/>
  <c r="I1620" i="108"/>
  <c r="M1619" i="108"/>
  <c r="I1619" i="108"/>
  <c r="M1618" i="108"/>
  <c r="I1618" i="108"/>
  <c r="M1617" i="108"/>
  <c r="I1617" i="108"/>
  <c r="M1616" i="108"/>
  <c r="I1616" i="108"/>
  <c r="M1615" i="108"/>
  <c r="I1615" i="108"/>
  <c r="M1614" i="108"/>
  <c r="I1614" i="108"/>
  <c r="M1613" i="108"/>
  <c r="I1613" i="108"/>
  <c r="M1612" i="108"/>
  <c r="I1612" i="108"/>
  <c r="M1611" i="108"/>
  <c r="I1611" i="108"/>
  <c r="M1610" i="108"/>
  <c r="I1610" i="108"/>
  <c r="M1609" i="108"/>
  <c r="I1609" i="108"/>
  <c r="M1608" i="108"/>
  <c r="I1608" i="108"/>
  <c r="M1607" i="108"/>
  <c r="I1607" i="108"/>
  <c r="M1606" i="108"/>
  <c r="I1606" i="108"/>
  <c r="M1605" i="108"/>
  <c r="I1605" i="108"/>
  <c r="M1604" i="108"/>
  <c r="I1604" i="108"/>
  <c r="M1603" i="108"/>
  <c r="I1603" i="108"/>
  <c r="I1601" i="108"/>
  <c r="I1600" i="108"/>
  <c r="M1599" i="108"/>
  <c r="I1599" i="108"/>
  <c r="I1598" i="108"/>
  <c r="M1597" i="108"/>
  <c r="I1597" i="108"/>
  <c r="M1596" i="108"/>
  <c r="I1596" i="108"/>
  <c r="M1595" i="108"/>
  <c r="I1595" i="108"/>
  <c r="M1594" i="108"/>
  <c r="I1594" i="108"/>
  <c r="M1593" i="108"/>
  <c r="I1593" i="108"/>
  <c r="M1592" i="108"/>
  <c r="I1592" i="108"/>
  <c r="M1591" i="108"/>
  <c r="I1591" i="108"/>
  <c r="M1590" i="108"/>
  <c r="I1590" i="108"/>
  <c r="M1589" i="108"/>
  <c r="I1589" i="108"/>
  <c r="M1588" i="108"/>
  <c r="I1588" i="108"/>
  <c r="M1587" i="108"/>
  <c r="I1587" i="108"/>
  <c r="M1586" i="108"/>
  <c r="I1586" i="108"/>
  <c r="M1585" i="108"/>
  <c r="I1585" i="108"/>
  <c r="M1584" i="108"/>
  <c r="I1584" i="108"/>
  <c r="M1583" i="108"/>
  <c r="I1583" i="108"/>
  <c r="M1582" i="108"/>
  <c r="I1582" i="108"/>
  <c r="M1581" i="108"/>
  <c r="I1581" i="108"/>
  <c r="M1580" i="108"/>
  <c r="I1580" i="108"/>
  <c r="M1579" i="108"/>
  <c r="I1579" i="108"/>
  <c r="M1578" i="108"/>
  <c r="I1578" i="108"/>
  <c r="M1577" i="108"/>
  <c r="I1577" i="108"/>
  <c r="M1576" i="108"/>
  <c r="I1576" i="108"/>
  <c r="M1575" i="108"/>
  <c r="I1575" i="108"/>
  <c r="M1574" i="108"/>
  <c r="I1574" i="108"/>
  <c r="M1573" i="108"/>
  <c r="I1573" i="108"/>
  <c r="M1572" i="108"/>
  <c r="I1572" i="108"/>
  <c r="M1571" i="108"/>
  <c r="I1571" i="108"/>
  <c r="M1570" i="108"/>
  <c r="I1570" i="108"/>
  <c r="M1569" i="108"/>
  <c r="I1569" i="108"/>
  <c r="M1568" i="108"/>
  <c r="I1568" i="108"/>
  <c r="M1567" i="108"/>
  <c r="I1567" i="108"/>
  <c r="M1566" i="108"/>
  <c r="I1566" i="108"/>
  <c r="M1565" i="108"/>
  <c r="I1565" i="108"/>
  <c r="I1563" i="108"/>
  <c r="I1562" i="108"/>
  <c r="M1561" i="108"/>
  <c r="I1561" i="108"/>
  <c r="I1560" i="108"/>
  <c r="M1559" i="108"/>
  <c r="I1559" i="108"/>
  <c r="M1558" i="108"/>
  <c r="I1558" i="108"/>
  <c r="M1557" i="108"/>
  <c r="I1557" i="108"/>
  <c r="M1556" i="108"/>
  <c r="I1556" i="108"/>
  <c r="M1555" i="108"/>
  <c r="I1555" i="108"/>
  <c r="M1554" i="108"/>
  <c r="I1554" i="108"/>
  <c r="M1553" i="108"/>
  <c r="I1553" i="108"/>
  <c r="M1552" i="108"/>
  <c r="I1552" i="108"/>
  <c r="M1551" i="108"/>
  <c r="I1551" i="108"/>
  <c r="M1550" i="108"/>
  <c r="I1550" i="108"/>
  <c r="M1549" i="108"/>
  <c r="I1549" i="108"/>
  <c r="M1548" i="108"/>
  <c r="I1548" i="108"/>
  <c r="M1547" i="108"/>
  <c r="I1547" i="108"/>
  <c r="M1546" i="108"/>
  <c r="I1546" i="108"/>
  <c r="M1545" i="108"/>
  <c r="I1545" i="108"/>
  <c r="M1544" i="108"/>
  <c r="I1544" i="108"/>
  <c r="M1543" i="108"/>
  <c r="I1543" i="108"/>
  <c r="M1542" i="108"/>
  <c r="I1542" i="108"/>
  <c r="M1541" i="108"/>
  <c r="I1541" i="108"/>
  <c r="M1540" i="108"/>
  <c r="I1540" i="108"/>
  <c r="M1539" i="108"/>
  <c r="I1539" i="108"/>
  <c r="M1538" i="108"/>
  <c r="I1538" i="108"/>
  <c r="M1537" i="108"/>
  <c r="I1537" i="108"/>
  <c r="M1536" i="108"/>
  <c r="I1536" i="108"/>
  <c r="M1535" i="108"/>
  <c r="I1535" i="108"/>
  <c r="M1534" i="108"/>
  <c r="I1534" i="108"/>
  <c r="M1533" i="108"/>
  <c r="I1533" i="108"/>
  <c r="M1532" i="108"/>
  <c r="I1532" i="108"/>
  <c r="M1531" i="108"/>
  <c r="I1531" i="108"/>
  <c r="M1530" i="108"/>
  <c r="I1530" i="108"/>
  <c r="M1529" i="108"/>
  <c r="I1529" i="108"/>
  <c r="M1528" i="108"/>
  <c r="I1528" i="108"/>
  <c r="M1527" i="108"/>
  <c r="I1527" i="108"/>
  <c r="I1525" i="108"/>
  <c r="I1524" i="108"/>
  <c r="M1523" i="108"/>
  <c r="I1523" i="108"/>
  <c r="I1522" i="108"/>
  <c r="M1521" i="108"/>
  <c r="I1521" i="108"/>
  <c r="M1520" i="108"/>
  <c r="I1520" i="108"/>
  <c r="M1519" i="108"/>
  <c r="I1519" i="108"/>
  <c r="M1518" i="108"/>
  <c r="I1518" i="108"/>
  <c r="M1517" i="108"/>
  <c r="I1517" i="108"/>
  <c r="M1516" i="108"/>
  <c r="I1516" i="108"/>
  <c r="M1515" i="108"/>
  <c r="I1515" i="108"/>
  <c r="M1514" i="108"/>
  <c r="I1514" i="108"/>
  <c r="M1513" i="108"/>
  <c r="I1513" i="108"/>
  <c r="M1512" i="108"/>
  <c r="I1512" i="108"/>
  <c r="M1511" i="108"/>
  <c r="I1511" i="108"/>
  <c r="M1510" i="108"/>
  <c r="I1510" i="108"/>
  <c r="M1509" i="108"/>
  <c r="I1509" i="108"/>
  <c r="M1508" i="108"/>
  <c r="I1508" i="108"/>
  <c r="M1507" i="108"/>
  <c r="I1507" i="108"/>
  <c r="M1506" i="108"/>
  <c r="I1506" i="108"/>
  <c r="M1505" i="108"/>
  <c r="I1505" i="108"/>
  <c r="M1504" i="108"/>
  <c r="I1504" i="108"/>
  <c r="M1503" i="108"/>
  <c r="I1503" i="108"/>
  <c r="M1502" i="108"/>
  <c r="I1502" i="108"/>
  <c r="M1501" i="108"/>
  <c r="I1501" i="108"/>
  <c r="M1500" i="108"/>
  <c r="I1500" i="108"/>
  <c r="M1499" i="108"/>
  <c r="I1499" i="108"/>
  <c r="M1498" i="108"/>
  <c r="I1498" i="108"/>
  <c r="M1497" i="108"/>
  <c r="I1497" i="108"/>
  <c r="M1496" i="108"/>
  <c r="I1496" i="108"/>
  <c r="M1495" i="108"/>
  <c r="I1495" i="108"/>
  <c r="M1494" i="108"/>
  <c r="I1494" i="108"/>
  <c r="M1493" i="108"/>
  <c r="I1493" i="108"/>
  <c r="M1492" i="108"/>
  <c r="I1492" i="108"/>
  <c r="M1491" i="108"/>
  <c r="I1491" i="108"/>
  <c r="M1490" i="108"/>
  <c r="I1490" i="108"/>
  <c r="M1489" i="108"/>
  <c r="I1489" i="108"/>
  <c r="I1487" i="108"/>
  <c r="I1486" i="108"/>
  <c r="M1485" i="108"/>
  <c r="I1485" i="108"/>
  <c r="I1484" i="108"/>
  <c r="M1483" i="108"/>
  <c r="I1483" i="108"/>
  <c r="M1482" i="108"/>
  <c r="I1482" i="108"/>
  <c r="M1481" i="108"/>
  <c r="I1481" i="108"/>
  <c r="M1480" i="108"/>
  <c r="I1480" i="108"/>
  <c r="M1479" i="108"/>
  <c r="I1479" i="108"/>
  <c r="M1478" i="108"/>
  <c r="I1478" i="108"/>
  <c r="M1477" i="108"/>
  <c r="I1477" i="108"/>
  <c r="M1476" i="108"/>
  <c r="I1476" i="108"/>
  <c r="M1475" i="108"/>
  <c r="I1475" i="108"/>
  <c r="M1474" i="108"/>
  <c r="I1474" i="108"/>
  <c r="M1473" i="108"/>
  <c r="I1473" i="108"/>
  <c r="M1472" i="108"/>
  <c r="I1472" i="108"/>
  <c r="M1471" i="108"/>
  <c r="I1471" i="108"/>
  <c r="M1470" i="108"/>
  <c r="I1470" i="108"/>
  <c r="M1469" i="108"/>
  <c r="I1469" i="108"/>
  <c r="M1468" i="108"/>
  <c r="I1468" i="108"/>
  <c r="M1467" i="108"/>
  <c r="I1467" i="108"/>
  <c r="M1466" i="108"/>
  <c r="I1466" i="108"/>
  <c r="M1465" i="108"/>
  <c r="I1465" i="108"/>
  <c r="M1464" i="108"/>
  <c r="I1464" i="108"/>
  <c r="M1463" i="108"/>
  <c r="I1463" i="108"/>
  <c r="M1462" i="108"/>
  <c r="I1462" i="108"/>
  <c r="M1461" i="108"/>
  <c r="I1461" i="108"/>
  <c r="M1460" i="108"/>
  <c r="I1460" i="108"/>
  <c r="M1459" i="108"/>
  <c r="I1459" i="108"/>
  <c r="M1458" i="108"/>
  <c r="I1458" i="108"/>
  <c r="M1457" i="108"/>
  <c r="I1457" i="108"/>
  <c r="M1456" i="108"/>
  <c r="I1456" i="108"/>
  <c r="M1455" i="108"/>
  <c r="I1455" i="108"/>
  <c r="M1454" i="108"/>
  <c r="I1454" i="108"/>
  <c r="M1453" i="108"/>
  <c r="I1453" i="108"/>
  <c r="M1452" i="108"/>
  <c r="I1452" i="108"/>
  <c r="M1451" i="108"/>
  <c r="I1451" i="108"/>
  <c r="I1449" i="108"/>
  <c r="I1448" i="108"/>
  <c r="M1447" i="108"/>
  <c r="I1447" i="108"/>
  <c r="I1446" i="108"/>
  <c r="M1445" i="108"/>
  <c r="I1445" i="108"/>
  <c r="M1444" i="108"/>
  <c r="I1444" i="108"/>
  <c r="M1443" i="108"/>
  <c r="I1443" i="108"/>
  <c r="M1442" i="108"/>
  <c r="I1442" i="108"/>
  <c r="M1441" i="108"/>
  <c r="I1441" i="108"/>
  <c r="M1440" i="108"/>
  <c r="I1440" i="108"/>
  <c r="M1439" i="108"/>
  <c r="I1439" i="108"/>
  <c r="M1438" i="108"/>
  <c r="I1438" i="108"/>
  <c r="M1437" i="108"/>
  <c r="I1437" i="108"/>
  <c r="M1436" i="108"/>
  <c r="I1436" i="108"/>
  <c r="M1435" i="108"/>
  <c r="I1435" i="108"/>
  <c r="M1434" i="108"/>
  <c r="I1434" i="108"/>
  <c r="M1433" i="108"/>
  <c r="I1433" i="108"/>
  <c r="M1432" i="108"/>
  <c r="I1432" i="108"/>
  <c r="M1431" i="108"/>
  <c r="I1431" i="108"/>
  <c r="M1430" i="108"/>
  <c r="I1430" i="108"/>
  <c r="M1429" i="108"/>
  <c r="I1429" i="108"/>
  <c r="M1428" i="108"/>
  <c r="I1428" i="108"/>
  <c r="M1427" i="108"/>
  <c r="I1427" i="108"/>
  <c r="M1426" i="108"/>
  <c r="I1426" i="108"/>
  <c r="M1425" i="108"/>
  <c r="I1425" i="108"/>
  <c r="M1424" i="108"/>
  <c r="I1424" i="108"/>
  <c r="M1423" i="108"/>
  <c r="I1423" i="108"/>
  <c r="M1422" i="108"/>
  <c r="I1422" i="108"/>
  <c r="M1421" i="108"/>
  <c r="I1421" i="108"/>
  <c r="M1420" i="108"/>
  <c r="I1420" i="108"/>
  <c r="M1419" i="108"/>
  <c r="I1419" i="108"/>
  <c r="M1418" i="108"/>
  <c r="I1418" i="108"/>
  <c r="M1417" i="108"/>
  <c r="I1417" i="108"/>
  <c r="M1416" i="108"/>
  <c r="I1416" i="108"/>
  <c r="M1415" i="108"/>
  <c r="I1415" i="108"/>
  <c r="M1414" i="108"/>
  <c r="I1414" i="108"/>
  <c r="M1413" i="108"/>
  <c r="I1413" i="108"/>
  <c r="I1411" i="108"/>
  <c r="I1410" i="108"/>
  <c r="M1409" i="108"/>
  <c r="I1409" i="108"/>
  <c r="I1408" i="108"/>
  <c r="M1407" i="108"/>
  <c r="I1407" i="108"/>
  <c r="M1406" i="108"/>
  <c r="I1406" i="108"/>
  <c r="M1405" i="108"/>
  <c r="I1405" i="108"/>
  <c r="M1404" i="108"/>
  <c r="I1404" i="108"/>
  <c r="M1403" i="108"/>
  <c r="I1403" i="108"/>
  <c r="M1402" i="108"/>
  <c r="I1402" i="108"/>
  <c r="M1401" i="108"/>
  <c r="I1401" i="108"/>
  <c r="M1400" i="108"/>
  <c r="I1400" i="108"/>
  <c r="M1399" i="108"/>
  <c r="I1399" i="108"/>
  <c r="M1398" i="108"/>
  <c r="I1398" i="108"/>
  <c r="M1397" i="108"/>
  <c r="I1397" i="108"/>
  <c r="M1396" i="108"/>
  <c r="I1396" i="108"/>
  <c r="M1395" i="108"/>
  <c r="I1395" i="108"/>
  <c r="M1394" i="108"/>
  <c r="I1394" i="108"/>
  <c r="M1393" i="108"/>
  <c r="I1393" i="108"/>
  <c r="M1392" i="108"/>
  <c r="I1392" i="108"/>
  <c r="M1391" i="108"/>
  <c r="I1391" i="108"/>
  <c r="M1390" i="108"/>
  <c r="I1390" i="108"/>
  <c r="M1389" i="108"/>
  <c r="I1389" i="108"/>
  <c r="M1388" i="108"/>
  <c r="I1388" i="108"/>
  <c r="M1387" i="108"/>
  <c r="I1387" i="108"/>
  <c r="M1386" i="108"/>
  <c r="I1386" i="108"/>
  <c r="M1385" i="108"/>
  <c r="I1385" i="108"/>
  <c r="M1384" i="108"/>
  <c r="I1384" i="108"/>
  <c r="M1383" i="108"/>
  <c r="I1383" i="108"/>
  <c r="M1382" i="108"/>
  <c r="I1382" i="108"/>
  <c r="M1381" i="108"/>
  <c r="I1381" i="108"/>
  <c r="M1380" i="108"/>
  <c r="I1380" i="108"/>
  <c r="M1379" i="108"/>
  <c r="I1379" i="108"/>
  <c r="M1378" i="108"/>
  <c r="I1378" i="108"/>
  <c r="M1377" i="108"/>
  <c r="I1377" i="108"/>
  <c r="M1376" i="108"/>
  <c r="I1376" i="108"/>
  <c r="M1375" i="108"/>
  <c r="I1375" i="108"/>
  <c r="I1373" i="108"/>
  <c r="I1372" i="108"/>
  <c r="M1371" i="108"/>
  <c r="I1371" i="108"/>
  <c r="I1370" i="108"/>
  <c r="M1369" i="108"/>
  <c r="I1369" i="108"/>
  <c r="M1368" i="108"/>
  <c r="I1368" i="108"/>
  <c r="M1367" i="108"/>
  <c r="I1367" i="108"/>
  <c r="M1366" i="108"/>
  <c r="I1366" i="108"/>
  <c r="M1365" i="108"/>
  <c r="I1365" i="108"/>
  <c r="M1364" i="108"/>
  <c r="I1364" i="108"/>
  <c r="M1363" i="108"/>
  <c r="I1363" i="108"/>
  <c r="M1362" i="108"/>
  <c r="I1362" i="108"/>
  <c r="M1361" i="108"/>
  <c r="I1361" i="108"/>
  <c r="M1360" i="108"/>
  <c r="I1360" i="108"/>
  <c r="M1359" i="108"/>
  <c r="I1359" i="108"/>
  <c r="M1358" i="108"/>
  <c r="I1358" i="108"/>
  <c r="M1357" i="108"/>
  <c r="I1357" i="108"/>
  <c r="M1356" i="108"/>
  <c r="I1356" i="108"/>
  <c r="M1355" i="108"/>
  <c r="I1355" i="108"/>
  <c r="M1354" i="108"/>
  <c r="I1354" i="108"/>
  <c r="M1353" i="108"/>
  <c r="I1353" i="108"/>
  <c r="M1352" i="108"/>
  <c r="I1352" i="108"/>
  <c r="M1351" i="108"/>
  <c r="I1351" i="108"/>
  <c r="M1350" i="108"/>
  <c r="I1350" i="108"/>
  <c r="M1349" i="108"/>
  <c r="I1349" i="108"/>
  <c r="M1348" i="108"/>
  <c r="I1348" i="108"/>
  <c r="M1347" i="108"/>
  <c r="I1347" i="108"/>
  <c r="M1346" i="108"/>
  <c r="I1346" i="108"/>
  <c r="M1345" i="108"/>
  <c r="I1345" i="108"/>
  <c r="M1344" i="108"/>
  <c r="I1344" i="108"/>
  <c r="M1343" i="108"/>
  <c r="I1343" i="108"/>
  <c r="M1342" i="108"/>
  <c r="I1342" i="108"/>
  <c r="M1341" i="108"/>
  <c r="I1341" i="108"/>
  <c r="M1340" i="108"/>
  <c r="I1340" i="108"/>
  <c r="M1339" i="108"/>
  <c r="I1339" i="108"/>
  <c r="M1338" i="108"/>
  <c r="I1338" i="108"/>
  <c r="M1337" i="108"/>
  <c r="I1337" i="108"/>
  <c r="I1335" i="108"/>
  <c r="I1334" i="108"/>
  <c r="M1333" i="108"/>
  <c r="I1333" i="108"/>
  <c r="I1332" i="108"/>
  <c r="M1331" i="108"/>
  <c r="I1331" i="108"/>
  <c r="M1330" i="108"/>
  <c r="I1330" i="108"/>
  <c r="M1329" i="108"/>
  <c r="I1329" i="108"/>
  <c r="M1328" i="108"/>
  <c r="I1328" i="108"/>
  <c r="M1327" i="108"/>
  <c r="I1327" i="108"/>
  <c r="M1326" i="108"/>
  <c r="I1326" i="108"/>
  <c r="M1325" i="108"/>
  <c r="I1325" i="108"/>
  <c r="M1324" i="108"/>
  <c r="I1324" i="108"/>
  <c r="M1323" i="108"/>
  <c r="I1323" i="108"/>
  <c r="M1322" i="108"/>
  <c r="I1322" i="108"/>
  <c r="M1321" i="108"/>
  <c r="I1321" i="108"/>
  <c r="M1320" i="108"/>
  <c r="I1320" i="108"/>
  <c r="M1319" i="108"/>
  <c r="I1319" i="108"/>
  <c r="M1318" i="108"/>
  <c r="I1318" i="108"/>
  <c r="M1317" i="108"/>
  <c r="I1317" i="108"/>
  <c r="M1316" i="108"/>
  <c r="I1316" i="108"/>
  <c r="M1315" i="108"/>
  <c r="I1315" i="108"/>
  <c r="M1314" i="108"/>
  <c r="I1314" i="108"/>
  <c r="M1313" i="108"/>
  <c r="I1313" i="108"/>
  <c r="M1312" i="108"/>
  <c r="I1312" i="108"/>
  <c r="M1311" i="108"/>
  <c r="I1311" i="108"/>
  <c r="M1310" i="108"/>
  <c r="I1310" i="108"/>
  <c r="M1309" i="108"/>
  <c r="I1309" i="108"/>
  <c r="M1308" i="108"/>
  <c r="I1308" i="108"/>
  <c r="M1307" i="108"/>
  <c r="I1307" i="108"/>
  <c r="M1306" i="108"/>
  <c r="I1306" i="108"/>
  <c r="M1305" i="108"/>
  <c r="I1305" i="108"/>
  <c r="M1304" i="108"/>
  <c r="I1304" i="108"/>
  <c r="M1303" i="108"/>
  <c r="I1303" i="108"/>
  <c r="M1302" i="108"/>
  <c r="I1302" i="108"/>
  <c r="M1301" i="108"/>
  <c r="I1301" i="108"/>
  <c r="M1300" i="108"/>
  <c r="I1300" i="108"/>
  <c r="M1299" i="108"/>
  <c r="I1299" i="108"/>
  <c r="I1297" i="108"/>
  <c r="I1296" i="108"/>
  <c r="M1295" i="108"/>
  <c r="I1295" i="108"/>
  <c r="I1294" i="108"/>
  <c r="M1293" i="108"/>
  <c r="I1293" i="108"/>
  <c r="M1292" i="108"/>
  <c r="I1292" i="108"/>
  <c r="M1291" i="108"/>
  <c r="I1291" i="108"/>
  <c r="M1290" i="108"/>
  <c r="I1290" i="108"/>
  <c r="M1289" i="108"/>
  <c r="I1289" i="108"/>
  <c r="M1288" i="108"/>
  <c r="I1288" i="108"/>
  <c r="M1287" i="108"/>
  <c r="I1287" i="108"/>
  <c r="M1286" i="108"/>
  <c r="I1286" i="108"/>
  <c r="M1285" i="108"/>
  <c r="I1285" i="108"/>
  <c r="M1284" i="108"/>
  <c r="I1284" i="108"/>
  <c r="M1283" i="108"/>
  <c r="I1283" i="108"/>
  <c r="M1282" i="108"/>
  <c r="I1282" i="108"/>
  <c r="M1281" i="108"/>
  <c r="I1281" i="108"/>
  <c r="M1280" i="108"/>
  <c r="I1280" i="108"/>
  <c r="M1279" i="108"/>
  <c r="I1279" i="108"/>
  <c r="M1278" i="108"/>
  <c r="I1278" i="108"/>
  <c r="M1277" i="108"/>
  <c r="I1277" i="108"/>
  <c r="M1276" i="108"/>
  <c r="I1276" i="108"/>
  <c r="M1275" i="108"/>
  <c r="I1275" i="108"/>
  <c r="M1274" i="108"/>
  <c r="I1274" i="108"/>
  <c r="M1273" i="108"/>
  <c r="I1273" i="108"/>
  <c r="M1272" i="108"/>
  <c r="I1272" i="108"/>
  <c r="M1271" i="108"/>
  <c r="I1271" i="108"/>
  <c r="M1270" i="108"/>
  <c r="I1270" i="108"/>
  <c r="M1269" i="108"/>
  <c r="I1269" i="108"/>
  <c r="M1268" i="108"/>
  <c r="I1268" i="108"/>
  <c r="M1267" i="108"/>
  <c r="I1267" i="108"/>
  <c r="M1266" i="108"/>
  <c r="I1266" i="108"/>
  <c r="M1265" i="108"/>
  <c r="I1265" i="108"/>
  <c r="M1264" i="108"/>
  <c r="I1264" i="108"/>
  <c r="M1263" i="108"/>
  <c r="I1263" i="108"/>
  <c r="M1262" i="108"/>
  <c r="I1262" i="108"/>
  <c r="M1261" i="108"/>
  <c r="I1261" i="108"/>
  <c r="I1259" i="108"/>
  <c r="I1258" i="108"/>
  <c r="M1257" i="108"/>
  <c r="I1257" i="108"/>
  <c r="I1256" i="108"/>
  <c r="M1255" i="108"/>
  <c r="I1255" i="108"/>
  <c r="M1254" i="108"/>
  <c r="I1254" i="108"/>
  <c r="M1253" i="108"/>
  <c r="I1253" i="108"/>
  <c r="M1252" i="108"/>
  <c r="I1252" i="108"/>
  <c r="M1251" i="108"/>
  <c r="I1251" i="108"/>
  <c r="M1250" i="108"/>
  <c r="I1250" i="108"/>
  <c r="M1249" i="108"/>
  <c r="I1249" i="108"/>
  <c r="M1248" i="108"/>
  <c r="I1248" i="108"/>
  <c r="M1247" i="108"/>
  <c r="I1247" i="108"/>
  <c r="M1246" i="108"/>
  <c r="I1246" i="108"/>
  <c r="M1245" i="108"/>
  <c r="I1245" i="108"/>
  <c r="M1244" i="108"/>
  <c r="I1244" i="108"/>
  <c r="M1243" i="108"/>
  <c r="I1243" i="108"/>
  <c r="M1242" i="108"/>
  <c r="I1242" i="108"/>
  <c r="M1241" i="108"/>
  <c r="I1241" i="108"/>
  <c r="M1240" i="108"/>
  <c r="I1240" i="108"/>
  <c r="M1239" i="108"/>
  <c r="I1239" i="108"/>
  <c r="M1238" i="108"/>
  <c r="I1238" i="108"/>
  <c r="M1237" i="108"/>
  <c r="I1237" i="108"/>
  <c r="M1236" i="108"/>
  <c r="I1236" i="108"/>
  <c r="M1235" i="108"/>
  <c r="I1235" i="108"/>
  <c r="M1234" i="108"/>
  <c r="I1234" i="108"/>
  <c r="M1233" i="108"/>
  <c r="I1233" i="108"/>
  <c r="M1232" i="108"/>
  <c r="I1232" i="108"/>
  <c r="M1231" i="108"/>
  <c r="I1231" i="108"/>
  <c r="M1230" i="108"/>
  <c r="I1230" i="108"/>
  <c r="M1229" i="108"/>
  <c r="I1229" i="108"/>
  <c r="M1228" i="108"/>
  <c r="I1228" i="108"/>
  <c r="M1227" i="108"/>
  <c r="I1227" i="108"/>
  <c r="M1226" i="108"/>
  <c r="I1226" i="108"/>
  <c r="M1225" i="108"/>
  <c r="I1225" i="108"/>
  <c r="M1224" i="108"/>
  <c r="I1224" i="108"/>
  <c r="M1223" i="108"/>
  <c r="I1223" i="108"/>
  <c r="I1221" i="108"/>
  <c r="I1220" i="108"/>
  <c r="M1219" i="108"/>
  <c r="I1219" i="108"/>
  <c r="I1218" i="108"/>
  <c r="M1217" i="108"/>
  <c r="I1217" i="108"/>
  <c r="M1216" i="108"/>
  <c r="I1216" i="108"/>
  <c r="M1215" i="108"/>
  <c r="I1215" i="108"/>
  <c r="M1214" i="108"/>
  <c r="I1214" i="108"/>
  <c r="M1213" i="108"/>
  <c r="I1213" i="108"/>
  <c r="M1212" i="108"/>
  <c r="I1212" i="108"/>
  <c r="M1211" i="108"/>
  <c r="I1211" i="108"/>
  <c r="M1210" i="108"/>
  <c r="I1210" i="108"/>
  <c r="M1209" i="108"/>
  <c r="I1209" i="108"/>
  <c r="M1208" i="108"/>
  <c r="I1208" i="108"/>
  <c r="M1207" i="108"/>
  <c r="I1207" i="108"/>
  <c r="M1206" i="108"/>
  <c r="I1206" i="108"/>
  <c r="M1205" i="108"/>
  <c r="I1205" i="108"/>
  <c r="M1204" i="108"/>
  <c r="I1204" i="108"/>
  <c r="M1203" i="108"/>
  <c r="I1203" i="108"/>
  <c r="M1202" i="108"/>
  <c r="I1202" i="108"/>
  <c r="M1201" i="108"/>
  <c r="I1201" i="108"/>
  <c r="M1200" i="108"/>
  <c r="I1200" i="108"/>
  <c r="M1199" i="108"/>
  <c r="I1199" i="108"/>
  <c r="M1198" i="108"/>
  <c r="I1198" i="108"/>
  <c r="M1197" i="108"/>
  <c r="I1197" i="108"/>
  <c r="M1196" i="108"/>
  <c r="I1196" i="108"/>
  <c r="M1195" i="108"/>
  <c r="I1195" i="108"/>
  <c r="M1194" i="108"/>
  <c r="I1194" i="108"/>
  <c r="M1193" i="108"/>
  <c r="I1193" i="108"/>
  <c r="M1192" i="108"/>
  <c r="I1192" i="108"/>
  <c r="M1191" i="108"/>
  <c r="I1191" i="108"/>
  <c r="M1190" i="108"/>
  <c r="I1190" i="108"/>
  <c r="M1189" i="108"/>
  <c r="I1189" i="108"/>
  <c r="M1188" i="108"/>
  <c r="I1188" i="108"/>
  <c r="M1187" i="108"/>
  <c r="I1187" i="108"/>
  <c r="M1186" i="108"/>
  <c r="I1186" i="108"/>
  <c r="M1185" i="108"/>
  <c r="I1185" i="108"/>
  <c r="I1183" i="108"/>
  <c r="I1182" i="108"/>
  <c r="M1181" i="108"/>
  <c r="I1181" i="108"/>
  <c r="I1180" i="108"/>
  <c r="M1179" i="108"/>
  <c r="I1179" i="108"/>
  <c r="M1178" i="108"/>
  <c r="I1178" i="108"/>
  <c r="M1177" i="108"/>
  <c r="I1177" i="108"/>
  <c r="M1176" i="108"/>
  <c r="I1176" i="108"/>
  <c r="M1175" i="108"/>
  <c r="I1175" i="108"/>
  <c r="M1174" i="108"/>
  <c r="I1174" i="108"/>
  <c r="M1173" i="108"/>
  <c r="I1173" i="108"/>
  <c r="M1172" i="108"/>
  <c r="I1172" i="108"/>
  <c r="M1171" i="108"/>
  <c r="I1171" i="108"/>
  <c r="M1170" i="108"/>
  <c r="I1170" i="108"/>
  <c r="M1169" i="108"/>
  <c r="I1169" i="108"/>
  <c r="M1168" i="108"/>
  <c r="I1168" i="108"/>
  <c r="M1167" i="108"/>
  <c r="I1167" i="108"/>
  <c r="M1166" i="108"/>
  <c r="I1166" i="108"/>
  <c r="M1165" i="108"/>
  <c r="I1165" i="108"/>
  <c r="M1164" i="108"/>
  <c r="I1164" i="108"/>
  <c r="M1163" i="108"/>
  <c r="I1163" i="108"/>
  <c r="M1162" i="108"/>
  <c r="I1162" i="108"/>
  <c r="M1161" i="108"/>
  <c r="I1161" i="108"/>
  <c r="M1160" i="108"/>
  <c r="I1160" i="108"/>
  <c r="M1159" i="108"/>
  <c r="I1159" i="108"/>
  <c r="M1158" i="108"/>
  <c r="I1158" i="108"/>
  <c r="M1157" i="108"/>
  <c r="I1157" i="108"/>
  <c r="M1156" i="108"/>
  <c r="I1156" i="108"/>
  <c r="M1155" i="108"/>
  <c r="I1155" i="108"/>
  <c r="M1154" i="108"/>
  <c r="I1154" i="108"/>
  <c r="M1153" i="108"/>
  <c r="I1153" i="108"/>
  <c r="M1152" i="108"/>
  <c r="I1152" i="108"/>
  <c r="M1151" i="108"/>
  <c r="I1151" i="108"/>
  <c r="M1150" i="108"/>
  <c r="I1150" i="108"/>
  <c r="M1149" i="108"/>
  <c r="I1149" i="108"/>
  <c r="M1148" i="108"/>
  <c r="I1148" i="108"/>
  <c r="M1147" i="108"/>
  <c r="I1147" i="108"/>
  <c r="I1145" i="108"/>
  <c r="I1144" i="108"/>
  <c r="M1143" i="108"/>
  <c r="I1143" i="108"/>
  <c r="I1142" i="108"/>
  <c r="M1141" i="108"/>
  <c r="I1141" i="108"/>
  <c r="M1140" i="108"/>
  <c r="I1140" i="108"/>
  <c r="M1139" i="108"/>
  <c r="I1139" i="108"/>
  <c r="M1138" i="108"/>
  <c r="I1138" i="108"/>
  <c r="M1137" i="108"/>
  <c r="I1137" i="108"/>
  <c r="M1136" i="108"/>
  <c r="I1136" i="108"/>
  <c r="M1135" i="108"/>
  <c r="I1135" i="108"/>
  <c r="M1134" i="108"/>
  <c r="I1134" i="108"/>
  <c r="M1133" i="108"/>
  <c r="I1133" i="108"/>
  <c r="M1132" i="108"/>
  <c r="I1132" i="108"/>
  <c r="M1131" i="108"/>
  <c r="I1131" i="108"/>
  <c r="M1130" i="108"/>
  <c r="I1130" i="108"/>
  <c r="M1129" i="108"/>
  <c r="I1129" i="108"/>
  <c r="M1128" i="108"/>
  <c r="I1128" i="108"/>
  <c r="M1127" i="108"/>
  <c r="I1127" i="108"/>
  <c r="M1126" i="108"/>
  <c r="I1126" i="108"/>
  <c r="M1125" i="108"/>
  <c r="I1125" i="108"/>
  <c r="M1124" i="108"/>
  <c r="I1124" i="108"/>
  <c r="M1123" i="108"/>
  <c r="I1123" i="108"/>
  <c r="M1122" i="108"/>
  <c r="I1122" i="108"/>
  <c r="M1121" i="108"/>
  <c r="I1121" i="108"/>
  <c r="M1120" i="108"/>
  <c r="I1120" i="108"/>
  <c r="M1119" i="108"/>
  <c r="I1119" i="108"/>
  <c r="M1118" i="108"/>
  <c r="I1118" i="108"/>
  <c r="M1117" i="108"/>
  <c r="I1117" i="108"/>
  <c r="M1116" i="108"/>
  <c r="I1116" i="108"/>
  <c r="M1115" i="108"/>
  <c r="I1115" i="108"/>
  <c r="M1114" i="108"/>
  <c r="I1114" i="108"/>
  <c r="M1113" i="108"/>
  <c r="I1113" i="108"/>
  <c r="M1112" i="108"/>
  <c r="I1112" i="108"/>
  <c r="M1111" i="108"/>
  <c r="I1111" i="108"/>
  <c r="M1110" i="108"/>
  <c r="I1110" i="108"/>
  <c r="M1109" i="108"/>
  <c r="I1109" i="108"/>
  <c r="I1107" i="108"/>
  <c r="I1106" i="108"/>
  <c r="M1105" i="108"/>
  <c r="I1105" i="108"/>
  <c r="I1104" i="108"/>
  <c r="M1103" i="108"/>
  <c r="I1103" i="108"/>
  <c r="M1102" i="108"/>
  <c r="I1102" i="108"/>
  <c r="M1101" i="108"/>
  <c r="I1101" i="108"/>
  <c r="M1100" i="108"/>
  <c r="I1100" i="108"/>
  <c r="M1099" i="108"/>
  <c r="I1099" i="108"/>
  <c r="M1098" i="108"/>
  <c r="I1098" i="108"/>
  <c r="M1097" i="108"/>
  <c r="I1097" i="108"/>
  <c r="M1096" i="108"/>
  <c r="I1096" i="108"/>
  <c r="M1095" i="108"/>
  <c r="I1095" i="108"/>
  <c r="M1094" i="108"/>
  <c r="I1094" i="108"/>
  <c r="M1093" i="108"/>
  <c r="I1093" i="108"/>
  <c r="M1092" i="108"/>
  <c r="I1092" i="108"/>
  <c r="M1091" i="108"/>
  <c r="I1091" i="108"/>
  <c r="M1090" i="108"/>
  <c r="I1090" i="108"/>
  <c r="M1089" i="108"/>
  <c r="I1089" i="108"/>
  <c r="M1088" i="108"/>
  <c r="I1088" i="108"/>
  <c r="M1087" i="108"/>
  <c r="I1087" i="108"/>
  <c r="M1086" i="108"/>
  <c r="I1086" i="108"/>
  <c r="M1085" i="108"/>
  <c r="I1085" i="108"/>
  <c r="M1084" i="108"/>
  <c r="I1084" i="108"/>
  <c r="M1083" i="108"/>
  <c r="I1083" i="108"/>
  <c r="M1082" i="108"/>
  <c r="I1082" i="108"/>
  <c r="M1081" i="108"/>
  <c r="I1081" i="108"/>
  <c r="M1080" i="108"/>
  <c r="I1080" i="108"/>
  <c r="M1079" i="108"/>
  <c r="I1079" i="108"/>
  <c r="M1078" i="108"/>
  <c r="I1078" i="108"/>
  <c r="M1077" i="108"/>
  <c r="I1077" i="108"/>
  <c r="M1076" i="108"/>
  <c r="I1076" i="108"/>
  <c r="M1075" i="108"/>
  <c r="I1075" i="108"/>
  <c r="M1074" i="108"/>
  <c r="I1074" i="108"/>
  <c r="M1073" i="108"/>
  <c r="I1073" i="108"/>
  <c r="M1072" i="108"/>
  <c r="I1072" i="108"/>
  <c r="M1071" i="108"/>
  <c r="I1071" i="108"/>
  <c r="I1069" i="108"/>
  <c r="I1068" i="108"/>
  <c r="M1067" i="108"/>
  <c r="I1067" i="108"/>
  <c r="I1066" i="108"/>
  <c r="M1065" i="108"/>
  <c r="I1065" i="108"/>
  <c r="M1064" i="108"/>
  <c r="I1064" i="108"/>
  <c r="M1063" i="108"/>
  <c r="I1063" i="108"/>
  <c r="M1062" i="108"/>
  <c r="I1062" i="108"/>
  <c r="M1061" i="108"/>
  <c r="I1061" i="108"/>
  <c r="M1060" i="108"/>
  <c r="I1060" i="108"/>
  <c r="M1059" i="108"/>
  <c r="I1059" i="108"/>
  <c r="M1058" i="108"/>
  <c r="I1058" i="108"/>
  <c r="M1057" i="108"/>
  <c r="I1057" i="108"/>
  <c r="M1056" i="108"/>
  <c r="I1056" i="108"/>
  <c r="M1055" i="108"/>
  <c r="I1055" i="108"/>
  <c r="M1054" i="108"/>
  <c r="I1054" i="108"/>
  <c r="M1053" i="108"/>
  <c r="I1053" i="108"/>
  <c r="M1052" i="108"/>
  <c r="I1052" i="108"/>
  <c r="M1051" i="108"/>
  <c r="I1051" i="108"/>
  <c r="M1050" i="108"/>
  <c r="I1050" i="108"/>
  <c r="M1049" i="108"/>
  <c r="I1049" i="108"/>
  <c r="M1048" i="108"/>
  <c r="I1048" i="108"/>
  <c r="M1047" i="108"/>
  <c r="I1047" i="108"/>
  <c r="M1046" i="108"/>
  <c r="I1046" i="108"/>
  <c r="M1045" i="108"/>
  <c r="I1045" i="108"/>
  <c r="M1044" i="108"/>
  <c r="I1044" i="108"/>
  <c r="M1043" i="108"/>
  <c r="I1043" i="108"/>
  <c r="M1042" i="108"/>
  <c r="I1042" i="108"/>
  <c r="M1041" i="108"/>
  <c r="I1041" i="108"/>
  <c r="M1040" i="108"/>
  <c r="I1040" i="108"/>
  <c r="M1039" i="108"/>
  <c r="I1039" i="108"/>
  <c r="M1038" i="108"/>
  <c r="I1038" i="108"/>
  <c r="M1037" i="108"/>
  <c r="I1037" i="108"/>
  <c r="M1036" i="108"/>
  <c r="I1036" i="108"/>
  <c r="M1035" i="108"/>
  <c r="I1035" i="108"/>
  <c r="M1034" i="108"/>
  <c r="I1034" i="108"/>
  <c r="M1033" i="108"/>
  <c r="I1033" i="108"/>
  <c r="I1031" i="108"/>
  <c r="I1030" i="108"/>
  <c r="M1029" i="108"/>
  <c r="I1029" i="108"/>
  <c r="I1028" i="108"/>
  <c r="M1027" i="108"/>
  <c r="I1027" i="108"/>
  <c r="M1026" i="108"/>
  <c r="I1026" i="108"/>
  <c r="M1025" i="108"/>
  <c r="I1025" i="108"/>
  <c r="M1024" i="108"/>
  <c r="I1024" i="108"/>
  <c r="M1023" i="108"/>
  <c r="I1023" i="108"/>
  <c r="M1022" i="108"/>
  <c r="I1022" i="108"/>
  <c r="M1021" i="108"/>
  <c r="I1021" i="108"/>
  <c r="M1020" i="108"/>
  <c r="I1020" i="108"/>
  <c r="M1019" i="108"/>
  <c r="I1019" i="108"/>
  <c r="M1018" i="108"/>
  <c r="I1018" i="108"/>
  <c r="M1017" i="108"/>
  <c r="I1017" i="108"/>
  <c r="M1016" i="108"/>
  <c r="I1016" i="108"/>
  <c r="M1015" i="108"/>
  <c r="I1015" i="108"/>
  <c r="M1014" i="108"/>
  <c r="I1014" i="108"/>
  <c r="M1013" i="108"/>
  <c r="I1013" i="108"/>
  <c r="M1012" i="108"/>
  <c r="I1012" i="108"/>
  <c r="M1011" i="108"/>
  <c r="I1011" i="108"/>
  <c r="M1010" i="108"/>
  <c r="I1010" i="108"/>
  <c r="M1009" i="108"/>
  <c r="I1009" i="108"/>
  <c r="M1008" i="108"/>
  <c r="I1008" i="108"/>
  <c r="M1007" i="108"/>
  <c r="I1007" i="108"/>
  <c r="M1006" i="108"/>
  <c r="I1006" i="108"/>
  <c r="M1005" i="108"/>
  <c r="I1005" i="108"/>
  <c r="M1004" i="108"/>
  <c r="I1004" i="108"/>
  <c r="M1003" i="108"/>
  <c r="I1003" i="108"/>
  <c r="M1002" i="108"/>
  <c r="I1002" i="108"/>
  <c r="M1001" i="108"/>
  <c r="I1001" i="108"/>
  <c r="M1000" i="108"/>
  <c r="I1000" i="108"/>
  <c r="M999" i="108"/>
  <c r="I999" i="108"/>
  <c r="M998" i="108"/>
  <c r="I998" i="108"/>
  <c r="M997" i="108"/>
  <c r="I997" i="108"/>
  <c r="M996" i="108"/>
  <c r="I996" i="108"/>
  <c r="M995" i="108"/>
  <c r="I995" i="108"/>
  <c r="I993" i="108"/>
  <c r="I992" i="108"/>
  <c r="M991" i="108"/>
  <c r="I991" i="108"/>
  <c r="I990" i="108"/>
  <c r="M989" i="108"/>
  <c r="I989" i="108"/>
  <c r="M988" i="108"/>
  <c r="I988" i="108"/>
  <c r="M987" i="108"/>
  <c r="I987" i="108"/>
  <c r="M986" i="108"/>
  <c r="I986" i="108"/>
  <c r="M985" i="108"/>
  <c r="I985" i="108"/>
  <c r="M984" i="108"/>
  <c r="I984" i="108"/>
  <c r="M983" i="108"/>
  <c r="I983" i="108"/>
  <c r="M982" i="108"/>
  <c r="I982" i="108"/>
  <c r="M981" i="108"/>
  <c r="I981" i="108"/>
  <c r="M980" i="108"/>
  <c r="I980" i="108"/>
  <c r="M979" i="108"/>
  <c r="I979" i="108"/>
  <c r="M978" i="108"/>
  <c r="I978" i="108"/>
  <c r="M977" i="108"/>
  <c r="I977" i="108"/>
  <c r="M976" i="108"/>
  <c r="I976" i="108"/>
  <c r="M975" i="108"/>
  <c r="I975" i="108"/>
  <c r="M974" i="108"/>
  <c r="I974" i="108"/>
  <c r="M973" i="108"/>
  <c r="I973" i="108"/>
  <c r="M972" i="108"/>
  <c r="I972" i="108"/>
  <c r="M971" i="108"/>
  <c r="I971" i="108"/>
  <c r="M970" i="108"/>
  <c r="I970" i="108"/>
  <c r="M969" i="108"/>
  <c r="I969" i="108"/>
  <c r="M968" i="108"/>
  <c r="I968" i="108"/>
  <c r="M967" i="108"/>
  <c r="I967" i="108"/>
  <c r="M966" i="108"/>
  <c r="I966" i="108"/>
  <c r="M965" i="108"/>
  <c r="I965" i="108"/>
  <c r="M964" i="108"/>
  <c r="I964" i="108"/>
  <c r="M963" i="108"/>
  <c r="I963" i="108"/>
  <c r="M962" i="108"/>
  <c r="I962" i="108"/>
  <c r="M961" i="108"/>
  <c r="I961" i="108"/>
  <c r="M960" i="108"/>
  <c r="I960" i="108"/>
  <c r="M959" i="108"/>
  <c r="I959" i="108"/>
  <c r="M958" i="108"/>
  <c r="I958" i="108"/>
  <c r="M957" i="108"/>
  <c r="I957" i="108"/>
  <c r="I955" i="108"/>
  <c r="I954" i="108"/>
  <c r="M953" i="108"/>
  <c r="I953" i="108"/>
  <c r="I952" i="108"/>
  <c r="M951" i="108"/>
  <c r="I951" i="108"/>
  <c r="M950" i="108"/>
  <c r="I950" i="108"/>
  <c r="M949" i="108"/>
  <c r="I949" i="108"/>
  <c r="M948" i="108"/>
  <c r="I948" i="108"/>
  <c r="M947" i="108"/>
  <c r="I947" i="108"/>
  <c r="M946" i="108"/>
  <c r="I946" i="108"/>
  <c r="M945" i="108"/>
  <c r="I945" i="108"/>
  <c r="M944" i="108"/>
  <c r="I944" i="108"/>
  <c r="M943" i="108"/>
  <c r="I943" i="108"/>
  <c r="M942" i="108"/>
  <c r="I942" i="108"/>
  <c r="M941" i="108"/>
  <c r="I941" i="108"/>
  <c r="M940" i="108"/>
  <c r="I940" i="108"/>
  <c r="M939" i="108"/>
  <c r="I939" i="108"/>
  <c r="M938" i="108"/>
  <c r="I938" i="108"/>
  <c r="M937" i="108"/>
  <c r="I937" i="108"/>
  <c r="M936" i="108"/>
  <c r="I936" i="108"/>
  <c r="M935" i="108"/>
  <c r="I935" i="108"/>
  <c r="M934" i="108"/>
  <c r="I934" i="108"/>
  <c r="M933" i="108"/>
  <c r="I933" i="108"/>
  <c r="M932" i="108"/>
  <c r="I932" i="108"/>
  <c r="M931" i="108"/>
  <c r="I931" i="108"/>
  <c r="M930" i="108"/>
  <c r="I930" i="108"/>
  <c r="M929" i="108"/>
  <c r="I929" i="108"/>
  <c r="M928" i="108"/>
  <c r="I928" i="108"/>
  <c r="M927" i="108"/>
  <c r="I927" i="108"/>
  <c r="M926" i="108"/>
  <c r="I926" i="108"/>
  <c r="M925" i="108"/>
  <c r="I925" i="108"/>
  <c r="M924" i="108"/>
  <c r="I924" i="108"/>
  <c r="M923" i="108"/>
  <c r="I923" i="108"/>
  <c r="M922" i="108"/>
  <c r="I922" i="108"/>
  <c r="M921" i="108"/>
  <c r="I921" i="108"/>
  <c r="M920" i="108"/>
  <c r="I920" i="108"/>
  <c r="M919" i="108"/>
  <c r="I919" i="108"/>
  <c r="I917" i="108"/>
  <c r="I916" i="108"/>
  <c r="M915" i="108"/>
  <c r="I915" i="108"/>
  <c r="I914" i="108"/>
  <c r="M913" i="108"/>
  <c r="I913" i="108"/>
  <c r="M912" i="108"/>
  <c r="I912" i="108"/>
  <c r="M911" i="108"/>
  <c r="I911" i="108"/>
  <c r="M910" i="108"/>
  <c r="I910" i="108"/>
  <c r="M909" i="108"/>
  <c r="I909" i="108"/>
  <c r="M908" i="108"/>
  <c r="I908" i="108"/>
  <c r="M907" i="108"/>
  <c r="I907" i="108"/>
  <c r="M906" i="108"/>
  <c r="I906" i="108"/>
  <c r="M905" i="108"/>
  <c r="I905" i="108"/>
  <c r="M904" i="108"/>
  <c r="I904" i="108"/>
  <c r="M903" i="108"/>
  <c r="I903" i="108"/>
  <c r="M902" i="108"/>
  <c r="I902" i="108"/>
  <c r="M901" i="108"/>
  <c r="I901" i="108"/>
  <c r="M900" i="108"/>
  <c r="I900" i="108"/>
  <c r="M899" i="108"/>
  <c r="I899" i="108"/>
  <c r="M898" i="108"/>
  <c r="I898" i="108"/>
  <c r="M897" i="108"/>
  <c r="I897" i="108"/>
  <c r="M896" i="108"/>
  <c r="I896" i="108"/>
  <c r="M895" i="108"/>
  <c r="I895" i="108"/>
  <c r="M894" i="108"/>
  <c r="I894" i="108"/>
  <c r="M893" i="108"/>
  <c r="I893" i="108"/>
  <c r="M892" i="108"/>
  <c r="I892" i="108"/>
  <c r="M891" i="108"/>
  <c r="I891" i="108"/>
  <c r="M890" i="108"/>
  <c r="I890" i="108"/>
  <c r="M889" i="108"/>
  <c r="I889" i="108"/>
  <c r="M888" i="108"/>
  <c r="I888" i="108"/>
  <c r="M887" i="108"/>
  <c r="I887" i="108"/>
  <c r="M886" i="108"/>
  <c r="I886" i="108"/>
  <c r="M885" i="108"/>
  <c r="I885" i="108"/>
  <c r="M884" i="108"/>
  <c r="I884" i="108"/>
  <c r="M883" i="108"/>
  <c r="I883" i="108"/>
  <c r="M882" i="108"/>
  <c r="I882" i="108"/>
  <c r="M881" i="108"/>
  <c r="I881" i="108"/>
  <c r="I879" i="108"/>
  <c r="I878" i="108"/>
  <c r="M877" i="108"/>
  <c r="I877" i="108"/>
  <c r="I876" i="108"/>
  <c r="M875" i="108"/>
  <c r="I875" i="108"/>
  <c r="M874" i="108"/>
  <c r="I874" i="108"/>
  <c r="M873" i="108"/>
  <c r="I873" i="108"/>
  <c r="M872" i="108"/>
  <c r="I872" i="108"/>
  <c r="M871" i="108"/>
  <c r="I871" i="108"/>
  <c r="M870" i="108"/>
  <c r="I870" i="108"/>
  <c r="M869" i="108"/>
  <c r="I869" i="108"/>
  <c r="M868" i="108"/>
  <c r="I868" i="108"/>
  <c r="M867" i="108"/>
  <c r="I867" i="108"/>
  <c r="M866" i="108"/>
  <c r="I866" i="108"/>
  <c r="M865" i="108"/>
  <c r="I865" i="108"/>
  <c r="M864" i="108"/>
  <c r="I864" i="108"/>
  <c r="M863" i="108"/>
  <c r="I863" i="108"/>
  <c r="M862" i="108"/>
  <c r="I862" i="108"/>
  <c r="M861" i="108"/>
  <c r="I861" i="108"/>
  <c r="M860" i="108"/>
  <c r="I860" i="108"/>
  <c r="M859" i="108"/>
  <c r="I859" i="108"/>
  <c r="M858" i="108"/>
  <c r="I858" i="108"/>
  <c r="M857" i="108"/>
  <c r="I857" i="108"/>
  <c r="M856" i="108"/>
  <c r="I856" i="108"/>
  <c r="M855" i="108"/>
  <c r="I855" i="108"/>
  <c r="M854" i="108"/>
  <c r="I854" i="108"/>
  <c r="M853" i="108"/>
  <c r="I853" i="108"/>
  <c r="M852" i="108"/>
  <c r="I852" i="108"/>
  <c r="M851" i="108"/>
  <c r="I851" i="108"/>
  <c r="M850" i="108"/>
  <c r="I850" i="108"/>
  <c r="M849" i="108"/>
  <c r="I849" i="108"/>
  <c r="M848" i="108"/>
  <c r="I848" i="108"/>
  <c r="M847" i="108"/>
  <c r="I847" i="108"/>
  <c r="M846" i="108"/>
  <c r="I846" i="108"/>
  <c r="M845" i="108"/>
  <c r="I845" i="108"/>
  <c r="M844" i="108"/>
  <c r="I844" i="108"/>
  <c r="M843" i="108"/>
  <c r="I843" i="108"/>
  <c r="I841" i="108"/>
  <c r="I840" i="108"/>
  <c r="M839" i="108"/>
  <c r="I839" i="108"/>
  <c r="I838" i="108"/>
  <c r="M837" i="108"/>
  <c r="I837" i="108"/>
  <c r="M836" i="108"/>
  <c r="I836" i="108"/>
  <c r="M835" i="108"/>
  <c r="I835" i="108"/>
  <c r="M834" i="108"/>
  <c r="I834" i="108"/>
  <c r="M833" i="108"/>
  <c r="I833" i="108"/>
  <c r="M832" i="108"/>
  <c r="I832" i="108"/>
  <c r="M831" i="108"/>
  <c r="I831" i="108"/>
  <c r="M830" i="108"/>
  <c r="I830" i="108"/>
  <c r="M829" i="108"/>
  <c r="I829" i="108"/>
  <c r="M828" i="108"/>
  <c r="I828" i="108"/>
  <c r="M827" i="108"/>
  <c r="I827" i="108"/>
  <c r="M826" i="108"/>
  <c r="I826" i="108"/>
  <c r="M825" i="108"/>
  <c r="I825" i="108"/>
  <c r="M824" i="108"/>
  <c r="I824" i="108"/>
  <c r="M823" i="108"/>
  <c r="I823" i="108"/>
  <c r="M822" i="108"/>
  <c r="I822" i="108"/>
  <c r="M821" i="108"/>
  <c r="I821" i="108"/>
  <c r="M820" i="108"/>
  <c r="I820" i="108"/>
  <c r="M819" i="108"/>
  <c r="I819" i="108"/>
  <c r="M818" i="108"/>
  <c r="I818" i="108"/>
  <c r="M817" i="108"/>
  <c r="I817" i="108"/>
  <c r="M816" i="108"/>
  <c r="I816" i="108"/>
  <c r="M815" i="108"/>
  <c r="I815" i="108"/>
  <c r="M814" i="108"/>
  <c r="I814" i="108"/>
  <c r="M813" i="108"/>
  <c r="I813" i="108"/>
  <c r="M812" i="108"/>
  <c r="I812" i="108"/>
  <c r="M811" i="108"/>
  <c r="I811" i="108"/>
  <c r="M810" i="108"/>
  <c r="I810" i="108"/>
  <c r="M809" i="108"/>
  <c r="I809" i="108"/>
  <c r="M808" i="108"/>
  <c r="I808" i="108"/>
  <c r="M807" i="108"/>
  <c r="I807" i="108"/>
  <c r="M806" i="108"/>
  <c r="I806" i="108"/>
  <c r="M805" i="108"/>
  <c r="I805" i="108"/>
  <c r="I803" i="108"/>
  <c r="I802" i="108"/>
  <c r="M801" i="108"/>
  <c r="I801" i="108"/>
  <c r="I800" i="108"/>
  <c r="M799" i="108"/>
  <c r="I799" i="108"/>
  <c r="M798" i="108"/>
  <c r="I798" i="108"/>
  <c r="M797" i="108"/>
  <c r="I797" i="108"/>
  <c r="M796" i="108"/>
  <c r="I796" i="108"/>
  <c r="M795" i="108"/>
  <c r="I795" i="108"/>
  <c r="M794" i="108"/>
  <c r="I794" i="108"/>
  <c r="M793" i="108"/>
  <c r="I793" i="108"/>
  <c r="M792" i="108"/>
  <c r="I792" i="108"/>
  <c r="M791" i="108"/>
  <c r="I791" i="108"/>
  <c r="M790" i="108"/>
  <c r="I790" i="108"/>
  <c r="M789" i="108"/>
  <c r="I789" i="108"/>
  <c r="M788" i="108"/>
  <c r="I788" i="108"/>
  <c r="M787" i="108"/>
  <c r="I787" i="108"/>
  <c r="M786" i="108"/>
  <c r="I786" i="108"/>
  <c r="M785" i="108"/>
  <c r="I785" i="108"/>
  <c r="M784" i="108"/>
  <c r="I784" i="108"/>
  <c r="M783" i="108"/>
  <c r="I783" i="108"/>
  <c r="M782" i="108"/>
  <c r="I782" i="108"/>
  <c r="M781" i="108"/>
  <c r="I781" i="108"/>
  <c r="M780" i="108"/>
  <c r="I780" i="108"/>
  <c r="M779" i="108"/>
  <c r="I779" i="108"/>
  <c r="M778" i="108"/>
  <c r="I778" i="108"/>
  <c r="M777" i="108"/>
  <c r="I777" i="108"/>
  <c r="M776" i="108"/>
  <c r="I776" i="108"/>
  <c r="M775" i="108"/>
  <c r="I775" i="108"/>
  <c r="M774" i="108"/>
  <c r="I774" i="108"/>
  <c r="M773" i="108"/>
  <c r="I773" i="108"/>
  <c r="M772" i="108"/>
  <c r="I772" i="108"/>
  <c r="M771" i="108"/>
  <c r="I771" i="108"/>
  <c r="M770" i="108"/>
  <c r="I770" i="108"/>
  <c r="M769" i="108"/>
  <c r="I769" i="108"/>
  <c r="M768" i="108"/>
  <c r="I768" i="108"/>
  <c r="M767" i="108"/>
  <c r="I767" i="108"/>
  <c r="I765" i="108"/>
  <c r="I764" i="108"/>
  <c r="I763" i="108"/>
  <c r="I762" i="108"/>
  <c r="M761" i="108"/>
  <c r="I761" i="108"/>
  <c r="M760" i="108"/>
  <c r="I760" i="108"/>
  <c r="M759" i="108"/>
  <c r="I759" i="108"/>
  <c r="M758" i="108"/>
  <c r="I758" i="108"/>
  <c r="M757" i="108"/>
  <c r="I757" i="108"/>
  <c r="M756" i="108"/>
  <c r="I756" i="108"/>
  <c r="M755" i="108"/>
  <c r="I755" i="108"/>
  <c r="M754" i="108"/>
  <c r="I754" i="108"/>
  <c r="M753" i="108"/>
  <c r="I753" i="108"/>
  <c r="M752" i="108"/>
  <c r="I752" i="108"/>
  <c r="M751" i="108"/>
  <c r="I751" i="108"/>
  <c r="M750" i="108"/>
  <c r="I750" i="108"/>
  <c r="M749" i="108"/>
  <c r="I749" i="108"/>
  <c r="M748" i="108"/>
  <c r="I748" i="108"/>
  <c r="M747" i="108"/>
  <c r="I747" i="108"/>
  <c r="M746" i="108"/>
  <c r="I746" i="108"/>
  <c r="M745" i="108"/>
  <c r="I745" i="108"/>
  <c r="M744" i="108"/>
  <c r="I744" i="108"/>
  <c r="M743" i="108"/>
  <c r="I743" i="108"/>
  <c r="M742" i="108"/>
  <c r="I742" i="108"/>
  <c r="M741" i="108"/>
  <c r="I741" i="108"/>
  <c r="M740" i="108"/>
  <c r="I740" i="108"/>
  <c r="M739" i="108"/>
  <c r="I739" i="108"/>
  <c r="M738" i="108"/>
  <c r="I738" i="108"/>
  <c r="M737" i="108"/>
  <c r="I737" i="108"/>
  <c r="M736" i="108"/>
  <c r="I736" i="108"/>
  <c r="M735" i="108"/>
  <c r="I735" i="108"/>
  <c r="M734" i="108"/>
  <c r="I734" i="108"/>
  <c r="M733" i="108"/>
  <c r="I733" i="108"/>
  <c r="M732" i="108"/>
  <c r="I732" i="108"/>
  <c r="M731" i="108"/>
  <c r="I731" i="108"/>
  <c r="M730" i="108"/>
  <c r="I730" i="108"/>
  <c r="M729" i="108"/>
  <c r="I729" i="108"/>
  <c r="I727" i="108"/>
  <c r="I726" i="108"/>
  <c r="I725" i="108"/>
  <c r="I724" i="108"/>
  <c r="M723" i="108"/>
  <c r="I723" i="108"/>
  <c r="M722" i="108"/>
  <c r="I722" i="108"/>
  <c r="M721" i="108"/>
  <c r="I721" i="108"/>
  <c r="M720" i="108"/>
  <c r="I720" i="108"/>
  <c r="M719" i="108"/>
  <c r="I719" i="108"/>
  <c r="M718" i="108"/>
  <c r="I718" i="108"/>
  <c r="M717" i="108"/>
  <c r="I717" i="108"/>
  <c r="M716" i="108"/>
  <c r="I716" i="108"/>
  <c r="M715" i="108"/>
  <c r="I715" i="108"/>
  <c r="M714" i="108"/>
  <c r="I714" i="108"/>
  <c r="M713" i="108"/>
  <c r="I713" i="108"/>
  <c r="M712" i="108"/>
  <c r="I712" i="108"/>
  <c r="M711" i="108"/>
  <c r="I711" i="108"/>
  <c r="M710" i="108"/>
  <c r="I710" i="108"/>
  <c r="M709" i="108"/>
  <c r="I709" i="108"/>
  <c r="M708" i="108"/>
  <c r="I708" i="108"/>
  <c r="M707" i="108"/>
  <c r="I707" i="108"/>
  <c r="M706" i="108"/>
  <c r="I706" i="108"/>
  <c r="M705" i="108"/>
  <c r="I705" i="108"/>
  <c r="M704" i="108"/>
  <c r="I704" i="108"/>
  <c r="M703" i="108"/>
  <c r="I703" i="108"/>
  <c r="M702" i="108"/>
  <c r="I702" i="108"/>
  <c r="M701" i="108"/>
  <c r="I701" i="108"/>
  <c r="M700" i="108"/>
  <c r="I700" i="108"/>
  <c r="M699" i="108"/>
  <c r="I699" i="108"/>
  <c r="M698" i="108"/>
  <c r="I698" i="108"/>
  <c r="M697" i="108"/>
  <c r="I697" i="108"/>
  <c r="M696" i="108"/>
  <c r="I696" i="108"/>
  <c r="M695" i="108"/>
  <c r="I695" i="108"/>
  <c r="M694" i="108"/>
  <c r="I694" i="108"/>
  <c r="M693" i="108"/>
  <c r="I693" i="108"/>
  <c r="M692" i="108"/>
  <c r="I692" i="108"/>
  <c r="M691" i="108"/>
  <c r="I691" i="108"/>
  <c r="I689" i="108"/>
  <c r="I688" i="108"/>
  <c r="M687" i="108"/>
  <c r="I687" i="108"/>
  <c r="I686" i="108"/>
  <c r="M685" i="108"/>
  <c r="I685" i="108"/>
  <c r="M684" i="108"/>
  <c r="I684" i="108"/>
  <c r="M683" i="108"/>
  <c r="I683" i="108"/>
  <c r="M682" i="108"/>
  <c r="I682" i="108"/>
  <c r="M681" i="108"/>
  <c r="I681" i="108"/>
  <c r="M680" i="108"/>
  <c r="I680" i="108"/>
  <c r="M679" i="108"/>
  <c r="I679" i="108"/>
  <c r="M678" i="108"/>
  <c r="I678" i="108"/>
  <c r="M677" i="108"/>
  <c r="I677" i="108"/>
  <c r="M676" i="108"/>
  <c r="I676" i="108"/>
  <c r="M675" i="108"/>
  <c r="I675" i="108"/>
  <c r="M674" i="108"/>
  <c r="I674" i="108"/>
  <c r="M673" i="108"/>
  <c r="I673" i="108"/>
  <c r="M672" i="108"/>
  <c r="I672" i="108"/>
  <c r="M671" i="108"/>
  <c r="I671" i="108"/>
  <c r="M670" i="108"/>
  <c r="I670" i="108"/>
  <c r="M669" i="108"/>
  <c r="I669" i="108"/>
  <c r="M668" i="108"/>
  <c r="I668" i="108"/>
  <c r="M667" i="108"/>
  <c r="I667" i="108"/>
  <c r="M666" i="108"/>
  <c r="I666" i="108"/>
  <c r="M665" i="108"/>
  <c r="I665" i="108"/>
  <c r="M664" i="108"/>
  <c r="I664" i="108"/>
  <c r="M663" i="108"/>
  <c r="I663" i="108"/>
  <c r="M662" i="108"/>
  <c r="I662" i="108"/>
  <c r="M661" i="108"/>
  <c r="I661" i="108"/>
  <c r="M660" i="108"/>
  <c r="I660" i="108"/>
  <c r="M659" i="108"/>
  <c r="I659" i="108"/>
  <c r="M658" i="108"/>
  <c r="I658" i="108"/>
  <c r="M657" i="108"/>
  <c r="I657" i="108"/>
  <c r="M656" i="108"/>
  <c r="I656" i="108"/>
  <c r="M655" i="108"/>
  <c r="I655" i="108"/>
  <c r="M654" i="108"/>
  <c r="I654" i="108"/>
  <c r="M653" i="108"/>
  <c r="I653" i="108"/>
  <c r="I651" i="108"/>
  <c r="I650" i="108"/>
  <c r="M649" i="108"/>
  <c r="I649" i="108"/>
  <c r="I648" i="108"/>
  <c r="M647" i="108"/>
  <c r="I647" i="108"/>
  <c r="M646" i="108"/>
  <c r="I646" i="108"/>
  <c r="M645" i="108"/>
  <c r="I645" i="108"/>
  <c r="M644" i="108"/>
  <c r="I644" i="108"/>
  <c r="M643" i="108"/>
  <c r="I643" i="108"/>
  <c r="M642" i="108"/>
  <c r="I642" i="108"/>
  <c r="M641" i="108"/>
  <c r="I641" i="108"/>
  <c r="M640" i="108"/>
  <c r="I640" i="108"/>
  <c r="M639" i="108"/>
  <c r="I639" i="108"/>
  <c r="M638" i="108"/>
  <c r="I638" i="108"/>
  <c r="M637" i="108"/>
  <c r="I637" i="108"/>
  <c r="M636" i="108"/>
  <c r="I636" i="108"/>
  <c r="M635" i="108"/>
  <c r="I635" i="108"/>
  <c r="M634" i="108"/>
  <c r="I634" i="108"/>
  <c r="M633" i="108"/>
  <c r="I633" i="108"/>
  <c r="M632" i="108"/>
  <c r="I632" i="108"/>
  <c r="M631" i="108"/>
  <c r="I631" i="108"/>
  <c r="M630" i="108"/>
  <c r="I630" i="108"/>
  <c r="M629" i="108"/>
  <c r="I629" i="108"/>
  <c r="M628" i="108"/>
  <c r="I628" i="108"/>
  <c r="M627" i="108"/>
  <c r="I627" i="108"/>
  <c r="M626" i="108"/>
  <c r="I626" i="108"/>
  <c r="M625" i="108"/>
  <c r="I625" i="108"/>
  <c r="M624" i="108"/>
  <c r="I624" i="108"/>
  <c r="M623" i="108"/>
  <c r="I623" i="108"/>
  <c r="M622" i="108"/>
  <c r="I622" i="108"/>
  <c r="M621" i="108"/>
  <c r="I621" i="108"/>
  <c r="M620" i="108"/>
  <c r="I620" i="108"/>
  <c r="M619" i="108"/>
  <c r="I619" i="108"/>
  <c r="M618" i="108"/>
  <c r="I618" i="108"/>
  <c r="M617" i="108"/>
  <c r="I617" i="108"/>
  <c r="M616" i="108"/>
  <c r="I616" i="108"/>
  <c r="M615" i="108"/>
  <c r="I615" i="108"/>
  <c r="I613" i="108"/>
  <c r="I612" i="108"/>
  <c r="I611" i="108"/>
  <c r="I610" i="108"/>
  <c r="M609" i="108"/>
  <c r="I609" i="108"/>
  <c r="M608" i="108"/>
  <c r="I608" i="108"/>
  <c r="M607" i="108"/>
  <c r="I607" i="108"/>
  <c r="M606" i="108"/>
  <c r="I606" i="108"/>
  <c r="M605" i="108"/>
  <c r="I605" i="108"/>
  <c r="M604" i="108"/>
  <c r="I604" i="108"/>
  <c r="M603" i="108"/>
  <c r="I603" i="108"/>
  <c r="M602" i="108"/>
  <c r="I602" i="108"/>
  <c r="M601" i="108"/>
  <c r="I601" i="108"/>
  <c r="M600" i="108"/>
  <c r="I600" i="108"/>
  <c r="M599" i="108"/>
  <c r="I599" i="108"/>
  <c r="M598" i="108"/>
  <c r="I598" i="108"/>
  <c r="M597" i="108"/>
  <c r="I597" i="108"/>
  <c r="M596" i="108"/>
  <c r="I596" i="108"/>
  <c r="M595" i="108"/>
  <c r="I595" i="108"/>
  <c r="M594" i="108"/>
  <c r="I594" i="108"/>
  <c r="M593" i="108"/>
  <c r="I593" i="108"/>
  <c r="M592" i="108"/>
  <c r="I592" i="108"/>
  <c r="M591" i="108"/>
  <c r="I591" i="108"/>
  <c r="M590" i="108"/>
  <c r="I590" i="108"/>
  <c r="M589" i="108"/>
  <c r="I589" i="108"/>
  <c r="M588" i="108"/>
  <c r="I588" i="108"/>
  <c r="M587" i="108"/>
  <c r="I587" i="108"/>
  <c r="M586" i="108"/>
  <c r="I586" i="108"/>
  <c r="M585" i="108"/>
  <c r="I585" i="108"/>
  <c r="M584" i="108"/>
  <c r="I584" i="108"/>
  <c r="M583" i="108"/>
  <c r="I583" i="108"/>
  <c r="M582" i="108"/>
  <c r="I582" i="108"/>
  <c r="M581" i="108"/>
  <c r="I581" i="108"/>
  <c r="M580" i="108"/>
  <c r="I580" i="108"/>
  <c r="M579" i="108"/>
  <c r="I579" i="108"/>
  <c r="M578" i="108"/>
  <c r="I578" i="108"/>
  <c r="M577" i="108"/>
  <c r="I577" i="108"/>
  <c r="I575" i="108"/>
  <c r="I574" i="108"/>
  <c r="I573" i="108"/>
  <c r="I572" i="108"/>
  <c r="M571" i="108"/>
  <c r="I571" i="108"/>
  <c r="M570" i="108"/>
  <c r="I570" i="108"/>
  <c r="M569" i="108"/>
  <c r="I569" i="108"/>
  <c r="M568" i="108"/>
  <c r="I568" i="108"/>
  <c r="M567" i="108"/>
  <c r="I567" i="108"/>
  <c r="M566" i="108"/>
  <c r="I566" i="108"/>
  <c r="M565" i="108"/>
  <c r="I565" i="108"/>
  <c r="M564" i="108"/>
  <c r="I564" i="108"/>
  <c r="M563" i="108"/>
  <c r="I563" i="108"/>
  <c r="M562" i="108"/>
  <c r="I562" i="108"/>
  <c r="M561" i="108"/>
  <c r="I561" i="108"/>
  <c r="M560" i="108"/>
  <c r="I560" i="108"/>
  <c r="M559" i="108"/>
  <c r="I559" i="108"/>
  <c r="M558" i="108"/>
  <c r="I558" i="108"/>
  <c r="M557" i="108"/>
  <c r="I557" i="108"/>
  <c r="M556" i="108"/>
  <c r="I556" i="108"/>
  <c r="M555" i="108"/>
  <c r="I555" i="108"/>
  <c r="M554" i="108"/>
  <c r="I554" i="108"/>
  <c r="M553" i="108"/>
  <c r="I553" i="108"/>
  <c r="M552" i="108"/>
  <c r="I552" i="108"/>
  <c r="M551" i="108"/>
  <c r="I551" i="108"/>
  <c r="M550" i="108"/>
  <c r="I550" i="108"/>
  <c r="M549" i="108"/>
  <c r="I549" i="108"/>
  <c r="M548" i="108"/>
  <c r="I548" i="108"/>
  <c r="M547" i="108"/>
  <c r="I547" i="108"/>
  <c r="M546" i="108"/>
  <c r="I546" i="108"/>
  <c r="M545" i="108"/>
  <c r="I545" i="108"/>
  <c r="M544" i="108"/>
  <c r="I544" i="108"/>
  <c r="M543" i="108"/>
  <c r="I543" i="108"/>
  <c r="M542" i="108"/>
  <c r="I542" i="108"/>
  <c r="M541" i="108"/>
  <c r="I541" i="108"/>
  <c r="M540" i="108"/>
  <c r="I540" i="108"/>
  <c r="M539" i="108"/>
  <c r="I539" i="108"/>
  <c r="I537" i="108"/>
  <c r="I536" i="108"/>
  <c r="I535" i="108"/>
  <c r="I534" i="108"/>
  <c r="M533" i="108"/>
  <c r="I533" i="108"/>
  <c r="M532" i="108"/>
  <c r="I532" i="108"/>
  <c r="M531" i="108"/>
  <c r="I531" i="108"/>
  <c r="M530" i="108"/>
  <c r="I530" i="108"/>
  <c r="M529" i="108"/>
  <c r="I529" i="108"/>
  <c r="M528" i="108"/>
  <c r="I528" i="108"/>
  <c r="M527" i="108"/>
  <c r="I527" i="108"/>
  <c r="M526" i="108"/>
  <c r="I526" i="108"/>
  <c r="M525" i="108"/>
  <c r="I525" i="108"/>
  <c r="M524" i="108"/>
  <c r="I524" i="108"/>
  <c r="M523" i="108"/>
  <c r="I523" i="108"/>
  <c r="M522" i="108"/>
  <c r="I522" i="108"/>
  <c r="M521" i="108"/>
  <c r="I521" i="108"/>
  <c r="M520" i="108"/>
  <c r="I520" i="108"/>
  <c r="M519" i="108"/>
  <c r="I519" i="108"/>
  <c r="M518" i="108"/>
  <c r="I518" i="108"/>
  <c r="M517" i="108"/>
  <c r="I517" i="108"/>
  <c r="M516" i="108"/>
  <c r="I516" i="108"/>
  <c r="M515" i="108"/>
  <c r="I515" i="108"/>
  <c r="M514" i="108"/>
  <c r="I514" i="108"/>
  <c r="M513" i="108"/>
  <c r="I513" i="108"/>
  <c r="M512" i="108"/>
  <c r="I512" i="108"/>
  <c r="M511" i="108"/>
  <c r="I511" i="108"/>
  <c r="M510" i="108"/>
  <c r="I510" i="108"/>
  <c r="M509" i="108"/>
  <c r="I509" i="108"/>
  <c r="M508" i="108"/>
  <c r="I508" i="108"/>
  <c r="M507" i="108"/>
  <c r="I507" i="108"/>
  <c r="M506" i="108"/>
  <c r="I506" i="108"/>
  <c r="M505" i="108"/>
  <c r="I505" i="108"/>
  <c r="M504" i="108"/>
  <c r="I504" i="108"/>
  <c r="M503" i="108"/>
  <c r="I503" i="108"/>
  <c r="M502" i="108"/>
  <c r="I502" i="108"/>
  <c r="M501" i="108"/>
  <c r="I501" i="108"/>
  <c r="I499" i="108"/>
  <c r="I498" i="108"/>
  <c r="I497" i="108"/>
  <c r="I496" i="108"/>
  <c r="M495" i="108"/>
  <c r="I495" i="108"/>
  <c r="M494" i="108"/>
  <c r="I494" i="108"/>
  <c r="M493" i="108"/>
  <c r="I493" i="108"/>
  <c r="M492" i="108"/>
  <c r="I492" i="108"/>
  <c r="M491" i="108"/>
  <c r="I491" i="108"/>
  <c r="M490" i="108"/>
  <c r="I490" i="108"/>
  <c r="M489" i="108"/>
  <c r="I489" i="108"/>
  <c r="M488" i="108"/>
  <c r="I488" i="108"/>
  <c r="M487" i="108"/>
  <c r="I487" i="108"/>
  <c r="M486" i="108"/>
  <c r="I486" i="108"/>
  <c r="M485" i="108"/>
  <c r="I485" i="108"/>
  <c r="M484" i="108"/>
  <c r="I484" i="108"/>
  <c r="M483" i="108"/>
  <c r="I483" i="108"/>
  <c r="M482" i="108"/>
  <c r="I482" i="108"/>
  <c r="M481" i="108"/>
  <c r="I481" i="108"/>
  <c r="M480" i="108"/>
  <c r="I480" i="108"/>
  <c r="M479" i="108"/>
  <c r="I479" i="108"/>
  <c r="M478" i="108"/>
  <c r="I478" i="108"/>
  <c r="M477" i="108"/>
  <c r="I477" i="108"/>
  <c r="M476" i="108"/>
  <c r="I476" i="108"/>
  <c r="M475" i="108"/>
  <c r="I475" i="108"/>
  <c r="M474" i="108"/>
  <c r="I474" i="108"/>
  <c r="M473" i="108"/>
  <c r="I473" i="108"/>
  <c r="M472" i="108"/>
  <c r="I472" i="108"/>
  <c r="M471" i="108"/>
  <c r="I471" i="108"/>
  <c r="M470" i="108"/>
  <c r="I470" i="108"/>
  <c r="M469" i="108"/>
  <c r="I469" i="108"/>
  <c r="M468" i="108"/>
  <c r="I468" i="108"/>
  <c r="M467" i="108"/>
  <c r="I467" i="108"/>
  <c r="M466" i="108"/>
  <c r="I466" i="108"/>
  <c r="M465" i="108"/>
  <c r="I465" i="108"/>
  <c r="M464" i="108"/>
  <c r="I464" i="108"/>
  <c r="M463" i="108"/>
  <c r="I463" i="108"/>
  <c r="I461" i="108"/>
  <c r="I460" i="108"/>
  <c r="I459" i="108"/>
  <c r="I458" i="108"/>
  <c r="M457" i="108"/>
  <c r="I457" i="108"/>
  <c r="M456" i="108"/>
  <c r="I456" i="108"/>
  <c r="M455" i="108"/>
  <c r="I455" i="108"/>
  <c r="M454" i="108"/>
  <c r="I454" i="108"/>
  <c r="M453" i="108"/>
  <c r="I453" i="108"/>
  <c r="M452" i="108"/>
  <c r="I452" i="108"/>
  <c r="M451" i="108"/>
  <c r="I451" i="108"/>
  <c r="M450" i="108"/>
  <c r="I450" i="108"/>
  <c r="M449" i="108"/>
  <c r="I449" i="108"/>
  <c r="M448" i="108"/>
  <c r="I448" i="108"/>
  <c r="M447" i="108"/>
  <c r="I447" i="108"/>
  <c r="M446" i="108"/>
  <c r="I446" i="108"/>
  <c r="M445" i="108"/>
  <c r="I445" i="108"/>
  <c r="M444" i="108"/>
  <c r="I444" i="108"/>
  <c r="M443" i="108"/>
  <c r="I443" i="108"/>
  <c r="M442" i="108"/>
  <c r="I442" i="108"/>
  <c r="M441" i="108"/>
  <c r="I441" i="108"/>
  <c r="M440" i="108"/>
  <c r="I440" i="108"/>
  <c r="M439" i="108"/>
  <c r="I439" i="108"/>
  <c r="M438" i="108"/>
  <c r="I438" i="108"/>
  <c r="M437" i="108"/>
  <c r="I437" i="108"/>
  <c r="M436" i="108"/>
  <c r="I436" i="108"/>
  <c r="M435" i="108"/>
  <c r="I435" i="108"/>
  <c r="M434" i="108"/>
  <c r="I434" i="108"/>
  <c r="M433" i="108"/>
  <c r="I433" i="108"/>
  <c r="M432" i="108"/>
  <c r="I432" i="108"/>
  <c r="M431" i="108"/>
  <c r="I431" i="108"/>
  <c r="M430" i="108"/>
  <c r="I430" i="108"/>
  <c r="M429" i="108"/>
  <c r="I429" i="108"/>
  <c r="M428" i="108"/>
  <c r="I428" i="108"/>
  <c r="M427" i="108"/>
  <c r="I427" i="108"/>
  <c r="M426" i="108"/>
  <c r="I426" i="108"/>
  <c r="M425" i="108"/>
  <c r="I425" i="108"/>
  <c r="I423" i="108"/>
  <c r="I422" i="108"/>
  <c r="I421" i="108"/>
  <c r="I420" i="108"/>
  <c r="M419" i="108"/>
  <c r="I419" i="108"/>
  <c r="M418" i="108"/>
  <c r="I418" i="108"/>
  <c r="M417" i="108"/>
  <c r="I417" i="108"/>
  <c r="M416" i="108"/>
  <c r="I416" i="108"/>
  <c r="M415" i="108"/>
  <c r="I415" i="108"/>
  <c r="M414" i="108"/>
  <c r="I414" i="108"/>
  <c r="M413" i="108"/>
  <c r="I413" i="108"/>
  <c r="M412" i="108"/>
  <c r="I412" i="108"/>
  <c r="M411" i="108"/>
  <c r="I411" i="108"/>
  <c r="M410" i="108"/>
  <c r="I410" i="108"/>
  <c r="M409" i="108"/>
  <c r="I409" i="108"/>
  <c r="M408" i="108"/>
  <c r="I408" i="108"/>
  <c r="M407" i="108"/>
  <c r="I407" i="108"/>
  <c r="M406" i="108"/>
  <c r="I406" i="108"/>
  <c r="M405" i="108"/>
  <c r="I405" i="108"/>
  <c r="M404" i="108"/>
  <c r="I404" i="108"/>
  <c r="M403" i="108"/>
  <c r="I403" i="108"/>
  <c r="M402" i="108"/>
  <c r="I402" i="108"/>
  <c r="M401" i="108"/>
  <c r="I401" i="108"/>
  <c r="M400" i="108"/>
  <c r="I400" i="108"/>
  <c r="M399" i="108"/>
  <c r="I399" i="108"/>
  <c r="M398" i="108"/>
  <c r="I398" i="108"/>
  <c r="M397" i="108"/>
  <c r="I397" i="108"/>
  <c r="M396" i="108"/>
  <c r="I396" i="108"/>
  <c r="M395" i="108"/>
  <c r="I395" i="108"/>
  <c r="M394" i="108"/>
  <c r="I394" i="108"/>
  <c r="M393" i="108"/>
  <c r="I393" i="108"/>
  <c r="M392" i="108"/>
  <c r="I392" i="108"/>
  <c r="M391" i="108"/>
  <c r="I391" i="108"/>
  <c r="M390" i="108"/>
  <c r="I390" i="108"/>
  <c r="M389" i="108"/>
  <c r="I389" i="108"/>
  <c r="M388" i="108"/>
  <c r="I388" i="108"/>
  <c r="M387" i="108"/>
  <c r="I387" i="108"/>
  <c r="I385" i="108"/>
  <c r="I384" i="108"/>
  <c r="I383" i="108"/>
  <c r="I382" i="108"/>
  <c r="I381" i="108"/>
  <c r="M380" i="108"/>
  <c r="I380" i="108"/>
  <c r="M379" i="108"/>
  <c r="I379" i="108"/>
  <c r="M378" i="108"/>
  <c r="I378" i="108"/>
  <c r="M377" i="108"/>
  <c r="I377" i="108"/>
  <c r="M376" i="108"/>
  <c r="I376" i="108"/>
  <c r="M375" i="108"/>
  <c r="I375" i="108"/>
  <c r="M374" i="108"/>
  <c r="I374" i="108"/>
  <c r="M373" i="108"/>
  <c r="I373" i="108"/>
  <c r="M372" i="108"/>
  <c r="I372" i="108"/>
  <c r="M371" i="108"/>
  <c r="I371" i="108"/>
  <c r="M370" i="108"/>
  <c r="I370" i="108"/>
  <c r="M369" i="108"/>
  <c r="I369" i="108"/>
  <c r="M368" i="108"/>
  <c r="I368" i="108"/>
  <c r="M367" i="108"/>
  <c r="I367" i="108"/>
  <c r="M366" i="108"/>
  <c r="I366" i="108"/>
  <c r="M365" i="108"/>
  <c r="I365" i="108"/>
  <c r="M364" i="108"/>
  <c r="I364" i="108"/>
  <c r="M363" i="108"/>
  <c r="I363" i="108"/>
  <c r="M362" i="108"/>
  <c r="I362" i="108"/>
  <c r="M361" i="108"/>
  <c r="I361" i="108"/>
  <c r="M360" i="108"/>
  <c r="I360" i="108"/>
  <c r="M359" i="108"/>
  <c r="I359" i="108"/>
  <c r="M358" i="108"/>
  <c r="I358" i="108"/>
  <c r="M357" i="108"/>
  <c r="I357" i="108"/>
  <c r="M356" i="108"/>
  <c r="I356" i="108"/>
  <c r="M355" i="108"/>
  <c r="I355" i="108"/>
  <c r="M354" i="108"/>
  <c r="I354" i="108"/>
  <c r="M353" i="108"/>
  <c r="I353" i="108"/>
  <c r="M352" i="108"/>
  <c r="I352" i="108"/>
  <c r="M351" i="108"/>
  <c r="I351" i="108"/>
  <c r="M350" i="108"/>
  <c r="I350" i="108"/>
  <c r="M349" i="108"/>
  <c r="I349" i="108"/>
  <c r="M348" i="108"/>
  <c r="I347" i="108"/>
  <c r="I346" i="108"/>
  <c r="I345" i="108"/>
  <c r="I344" i="108"/>
  <c r="M343" i="108"/>
  <c r="I343" i="108"/>
  <c r="M342" i="108"/>
  <c r="I342" i="108"/>
  <c r="M341" i="108"/>
  <c r="I341" i="108"/>
  <c r="M340" i="108"/>
  <c r="I340" i="108"/>
  <c r="M339" i="108"/>
  <c r="I339" i="108"/>
  <c r="M338" i="108"/>
  <c r="I338" i="108"/>
  <c r="M337" i="108"/>
  <c r="I337" i="108"/>
  <c r="M336" i="108"/>
  <c r="I336" i="108"/>
  <c r="M335" i="108"/>
  <c r="I335" i="108"/>
  <c r="M334" i="108"/>
  <c r="I334" i="108"/>
  <c r="M333" i="108"/>
  <c r="I333" i="108"/>
  <c r="M332" i="108"/>
  <c r="I332" i="108"/>
  <c r="M331" i="108"/>
  <c r="I331" i="108"/>
  <c r="M330" i="108"/>
  <c r="I330" i="108"/>
  <c r="M329" i="108"/>
  <c r="I329" i="108"/>
  <c r="M328" i="108"/>
  <c r="I328" i="108"/>
  <c r="M327" i="108"/>
  <c r="I327" i="108"/>
  <c r="M326" i="108"/>
  <c r="I326" i="108"/>
  <c r="M325" i="108"/>
  <c r="I325" i="108"/>
  <c r="M324" i="108"/>
  <c r="I324" i="108"/>
  <c r="M323" i="108"/>
  <c r="I323" i="108"/>
  <c r="M322" i="108"/>
  <c r="I322" i="108"/>
  <c r="M321" i="108"/>
  <c r="I321" i="108"/>
  <c r="M320" i="108"/>
  <c r="I320" i="108"/>
  <c r="M319" i="108"/>
  <c r="I319" i="108"/>
  <c r="M318" i="108"/>
  <c r="I318" i="108"/>
  <c r="M317" i="108"/>
  <c r="I317" i="108"/>
  <c r="M316" i="108"/>
  <c r="I316" i="108"/>
  <c r="M315" i="108"/>
  <c r="I315" i="108"/>
  <c r="M314" i="108"/>
  <c r="I314" i="108"/>
  <c r="M313" i="108"/>
  <c r="I313" i="108"/>
  <c r="M312" i="108"/>
  <c r="I312" i="108"/>
  <c r="M311" i="108"/>
  <c r="I311" i="108"/>
  <c r="M310" i="108"/>
  <c r="I309" i="108"/>
  <c r="I308" i="108"/>
  <c r="I307" i="108"/>
  <c r="I306" i="108"/>
  <c r="M305" i="108"/>
  <c r="I305" i="108"/>
  <c r="M304" i="108"/>
  <c r="I304" i="108"/>
  <c r="M303" i="108"/>
  <c r="I303" i="108"/>
  <c r="M302" i="108"/>
  <c r="I302" i="108"/>
  <c r="M301" i="108"/>
  <c r="I301" i="108"/>
  <c r="M300" i="108"/>
  <c r="I300" i="108"/>
  <c r="M299" i="108"/>
  <c r="I299" i="108"/>
  <c r="M298" i="108"/>
  <c r="I298" i="108"/>
  <c r="M297" i="108"/>
  <c r="I297" i="108"/>
  <c r="M296" i="108"/>
  <c r="I296" i="108"/>
  <c r="M295" i="108"/>
  <c r="I295" i="108"/>
  <c r="M294" i="108"/>
  <c r="I294" i="108"/>
  <c r="M293" i="108"/>
  <c r="I293" i="108"/>
  <c r="M292" i="108"/>
  <c r="I292" i="108"/>
  <c r="M291" i="108"/>
  <c r="I291" i="108"/>
  <c r="M290" i="108"/>
  <c r="I290" i="108"/>
  <c r="M289" i="108"/>
  <c r="I289" i="108"/>
  <c r="M288" i="108"/>
  <c r="I288" i="108"/>
  <c r="M287" i="108"/>
  <c r="I287" i="108"/>
  <c r="M286" i="108"/>
  <c r="I286" i="108"/>
  <c r="M285" i="108"/>
  <c r="I285" i="108"/>
  <c r="M284" i="108"/>
  <c r="I284" i="108"/>
  <c r="M283" i="108"/>
  <c r="I283" i="108"/>
  <c r="M282" i="108"/>
  <c r="I282" i="108"/>
  <c r="M281" i="108"/>
  <c r="I281" i="108"/>
  <c r="M280" i="108"/>
  <c r="I280" i="108"/>
  <c r="M279" i="108"/>
  <c r="I279" i="108"/>
  <c r="M278" i="108"/>
  <c r="I278" i="108"/>
  <c r="M277" i="108"/>
  <c r="I277" i="108"/>
  <c r="M276" i="108"/>
  <c r="I276" i="108"/>
  <c r="M275" i="108"/>
  <c r="I275" i="108"/>
  <c r="M274" i="108"/>
  <c r="I274" i="108"/>
  <c r="M273" i="108"/>
  <c r="I273" i="108"/>
  <c r="M272" i="108"/>
  <c r="I271" i="108"/>
  <c r="I270" i="108"/>
  <c r="I269" i="108"/>
  <c r="I268" i="108"/>
  <c r="M267" i="108"/>
  <c r="I267" i="108"/>
  <c r="M266" i="108"/>
  <c r="I266" i="108"/>
  <c r="M265" i="108"/>
  <c r="I265" i="108"/>
  <c r="M264" i="108"/>
  <c r="I264" i="108"/>
  <c r="M263" i="108"/>
  <c r="I263" i="108"/>
  <c r="M262" i="108"/>
  <c r="I262" i="108"/>
  <c r="M261" i="108"/>
  <c r="I261" i="108"/>
  <c r="M260" i="108"/>
  <c r="I260" i="108"/>
  <c r="M259" i="108"/>
  <c r="I259" i="108"/>
  <c r="M258" i="108"/>
  <c r="I258" i="108"/>
  <c r="M257" i="108"/>
  <c r="I257" i="108"/>
  <c r="M256" i="108"/>
  <c r="I256" i="108"/>
  <c r="M255" i="108"/>
  <c r="I255" i="108"/>
  <c r="M254" i="108"/>
  <c r="I254" i="108"/>
  <c r="M253" i="108"/>
  <c r="I253" i="108"/>
  <c r="M252" i="108"/>
  <c r="I252" i="108"/>
  <c r="M251" i="108"/>
  <c r="I251" i="108"/>
  <c r="M250" i="108"/>
  <c r="I250" i="108"/>
  <c r="M249" i="108"/>
  <c r="I249" i="108"/>
  <c r="M248" i="108"/>
  <c r="I248" i="108"/>
  <c r="M247" i="108"/>
  <c r="I247" i="108"/>
  <c r="M246" i="108"/>
  <c r="I246" i="108"/>
  <c r="M245" i="108"/>
  <c r="I245" i="108"/>
  <c r="M244" i="108"/>
  <c r="I244" i="108"/>
  <c r="M243" i="108"/>
  <c r="I243" i="108"/>
  <c r="M242" i="108"/>
  <c r="I242" i="108"/>
  <c r="M241" i="108"/>
  <c r="I241" i="108"/>
  <c r="M240" i="108"/>
  <c r="I240" i="108"/>
  <c r="M239" i="108"/>
  <c r="I239" i="108"/>
  <c r="M238" i="108"/>
  <c r="I238" i="108"/>
  <c r="M237" i="108"/>
  <c r="I237" i="108"/>
  <c r="M236" i="108"/>
  <c r="I236" i="108"/>
  <c r="M235" i="108"/>
  <c r="I235" i="108"/>
  <c r="I233" i="108"/>
  <c r="I232" i="108"/>
  <c r="I231" i="108"/>
  <c r="I230" i="108"/>
  <c r="M229" i="108"/>
  <c r="I229" i="108"/>
  <c r="M228" i="108"/>
  <c r="I228" i="108"/>
  <c r="M227" i="108"/>
  <c r="I227" i="108"/>
  <c r="M226" i="108"/>
  <c r="I226" i="108"/>
  <c r="M225" i="108"/>
  <c r="I225" i="108"/>
  <c r="M224" i="108"/>
  <c r="I224" i="108"/>
  <c r="M223" i="108"/>
  <c r="I223" i="108"/>
  <c r="M222" i="108"/>
  <c r="I222" i="108"/>
  <c r="M221" i="108"/>
  <c r="I221" i="108"/>
  <c r="M220" i="108"/>
  <c r="I220" i="108"/>
  <c r="M219" i="108"/>
  <c r="I219" i="108"/>
  <c r="M218" i="108"/>
  <c r="I218" i="108"/>
  <c r="M217" i="108"/>
  <c r="I217" i="108"/>
  <c r="M216" i="108"/>
  <c r="I216" i="108"/>
  <c r="M215" i="108"/>
  <c r="I215" i="108"/>
  <c r="M214" i="108"/>
  <c r="I214" i="108"/>
  <c r="M213" i="108"/>
  <c r="I213" i="108"/>
  <c r="M212" i="108"/>
  <c r="I212" i="108"/>
  <c r="M211" i="108"/>
  <c r="I211" i="108"/>
  <c r="M210" i="108"/>
  <c r="I210" i="108"/>
  <c r="M209" i="108"/>
  <c r="I209" i="108"/>
  <c r="M208" i="108"/>
  <c r="I208" i="108"/>
  <c r="M207" i="108"/>
  <c r="I207" i="108"/>
  <c r="M206" i="108"/>
  <c r="I206" i="108"/>
  <c r="M205" i="108"/>
  <c r="I205" i="108"/>
  <c r="M204" i="108"/>
  <c r="I204" i="108"/>
  <c r="M203" i="108"/>
  <c r="I203" i="108"/>
  <c r="M202" i="108"/>
  <c r="I202" i="108"/>
  <c r="M201" i="108"/>
  <c r="I201" i="108"/>
  <c r="M200" i="108"/>
  <c r="I200" i="108"/>
  <c r="M199" i="108"/>
  <c r="I199" i="108"/>
  <c r="M198" i="108"/>
  <c r="I198" i="108"/>
  <c r="M197" i="108"/>
  <c r="I197" i="108"/>
  <c r="I195" i="108"/>
  <c r="I194" i="108"/>
  <c r="I193" i="108"/>
  <c r="I192" i="108"/>
  <c r="M191" i="108"/>
  <c r="I191" i="108"/>
  <c r="M190" i="108"/>
  <c r="I190" i="108"/>
  <c r="M189" i="108"/>
  <c r="I189" i="108"/>
  <c r="M188" i="108"/>
  <c r="I188" i="108"/>
  <c r="M187" i="108"/>
  <c r="I187" i="108"/>
  <c r="M186" i="108"/>
  <c r="I186" i="108"/>
  <c r="M185" i="108"/>
  <c r="I185" i="108"/>
  <c r="M184" i="108"/>
  <c r="I184" i="108"/>
  <c r="M183" i="108"/>
  <c r="I183" i="108"/>
  <c r="M182" i="108"/>
  <c r="I182" i="108"/>
  <c r="M181" i="108"/>
  <c r="I181" i="108"/>
  <c r="M180" i="108"/>
  <c r="I180" i="108"/>
  <c r="M179" i="108"/>
  <c r="I179" i="108"/>
  <c r="M178" i="108"/>
  <c r="I178" i="108"/>
  <c r="M177" i="108"/>
  <c r="I177" i="108"/>
  <c r="M176" i="108"/>
  <c r="I176" i="108"/>
  <c r="M175" i="108"/>
  <c r="I175" i="108"/>
  <c r="M174" i="108"/>
  <c r="I174" i="108"/>
  <c r="M173" i="108"/>
  <c r="I173" i="108"/>
  <c r="M172" i="108"/>
  <c r="I172" i="108"/>
  <c r="M171" i="108"/>
  <c r="I171" i="108"/>
  <c r="M170" i="108"/>
  <c r="I170" i="108"/>
  <c r="M169" i="108"/>
  <c r="I169" i="108"/>
  <c r="M168" i="108"/>
  <c r="I168" i="108"/>
  <c r="M167" i="108"/>
  <c r="I167" i="108"/>
  <c r="M166" i="108"/>
  <c r="I166" i="108"/>
  <c r="M165" i="108"/>
  <c r="I165" i="108"/>
  <c r="M164" i="108"/>
  <c r="I164" i="108"/>
  <c r="M163" i="108"/>
  <c r="I163" i="108"/>
  <c r="M162" i="108"/>
  <c r="I162" i="108"/>
  <c r="M161" i="108"/>
  <c r="I161" i="108"/>
  <c r="M160" i="108"/>
  <c r="I160" i="108"/>
  <c r="M159" i="108"/>
  <c r="I159" i="108"/>
  <c r="M158" i="108"/>
  <c r="I157" i="108"/>
  <c r="I156" i="108"/>
  <c r="I155" i="108"/>
  <c r="I154" i="108"/>
  <c r="M153" i="108"/>
  <c r="I153" i="108"/>
  <c r="M152" i="108"/>
  <c r="I152" i="108"/>
  <c r="M151" i="108"/>
  <c r="I151" i="108"/>
  <c r="M150" i="108"/>
  <c r="I150" i="108"/>
  <c r="M149" i="108"/>
  <c r="I149" i="108"/>
  <c r="M148" i="108"/>
  <c r="I148" i="108"/>
  <c r="M147" i="108"/>
  <c r="I147" i="108"/>
  <c r="M146" i="108"/>
  <c r="I146" i="108"/>
  <c r="M145" i="108"/>
  <c r="I145" i="108"/>
  <c r="M144" i="108"/>
  <c r="I144" i="108"/>
  <c r="M143" i="108"/>
  <c r="I143" i="108"/>
  <c r="M142" i="108"/>
  <c r="I142" i="108"/>
  <c r="M141" i="108"/>
  <c r="I141" i="108"/>
  <c r="M140" i="108"/>
  <c r="I140" i="108"/>
  <c r="M139" i="108"/>
  <c r="I139" i="108"/>
  <c r="M138" i="108"/>
  <c r="I138" i="108"/>
  <c r="M137" i="108"/>
  <c r="I137" i="108"/>
  <c r="M136" i="108"/>
  <c r="I136" i="108"/>
  <c r="M135" i="108"/>
  <c r="I135" i="108"/>
  <c r="M134" i="108"/>
  <c r="I134" i="108"/>
  <c r="M133" i="108"/>
  <c r="I133" i="108"/>
  <c r="M132" i="108"/>
  <c r="I132" i="108"/>
  <c r="M131" i="108"/>
  <c r="I131" i="108"/>
  <c r="M130" i="108"/>
  <c r="I130" i="108"/>
  <c r="M129" i="108"/>
  <c r="I129" i="108"/>
  <c r="M128" i="108"/>
  <c r="I128" i="108"/>
  <c r="M127" i="108"/>
  <c r="I127" i="108"/>
  <c r="M126" i="108"/>
  <c r="I126" i="108"/>
  <c r="M125" i="108"/>
  <c r="I125" i="108"/>
  <c r="M124" i="108"/>
  <c r="I124" i="108"/>
  <c r="M123" i="108"/>
  <c r="I123" i="108"/>
  <c r="M122" i="108"/>
  <c r="I122" i="108"/>
  <c r="M121" i="108"/>
  <c r="I121" i="108"/>
  <c r="M120" i="108"/>
  <c r="I119" i="108"/>
  <c r="I118" i="108"/>
  <c r="I117" i="108"/>
  <c r="I116" i="108"/>
  <c r="M115" i="108"/>
  <c r="I115" i="108"/>
  <c r="M114" i="108"/>
  <c r="I114" i="108"/>
  <c r="M113" i="108"/>
  <c r="I113" i="108"/>
  <c r="M112" i="108"/>
  <c r="I112" i="108"/>
  <c r="M111" i="108"/>
  <c r="I111" i="108"/>
  <c r="M110" i="108"/>
  <c r="I110" i="108"/>
  <c r="M109" i="108"/>
  <c r="I109" i="108"/>
  <c r="M108" i="108"/>
  <c r="I108" i="108"/>
  <c r="M107" i="108"/>
  <c r="I107" i="108"/>
  <c r="M106" i="108"/>
  <c r="I106" i="108"/>
  <c r="M105" i="108"/>
  <c r="I105" i="108"/>
  <c r="M104" i="108"/>
  <c r="I104" i="108"/>
  <c r="M103" i="108"/>
  <c r="I103" i="108"/>
  <c r="M102" i="108"/>
  <c r="I102" i="108"/>
  <c r="M101" i="108"/>
  <c r="I101" i="108"/>
  <c r="M100" i="108"/>
  <c r="I100" i="108"/>
  <c r="M99" i="108"/>
  <c r="I99" i="108"/>
  <c r="M98" i="108"/>
  <c r="I98" i="108"/>
  <c r="M97" i="108"/>
  <c r="I97" i="108"/>
  <c r="M96" i="108"/>
  <c r="I96" i="108"/>
  <c r="M95" i="108"/>
  <c r="I95" i="108"/>
  <c r="M94" i="108"/>
  <c r="I94" i="108"/>
  <c r="M93" i="108"/>
  <c r="I93" i="108"/>
  <c r="M92" i="108"/>
  <c r="I92" i="108"/>
  <c r="M91" i="108"/>
  <c r="I91" i="108"/>
  <c r="M90" i="108"/>
  <c r="I90" i="108"/>
  <c r="M89" i="108"/>
  <c r="I89" i="108"/>
  <c r="M88" i="108"/>
  <c r="I88" i="108"/>
  <c r="M87" i="108"/>
  <c r="I87" i="108"/>
  <c r="M86" i="108"/>
  <c r="I86" i="108"/>
  <c r="M85" i="108"/>
  <c r="I85" i="108"/>
  <c r="M84" i="108"/>
  <c r="I84" i="108"/>
  <c r="M83" i="108"/>
  <c r="I83" i="108"/>
  <c r="M82" i="108"/>
  <c r="I81" i="108"/>
  <c r="I80" i="108"/>
  <c r="I79" i="108"/>
  <c r="I78" i="108"/>
  <c r="M77" i="108"/>
  <c r="I77" i="108"/>
  <c r="M76" i="108"/>
  <c r="I76" i="108"/>
  <c r="M75" i="108"/>
  <c r="I75" i="108"/>
  <c r="M74" i="108"/>
  <c r="I74" i="108"/>
  <c r="D74" i="108"/>
  <c r="M73" i="108"/>
  <c r="I73" i="108"/>
  <c r="M72" i="108"/>
  <c r="I72" i="108"/>
  <c r="M71" i="108"/>
  <c r="I71" i="108"/>
  <c r="M70" i="108"/>
  <c r="I70" i="108"/>
  <c r="M69" i="108"/>
  <c r="I69" i="108"/>
  <c r="M68" i="108"/>
  <c r="I68" i="108"/>
  <c r="M67" i="108"/>
  <c r="I67" i="108"/>
  <c r="M66" i="108"/>
  <c r="I66" i="108"/>
  <c r="M65" i="108"/>
  <c r="I65" i="108"/>
  <c r="M64" i="108"/>
  <c r="I64" i="108"/>
  <c r="M63" i="108"/>
  <c r="I63" i="108"/>
  <c r="M62" i="108"/>
  <c r="I62" i="108"/>
  <c r="M61" i="108"/>
  <c r="I61" i="108"/>
  <c r="M60" i="108"/>
  <c r="I60" i="108"/>
  <c r="M59" i="108"/>
  <c r="I59" i="108"/>
  <c r="I1997" i="108" s="1"/>
  <c r="M58" i="108"/>
  <c r="I58" i="108"/>
  <c r="M57" i="108"/>
  <c r="I57" i="108"/>
  <c r="I1995" i="108" s="1"/>
  <c r="M56" i="108"/>
  <c r="I56" i="108"/>
  <c r="I1994" i="108" s="1"/>
  <c r="M55" i="108"/>
  <c r="I55" i="108"/>
  <c r="I1993" i="108" s="1"/>
  <c r="M54" i="108"/>
  <c r="I54" i="108"/>
  <c r="M53" i="108"/>
  <c r="I53" i="108"/>
  <c r="M52" i="108"/>
  <c r="I52" i="108"/>
  <c r="I1990" i="108" s="1"/>
  <c r="M51" i="108"/>
  <c r="I51" i="108"/>
  <c r="M50" i="108"/>
  <c r="I50" i="108"/>
  <c r="I1988" i="108" s="1"/>
  <c r="M49" i="108"/>
  <c r="I49" i="108"/>
  <c r="I1987" i="108" s="1"/>
  <c r="M48" i="108"/>
  <c r="I48" i="108"/>
  <c r="I1986" i="108" s="1"/>
  <c r="M47" i="108"/>
  <c r="I47" i="108"/>
  <c r="M46" i="108"/>
  <c r="I46" i="108"/>
  <c r="M45" i="108"/>
  <c r="I45" i="108"/>
  <c r="I1983" i="108" s="1"/>
  <c r="M44" i="108"/>
  <c r="I43" i="108"/>
  <c r="I42" i="108"/>
  <c r="I41" i="108"/>
  <c r="I40" i="108"/>
  <c r="M39" i="108"/>
  <c r="I39" i="108"/>
  <c r="M38" i="108"/>
  <c r="I38" i="108"/>
  <c r="M37" i="108"/>
  <c r="I37" i="108"/>
  <c r="M36" i="108"/>
  <c r="I36" i="108"/>
  <c r="D36" i="108"/>
  <c r="B36" i="108"/>
  <c r="B37" i="108" s="1"/>
  <c r="B38" i="108" s="1"/>
  <c r="B39" i="108" s="1"/>
  <c r="B40" i="108" s="1"/>
  <c r="B41" i="108" s="1"/>
  <c r="B42" i="108" s="1"/>
  <c r="B43" i="108" s="1"/>
  <c r="A36" i="108"/>
  <c r="A37" i="108" s="1"/>
  <c r="A38" i="108" s="1"/>
  <c r="A39" i="108" s="1"/>
  <c r="A40" i="108" s="1"/>
  <c r="A41" i="108" s="1"/>
  <c r="A42" i="108" s="1"/>
  <c r="A43" i="108" s="1"/>
  <c r="M35" i="108"/>
  <c r="I35" i="108"/>
  <c r="M34" i="108"/>
  <c r="I34" i="108"/>
  <c r="M33" i="108"/>
  <c r="I33" i="108"/>
  <c r="M32" i="108"/>
  <c r="I32" i="108"/>
  <c r="M31" i="108"/>
  <c r="I31" i="108"/>
  <c r="M30" i="108"/>
  <c r="I30" i="108"/>
  <c r="M29" i="108"/>
  <c r="I29" i="108"/>
  <c r="M28" i="108"/>
  <c r="I28" i="108"/>
  <c r="M27" i="108"/>
  <c r="I27" i="108"/>
  <c r="M26" i="108"/>
  <c r="I26" i="108"/>
  <c r="M25" i="108"/>
  <c r="I25" i="108"/>
  <c r="M24" i="108"/>
  <c r="I24" i="108"/>
  <c r="M23" i="108"/>
  <c r="I23" i="108"/>
  <c r="M22" i="108"/>
  <c r="I22" i="108"/>
  <c r="M21" i="108"/>
  <c r="I21" i="108"/>
  <c r="M20" i="108"/>
  <c r="I20" i="108"/>
  <c r="I1996" i="108" s="1"/>
  <c r="M19" i="108"/>
  <c r="I19" i="108"/>
  <c r="M18" i="108"/>
  <c r="I18" i="108"/>
  <c r="M17" i="108"/>
  <c r="I17" i="108"/>
  <c r="M16" i="108"/>
  <c r="I16" i="108"/>
  <c r="I1992" i="108" s="1"/>
  <c r="M15" i="108"/>
  <c r="I15" i="108"/>
  <c r="M14" i="108"/>
  <c r="I14" i="108"/>
  <c r="M13" i="108"/>
  <c r="I13" i="108"/>
  <c r="I1989" i="108" s="1"/>
  <c r="M12" i="108"/>
  <c r="I12" i="108"/>
  <c r="M11" i="108"/>
  <c r="I11" i="108"/>
  <c r="M10" i="108"/>
  <c r="I10" i="108"/>
  <c r="M9" i="108"/>
  <c r="I9" i="108"/>
  <c r="I1985" i="108" s="1"/>
  <c r="M8" i="108"/>
  <c r="I8" i="108"/>
  <c r="M7" i="108"/>
  <c r="I7" i="108"/>
  <c r="I2022" i="108" l="1"/>
  <c r="H50" i="104" l="1"/>
  <c r="H16" i="104"/>
  <c r="H13" i="104"/>
  <c r="D50" i="104"/>
  <c r="D16" i="104"/>
  <c r="D13" i="104"/>
  <c r="H50" i="103"/>
  <c r="D50" i="103"/>
  <c r="H16" i="103"/>
  <c r="I16" i="103" s="1"/>
  <c r="D16" i="103"/>
  <c r="H13" i="103"/>
  <c r="D13" i="103"/>
  <c r="AD81" i="101"/>
  <c r="AC81" i="101"/>
  <c r="AA81" i="101"/>
  <c r="Z81" i="101"/>
  <c r="X81" i="101"/>
  <c r="W81" i="101"/>
  <c r="U81" i="101"/>
  <c r="T81" i="101"/>
  <c r="N81" i="101"/>
  <c r="M81" i="101"/>
  <c r="L81" i="101"/>
  <c r="K81" i="101"/>
  <c r="J81" i="101"/>
  <c r="S58" i="107"/>
  <c r="R58" i="107"/>
  <c r="P58" i="107"/>
  <c r="O58" i="107"/>
  <c r="M58" i="107"/>
  <c r="L58" i="107"/>
  <c r="J58" i="107"/>
  <c r="I58" i="107"/>
  <c r="S57" i="107"/>
  <c r="R57" i="107"/>
  <c r="P57" i="107"/>
  <c r="O57" i="107"/>
  <c r="M57" i="107"/>
  <c r="L57" i="107"/>
  <c r="J57" i="107"/>
  <c r="I57" i="107"/>
  <c r="S56" i="107"/>
  <c r="R56" i="107"/>
  <c r="P56" i="107"/>
  <c r="O56" i="107"/>
  <c r="M56" i="107"/>
  <c r="L56" i="107"/>
  <c r="J56" i="107"/>
  <c r="I56" i="107"/>
  <c r="S55" i="107"/>
  <c r="R55" i="107"/>
  <c r="P55" i="107"/>
  <c r="O55" i="107"/>
  <c r="M55" i="107"/>
  <c r="L55" i="107"/>
  <c r="J55" i="107"/>
  <c r="I55" i="107"/>
  <c r="S54" i="107"/>
  <c r="R54" i="107"/>
  <c r="P54" i="107"/>
  <c r="O54" i="107"/>
  <c r="M54" i="107"/>
  <c r="L54" i="107"/>
  <c r="J54" i="107"/>
  <c r="I54" i="107"/>
  <c r="S53" i="107"/>
  <c r="R53" i="107"/>
  <c r="P53" i="107"/>
  <c r="O53" i="107"/>
  <c r="M53" i="107"/>
  <c r="L53" i="107"/>
  <c r="J53" i="107"/>
  <c r="I53" i="107"/>
  <c r="S52" i="107"/>
  <c r="R52" i="107"/>
  <c r="P52" i="107"/>
  <c r="O52" i="107"/>
  <c r="M52" i="107"/>
  <c r="L52" i="107"/>
  <c r="J52" i="107"/>
  <c r="I52" i="107"/>
  <c r="S51" i="107"/>
  <c r="R51" i="107"/>
  <c r="P51" i="107"/>
  <c r="O51" i="107"/>
  <c r="M51" i="107"/>
  <c r="L51" i="107"/>
  <c r="J51" i="107"/>
  <c r="I51" i="107"/>
  <c r="S50" i="107"/>
  <c r="R50" i="107"/>
  <c r="P50" i="107"/>
  <c r="O50" i="107"/>
  <c r="M50" i="107"/>
  <c r="L50" i="107"/>
  <c r="J50" i="107"/>
  <c r="I50" i="107"/>
  <c r="S49" i="107"/>
  <c r="R49" i="107"/>
  <c r="P49" i="107"/>
  <c r="O49" i="107"/>
  <c r="M49" i="107"/>
  <c r="L49" i="107"/>
  <c r="J49" i="107"/>
  <c r="I49" i="107"/>
  <c r="S48" i="107"/>
  <c r="R48" i="107"/>
  <c r="P48" i="107"/>
  <c r="O48" i="107"/>
  <c r="M48" i="107"/>
  <c r="L48" i="107"/>
  <c r="J48" i="107"/>
  <c r="I48" i="107"/>
  <c r="S47" i="107"/>
  <c r="R47" i="107"/>
  <c r="P47" i="107"/>
  <c r="O47" i="107"/>
  <c r="M47" i="107"/>
  <c r="L47" i="107"/>
  <c r="J47" i="107"/>
  <c r="I47" i="107"/>
  <c r="S46" i="107"/>
  <c r="R46" i="107"/>
  <c r="P46" i="107"/>
  <c r="O46" i="107"/>
  <c r="M46" i="107"/>
  <c r="L46" i="107"/>
  <c r="J46" i="107"/>
  <c r="I46" i="107"/>
  <c r="S45" i="107"/>
  <c r="R45" i="107"/>
  <c r="P45" i="107"/>
  <c r="O45" i="107"/>
  <c r="M45" i="107"/>
  <c r="L45" i="107"/>
  <c r="J45" i="107"/>
  <c r="I45" i="107"/>
  <c r="S44" i="107"/>
  <c r="R44" i="107"/>
  <c r="P44" i="107"/>
  <c r="O44" i="107"/>
  <c r="M44" i="107"/>
  <c r="L44" i="107"/>
  <c r="J44" i="107"/>
  <c r="I44" i="107"/>
  <c r="S43" i="107"/>
  <c r="R43" i="107"/>
  <c r="P43" i="107"/>
  <c r="O43" i="107"/>
  <c r="M43" i="107"/>
  <c r="L43" i="107"/>
  <c r="J43" i="107"/>
  <c r="I43" i="107"/>
  <c r="S42" i="107"/>
  <c r="R42" i="107"/>
  <c r="P42" i="107"/>
  <c r="O42" i="107"/>
  <c r="M42" i="107"/>
  <c r="L42" i="107"/>
  <c r="J42" i="107"/>
  <c r="I42" i="107"/>
  <c r="S41" i="107"/>
  <c r="R41" i="107"/>
  <c r="P41" i="107"/>
  <c r="O41" i="107"/>
  <c r="M41" i="107"/>
  <c r="L41" i="107"/>
  <c r="J41" i="107"/>
  <c r="I41" i="107"/>
  <c r="S40" i="107"/>
  <c r="R40" i="107"/>
  <c r="P40" i="107"/>
  <c r="O40" i="107"/>
  <c r="M40" i="107"/>
  <c r="L40" i="107"/>
  <c r="J40" i="107"/>
  <c r="I40" i="107"/>
  <c r="S39" i="107"/>
  <c r="R39" i="107"/>
  <c r="P39" i="107"/>
  <c r="O39" i="107"/>
  <c r="M39" i="107"/>
  <c r="L39" i="107"/>
  <c r="J39" i="107"/>
  <c r="I39" i="107"/>
  <c r="S38" i="107"/>
  <c r="R38" i="107"/>
  <c r="P38" i="107"/>
  <c r="O38" i="107"/>
  <c r="M38" i="107"/>
  <c r="L38" i="107"/>
  <c r="J38" i="107"/>
  <c r="I38" i="107"/>
  <c r="S37" i="107"/>
  <c r="R37" i="107"/>
  <c r="P37" i="107"/>
  <c r="O37" i="107"/>
  <c r="M37" i="107"/>
  <c r="L37" i="107"/>
  <c r="J37" i="107"/>
  <c r="I37" i="107"/>
  <c r="S36" i="107"/>
  <c r="R36" i="107"/>
  <c r="P36" i="107"/>
  <c r="O36" i="107"/>
  <c r="M36" i="107"/>
  <c r="L36" i="107"/>
  <c r="J36" i="107"/>
  <c r="I36" i="107"/>
  <c r="S35" i="107"/>
  <c r="R35" i="107"/>
  <c r="P35" i="107"/>
  <c r="O35" i="107"/>
  <c r="M35" i="107"/>
  <c r="L35" i="107"/>
  <c r="J35" i="107"/>
  <c r="I35" i="107"/>
  <c r="S34" i="107"/>
  <c r="R34" i="107"/>
  <c r="P34" i="107"/>
  <c r="O34" i="107"/>
  <c r="M34" i="107"/>
  <c r="L34" i="107"/>
  <c r="J34" i="107"/>
  <c r="I34" i="107"/>
  <c r="S33" i="107"/>
  <c r="R33" i="107"/>
  <c r="P33" i="107"/>
  <c r="O33" i="107"/>
  <c r="M33" i="107"/>
  <c r="L33" i="107"/>
  <c r="J33" i="107"/>
  <c r="I33" i="107"/>
  <c r="S32" i="107"/>
  <c r="R32" i="107"/>
  <c r="P32" i="107"/>
  <c r="O32" i="107"/>
  <c r="M32" i="107"/>
  <c r="L32" i="107"/>
  <c r="J32" i="107"/>
  <c r="I32" i="107"/>
  <c r="S31" i="107"/>
  <c r="R31" i="107"/>
  <c r="P31" i="107"/>
  <c r="O31" i="107"/>
  <c r="M31" i="107"/>
  <c r="L31" i="107"/>
  <c r="J31" i="107"/>
  <c r="I31" i="107"/>
  <c r="S30" i="107"/>
  <c r="R30" i="107"/>
  <c r="P30" i="107"/>
  <c r="O30" i="107"/>
  <c r="M30" i="107"/>
  <c r="L30" i="107"/>
  <c r="J30" i="107"/>
  <c r="I30" i="107"/>
  <c r="S29" i="107"/>
  <c r="R29" i="107"/>
  <c r="P29" i="107"/>
  <c r="O29" i="107"/>
  <c r="M29" i="107"/>
  <c r="L29" i="107"/>
  <c r="J29" i="107"/>
  <c r="I29" i="107"/>
  <c r="S28" i="107"/>
  <c r="R28" i="107"/>
  <c r="P28" i="107"/>
  <c r="O28" i="107"/>
  <c r="M28" i="107"/>
  <c r="L28" i="107"/>
  <c r="J28" i="107"/>
  <c r="I28" i="107"/>
  <c r="S27" i="107"/>
  <c r="R27" i="107"/>
  <c r="P27" i="107"/>
  <c r="O27" i="107"/>
  <c r="M27" i="107"/>
  <c r="L27" i="107"/>
  <c r="J27" i="107"/>
  <c r="I27" i="107"/>
  <c r="S26" i="107"/>
  <c r="R26" i="107"/>
  <c r="P26" i="107"/>
  <c r="O26" i="107"/>
  <c r="M26" i="107"/>
  <c r="L26" i="107"/>
  <c r="J26" i="107"/>
  <c r="I26" i="107"/>
  <c r="S25" i="107"/>
  <c r="R25" i="107"/>
  <c r="P25" i="107"/>
  <c r="O25" i="107"/>
  <c r="M25" i="107"/>
  <c r="L25" i="107"/>
  <c r="J25" i="107"/>
  <c r="I25" i="107"/>
  <c r="S24" i="107"/>
  <c r="R24" i="107"/>
  <c r="P24" i="107"/>
  <c r="O24" i="107"/>
  <c r="M24" i="107"/>
  <c r="L24" i="107"/>
  <c r="J24" i="107"/>
  <c r="I24" i="107"/>
  <c r="S23" i="107"/>
  <c r="R23" i="107"/>
  <c r="P23" i="107"/>
  <c r="O23" i="107"/>
  <c r="M23" i="107"/>
  <c r="L23" i="107"/>
  <c r="J23" i="107"/>
  <c r="I23" i="107"/>
  <c r="S22" i="107"/>
  <c r="R22" i="107"/>
  <c r="P22" i="107"/>
  <c r="O22" i="107"/>
  <c r="M22" i="107"/>
  <c r="L22" i="107"/>
  <c r="J22" i="107"/>
  <c r="I22" i="107"/>
  <c r="S21" i="107"/>
  <c r="R21" i="107"/>
  <c r="P21" i="107"/>
  <c r="O21" i="107"/>
  <c r="M21" i="107"/>
  <c r="L21" i="107"/>
  <c r="J21" i="107"/>
  <c r="I21" i="107"/>
  <c r="S20" i="107"/>
  <c r="R20" i="107"/>
  <c r="P20" i="107"/>
  <c r="O20" i="107"/>
  <c r="M20" i="107"/>
  <c r="L20" i="107"/>
  <c r="J20" i="107"/>
  <c r="I20" i="107"/>
  <c r="S19" i="107"/>
  <c r="R19" i="107"/>
  <c r="P19" i="107"/>
  <c r="O19" i="107"/>
  <c r="M19" i="107"/>
  <c r="L19" i="107"/>
  <c r="J19" i="107"/>
  <c r="I19" i="107"/>
  <c r="S18" i="107"/>
  <c r="R18" i="107"/>
  <c r="P18" i="107"/>
  <c r="O18" i="107"/>
  <c r="M18" i="107"/>
  <c r="L18" i="107"/>
  <c r="J18" i="107"/>
  <c r="I18" i="107"/>
  <c r="S17" i="107"/>
  <c r="R17" i="107"/>
  <c r="P17" i="107"/>
  <c r="O17" i="107"/>
  <c r="M17" i="107"/>
  <c r="L17" i="107"/>
  <c r="J17" i="107"/>
  <c r="I17" i="107"/>
  <c r="S16" i="107"/>
  <c r="R16" i="107"/>
  <c r="P16" i="107"/>
  <c r="O16" i="107"/>
  <c r="M16" i="107"/>
  <c r="L16" i="107"/>
  <c r="J16" i="107"/>
  <c r="I16" i="107"/>
  <c r="S15" i="107"/>
  <c r="R15" i="107"/>
  <c r="P15" i="107"/>
  <c r="O15" i="107"/>
  <c r="M15" i="107"/>
  <c r="L15" i="107"/>
  <c r="J15" i="107"/>
  <c r="I15" i="107"/>
  <c r="S14" i="107"/>
  <c r="R14" i="107"/>
  <c r="P14" i="107"/>
  <c r="O14" i="107"/>
  <c r="M14" i="107"/>
  <c r="L14" i="107"/>
  <c r="J14" i="107"/>
  <c r="I14" i="107"/>
  <c r="S13" i="107"/>
  <c r="R13" i="107"/>
  <c r="P13" i="107"/>
  <c r="O13" i="107"/>
  <c r="M13" i="107"/>
  <c r="L13" i="107"/>
  <c r="J13" i="107"/>
  <c r="I13" i="107"/>
  <c r="S12" i="107"/>
  <c r="R12" i="107"/>
  <c r="P12" i="107"/>
  <c r="O12" i="107"/>
  <c r="M12" i="107"/>
  <c r="L12" i="107"/>
  <c r="J12" i="107"/>
  <c r="I12" i="107"/>
  <c r="S11" i="107"/>
  <c r="R11" i="107"/>
  <c r="P11" i="107"/>
  <c r="O11" i="107"/>
  <c r="M11" i="107"/>
  <c r="L11" i="107"/>
  <c r="J11" i="107"/>
  <c r="I11" i="107"/>
  <c r="S10" i="107"/>
  <c r="R10" i="107"/>
  <c r="P10" i="107"/>
  <c r="O10" i="107"/>
  <c r="M10" i="107"/>
  <c r="L10" i="107"/>
  <c r="J10" i="107"/>
  <c r="I10" i="107"/>
  <c r="S9" i="107"/>
  <c r="R9" i="107"/>
  <c r="P9" i="107"/>
  <c r="O9" i="107"/>
  <c r="M9" i="107"/>
  <c r="L9" i="107"/>
  <c r="J9" i="107"/>
  <c r="I9" i="107"/>
  <c r="S8" i="107"/>
  <c r="R8" i="107"/>
  <c r="P8" i="107"/>
  <c r="O8" i="107"/>
  <c r="M8" i="107"/>
  <c r="L8" i="107"/>
  <c r="J8" i="107"/>
  <c r="I8" i="107"/>
  <c r="S7" i="107"/>
  <c r="R7" i="107"/>
  <c r="P7" i="107"/>
  <c r="O7" i="107"/>
  <c r="M7" i="107"/>
  <c r="L7" i="107"/>
  <c r="J7" i="107"/>
  <c r="I7" i="107"/>
  <c r="S6" i="107"/>
  <c r="R6" i="107"/>
  <c r="P6" i="107"/>
  <c r="O6" i="107"/>
  <c r="M6" i="107"/>
  <c r="L6" i="107"/>
  <c r="J6" i="107"/>
  <c r="I6" i="107"/>
  <c r="F58" i="106"/>
  <c r="E58" i="106"/>
  <c r="D58" i="106"/>
  <c r="C58" i="106"/>
  <c r="B58" i="106"/>
  <c r="G58" i="106" s="1"/>
  <c r="F57" i="106"/>
  <c r="E57" i="106"/>
  <c r="D57" i="106"/>
  <c r="C57" i="106"/>
  <c r="B57" i="106"/>
  <c r="G57" i="106" s="1"/>
  <c r="F56" i="106"/>
  <c r="E56" i="106"/>
  <c r="D56" i="106"/>
  <c r="C56" i="106"/>
  <c r="B56" i="106"/>
  <c r="G56" i="106" s="1"/>
  <c r="F55" i="106"/>
  <c r="E55" i="106"/>
  <c r="D55" i="106"/>
  <c r="C55" i="106"/>
  <c r="B55" i="106"/>
  <c r="G55" i="106" s="1"/>
  <c r="F54" i="106"/>
  <c r="E54" i="106"/>
  <c r="D54" i="106"/>
  <c r="C54" i="106"/>
  <c r="B54" i="106"/>
  <c r="G54" i="106" s="1"/>
  <c r="F53" i="106"/>
  <c r="E53" i="106"/>
  <c r="D53" i="106"/>
  <c r="C53" i="106"/>
  <c r="B53" i="106"/>
  <c r="G53" i="106" s="1"/>
  <c r="F52" i="106"/>
  <c r="E52" i="106"/>
  <c r="D52" i="106"/>
  <c r="C52" i="106"/>
  <c r="B52" i="106"/>
  <c r="G52" i="106" s="1"/>
  <c r="F51" i="106"/>
  <c r="E51" i="106"/>
  <c r="D51" i="106"/>
  <c r="C51" i="106"/>
  <c r="B51" i="106"/>
  <c r="G51" i="106" s="1"/>
  <c r="F50" i="106"/>
  <c r="E50" i="106"/>
  <c r="D50" i="106"/>
  <c r="C50" i="106"/>
  <c r="B50" i="106"/>
  <c r="G50" i="106" s="1"/>
  <c r="F49" i="106"/>
  <c r="E49" i="106"/>
  <c r="D49" i="106"/>
  <c r="C49" i="106"/>
  <c r="B49" i="106"/>
  <c r="G49" i="106" s="1"/>
  <c r="F48" i="106"/>
  <c r="E48" i="106"/>
  <c r="D48" i="106"/>
  <c r="C48" i="106"/>
  <c r="B48" i="106"/>
  <c r="G48" i="106" s="1"/>
  <c r="F47" i="106"/>
  <c r="E47" i="106"/>
  <c r="D47" i="106"/>
  <c r="C47" i="106"/>
  <c r="B47" i="106"/>
  <c r="G47" i="106" s="1"/>
  <c r="F46" i="106"/>
  <c r="E46" i="106"/>
  <c r="D46" i="106"/>
  <c r="C46" i="106"/>
  <c r="B46" i="106"/>
  <c r="G46" i="106" s="1"/>
  <c r="F45" i="106"/>
  <c r="E45" i="106"/>
  <c r="D45" i="106"/>
  <c r="C45" i="106"/>
  <c r="B45" i="106"/>
  <c r="G45" i="106" s="1"/>
  <c r="F44" i="106"/>
  <c r="E44" i="106"/>
  <c r="D44" i="106"/>
  <c r="C44" i="106"/>
  <c r="B44" i="106"/>
  <c r="G44" i="106" s="1"/>
  <c r="F43" i="106"/>
  <c r="E43" i="106"/>
  <c r="D43" i="106"/>
  <c r="C43" i="106"/>
  <c r="B43" i="106"/>
  <c r="G43" i="106" s="1"/>
  <c r="F42" i="106"/>
  <c r="E42" i="106"/>
  <c r="D42" i="106"/>
  <c r="C42" i="106"/>
  <c r="B42" i="106"/>
  <c r="G42" i="106" s="1"/>
  <c r="F41" i="106"/>
  <c r="E41" i="106"/>
  <c r="D41" i="106"/>
  <c r="C41" i="106"/>
  <c r="B41" i="106"/>
  <c r="G41" i="106" s="1"/>
  <c r="F40" i="106"/>
  <c r="E40" i="106"/>
  <c r="D40" i="106"/>
  <c r="C40" i="106"/>
  <c r="B40" i="106"/>
  <c r="G40" i="106" s="1"/>
  <c r="F39" i="106"/>
  <c r="E39" i="106"/>
  <c r="D39" i="106"/>
  <c r="C39" i="106"/>
  <c r="B39" i="106"/>
  <c r="G39" i="106" s="1"/>
  <c r="F38" i="106"/>
  <c r="E38" i="106"/>
  <c r="D38" i="106"/>
  <c r="C38" i="106"/>
  <c r="B38" i="106"/>
  <c r="G38" i="106" s="1"/>
  <c r="F37" i="106"/>
  <c r="E37" i="106"/>
  <c r="D37" i="106"/>
  <c r="C37" i="106"/>
  <c r="B37" i="106"/>
  <c r="G37" i="106" s="1"/>
  <c r="F36" i="106"/>
  <c r="E36" i="106"/>
  <c r="D36" i="106"/>
  <c r="C36" i="106"/>
  <c r="B36" i="106"/>
  <c r="G36" i="106" s="1"/>
  <c r="F35" i="106"/>
  <c r="E35" i="106"/>
  <c r="D35" i="106"/>
  <c r="C35" i="106"/>
  <c r="B35" i="106"/>
  <c r="G35" i="106" s="1"/>
  <c r="F34" i="106"/>
  <c r="E34" i="106"/>
  <c r="D34" i="106"/>
  <c r="C34" i="106"/>
  <c r="B34" i="106"/>
  <c r="G34" i="106" s="1"/>
  <c r="F33" i="106"/>
  <c r="E33" i="106"/>
  <c r="D33" i="106"/>
  <c r="C33" i="106"/>
  <c r="B33" i="106"/>
  <c r="G33" i="106" s="1"/>
  <c r="F32" i="106"/>
  <c r="E32" i="106"/>
  <c r="D32" i="106"/>
  <c r="C32" i="106"/>
  <c r="B32" i="106"/>
  <c r="G32" i="106" s="1"/>
  <c r="F31" i="106"/>
  <c r="E31" i="106"/>
  <c r="D31" i="106"/>
  <c r="C31" i="106"/>
  <c r="B31" i="106"/>
  <c r="G31" i="106" s="1"/>
  <c r="F30" i="106"/>
  <c r="E30" i="106"/>
  <c r="D30" i="106"/>
  <c r="C30" i="106"/>
  <c r="B30" i="106"/>
  <c r="G30" i="106" s="1"/>
  <c r="F29" i="106"/>
  <c r="E29" i="106"/>
  <c r="D29" i="106"/>
  <c r="C29" i="106"/>
  <c r="B29" i="106"/>
  <c r="G29" i="106" s="1"/>
  <c r="F28" i="106"/>
  <c r="E28" i="106"/>
  <c r="D28" i="106"/>
  <c r="C28" i="106"/>
  <c r="B28" i="106"/>
  <c r="G28" i="106" s="1"/>
  <c r="F27" i="106"/>
  <c r="E27" i="106"/>
  <c r="D27" i="106"/>
  <c r="C27" i="106"/>
  <c r="B27" i="106"/>
  <c r="G27" i="106" s="1"/>
  <c r="F26" i="106"/>
  <c r="E26" i="106"/>
  <c r="D26" i="106"/>
  <c r="C26" i="106"/>
  <c r="B26" i="106"/>
  <c r="G26" i="106" s="1"/>
  <c r="F25" i="106"/>
  <c r="E25" i="106"/>
  <c r="D25" i="106"/>
  <c r="C25" i="106"/>
  <c r="B25" i="106"/>
  <c r="G25" i="106" s="1"/>
  <c r="F24" i="106"/>
  <c r="E24" i="106"/>
  <c r="D24" i="106"/>
  <c r="C24" i="106"/>
  <c r="B24" i="106"/>
  <c r="G24" i="106" s="1"/>
  <c r="F23" i="106"/>
  <c r="E23" i="106"/>
  <c r="D23" i="106"/>
  <c r="C23" i="106"/>
  <c r="B23" i="106"/>
  <c r="G23" i="106" s="1"/>
  <c r="F22" i="106"/>
  <c r="E22" i="106"/>
  <c r="D22" i="106"/>
  <c r="C22" i="106"/>
  <c r="B22" i="106"/>
  <c r="G22" i="106" s="1"/>
  <c r="F21" i="106"/>
  <c r="E21" i="106"/>
  <c r="D21" i="106"/>
  <c r="C21" i="106"/>
  <c r="B21" i="106"/>
  <c r="G21" i="106" s="1"/>
  <c r="F20" i="106"/>
  <c r="E20" i="106"/>
  <c r="D20" i="106"/>
  <c r="C20" i="106"/>
  <c r="B20" i="106"/>
  <c r="G20" i="106" s="1"/>
  <c r="F19" i="106"/>
  <c r="E19" i="106"/>
  <c r="D19" i="106"/>
  <c r="C19" i="106"/>
  <c r="B19" i="106"/>
  <c r="G19" i="106" s="1"/>
  <c r="F18" i="106"/>
  <c r="E18" i="106"/>
  <c r="D18" i="106"/>
  <c r="C18" i="106"/>
  <c r="B18" i="106"/>
  <c r="G18" i="106" s="1"/>
  <c r="F17" i="106"/>
  <c r="E17" i="106"/>
  <c r="D17" i="106"/>
  <c r="C17" i="106"/>
  <c r="B17" i="106"/>
  <c r="G17" i="106" s="1"/>
  <c r="F16" i="106"/>
  <c r="E16" i="106"/>
  <c r="D16" i="106"/>
  <c r="C16" i="106"/>
  <c r="B16" i="106"/>
  <c r="G16" i="106" s="1"/>
  <c r="F15" i="106"/>
  <c r="E15" i="106"/>
  <c r="D15" i="106"/>
  <c r="C15" i="106"/>
  <c r="B15" i="106"/>
  <c r="G15" i="106" s="1"/>
  <c r="F14" i="106"/>
  <c r="E14" i="106"/>
  <c r="D14" i="106"/>
  <c r="C14" i="106"/>
  <c r="B14" i="106"/>
  <c r="G14" i="106" s="1"/>
  <c r="F13" i="106"/>
  <c r="E13" i="106"/>
  <c r="D13" i="106"/>
  <c r="C13" i="106"/>
  <c r="B13" i="106"/>
  <c r="G13" i="106" s="1"/>
  <c r="F12" i="106"/>
  <c r="E12" i="106"/>
  <c r="D12" i="106"/>
  <c r="C12" i="106"/>
  <c r="B12" i="106"/>
  <c r="G12" i="106" s="1"/>
  <c r="F11" i="106"/>
  <c r="E11" i="106"/>
  <c r="D11" i="106"/>
  <c r="C11" i="106"/>
  <c r="B11" i="106"/>
  <c r="G11" i="106" s="1"/>
  <c r="F10" i="106"/>
  <c r="E10" i="106"/>
  <c r="D10" i="106"/>
  <c r="C10" i="106"/>
  <c r="B10" i="106"/>
  <c r="G10" i="106" s="1"/>
  <c r="F9" i="106"/>
  <c r="E9" i="106"/>
  <c r="D9" i="106"/>
  <c r="C9" i="106"/>
  <c r="B9" i="106"/>
  <c r="G9" i="106" s="1"/>
  <c r="F8" i="106"/>
  <c r="E8" i="106"/>
  <c r="D8" i="106"/>
  <c r="C8" i="106"/>
  <c r="B8" i="106"/>
  <c r="G8" i="106" s="1"/>
  <c r="F7" i="106"/>
  <c r="E7" i="106"/>
  <c r="D7" i="106"/>
  <c r="C7" i="106"/>
  <c r="B7" i="106"/>
  <c r="G7" i="106" s="1"/>
  <c r="F6" i="106"/>
  <c r="F61" i="106" s="1"/>
  <c r="E6" i="106"/>
  <c r="E61" i="106" s="1"/>
  <c r="D6" i="106"/>
  <c r="D61" i="106" s="1"/>
  <c r="C6" i="106"/>
  <c r="C61" i="106" s="1"/>
  <c r="B6" i="106"/>
  <c r="F58" i="105"/>
  <c r="E58" i="105"/>
  <c r="D58" i="105"/>
  <c r="C58" i="105"/>
  <c r="B58" i="105"/>
  <c r="G58" i="105" s="1"/>
  <c r="F57" i="105"/>
  <c r="E57" i="105"/>
  <c r="D57" i="105"/>
  <c r="C57" i="105"/>
  <c r="B57" i="105"/>
  <c r="G57" i="105" s="1"/>
  <c r="F56" i="105"/>
  <c r="E56" i="105"/>
  <c r="D56" i="105"/>
  <c r="C56" i="105"/>
  <c r="B56" i="105"/>
  <c r="G56" i="105" s="1"/>
  <c r="F55" i="105"/>
  <c r="E55" i="105"/>
  <c r="D55" i="105"/>
  <c r="C55" i="105"/>
  <c r="B55" i="105"/>
  <c r="G55" i="105" s="1"/>
  <c r="F54" i="105"/>
  <c r="E54" i="105"/>
  <c r="D54" i="105"/>
  <c r="C54" i="105"/>
  <c r="B54" i="105"/>
  <c r="G54" i="105" s="1"/>
  <c r="F53" i="105"/>
  <c r="E53" i="105"/>
  <c r="D53" i="105"/>
  <c r="C53" i="105"/>
  <c r="B53" i="105"/>
  <c r="G53" i="105" s="1"/>
  <c r="F52" i="105"/>
  <c r="E52" i="105"/>
  <c r="D52" i="105"/>
  <c r="C52" i="105"/>
  <c r="B52" i="105"/>
  <c r="G52" i="105" s="1"/>
  <c r="F51" i="105"/>
  <c r="E51" i="105"/>
  <c r="D51" i="105"/>
  <c r="C51" i="105"/>
  <c r="B51" i="105"/>
  <c r="G51" i="105" s="1"/>
  <c r="F50" i="105"/>
  <c r="E50" i="105"/>
  <c r="D50" i="105"/>
  <c r="C50" i="105"/>
  <c r="B50" i="105"/>
  <c r="G50" i="105" s="1"/>
  <c r="F49" i="105"/>
  <c r="E49" i="105"/>
  <c r="D49" i="105"/>
  <c r="C49" i="105"/>
  <c r="B49" i="105"/>
  <c r="G49" i="105" s="1"/>
  <c r="F48" i="105"/>
  <c r="E48" i="105"/>
  <c r="D48" i="105"/>
  <c r="C48" i="105"/>
  <c r="B48" i="105"/>
  <c r="G48" i="105" s="1"/>
  <c r="F47" i="105"/>
  <c r="E47" i="105"/>
  <c r="D47" i="105"/>
  <c r="C47" i="105"/>
  <c r="B47" i="105"/>
  <c r="G47" i="105" s="1"/>
  <c r="F46" i="105"/>
  <c r="E46" i="105"/>
  <c r="D46" i="105"/>
  <c r="C46" i="105"/>
  <c r="B46" i="105"/>
  <c r="G46" i="105" s="1"/>
  <c r="F45" i="105"/>
  <c r="E45" i="105"/>
  <c r="D45" i="105"/>
  <c r="C45" i="105"/>
  <c r="B45" i="105"/>
  <c r="G45" i="105" s="1"/>
  <c r="F44" i="105"/>
  <c r="E44" i="105"/>
  <c r="D44" i="105"/>
  <c r="C44" i="105"/>
  <c r="B44" i="105"/>
  <c r="G44" i="105" s="1"/>
  <c r="F43" i="105"/>
  <c r="E43" i="105"/>
  <c r="D43" i="105"/>
  <c r="C43" i="105"/>
  <c r="B43" i="105"/>
  <c r="G43" i="105" s="1"/>
  <c r="F42" i="105"/>
  <c r="E42" i="105"/>
  <c r="D42" i="105"/>
  <c r="C42" i="105"/>
  <c r="B42" i="105"/>
  <c r="G42" i="105" s="1"/>
  <c r="F41" i="105"/>
  <c r="E41" i="105"/>
  <c r="D41" i="105"/>
  <c r="C41" i="105"/>
  <c r="B41" i="105"/>
  <c r="G41" i="105" s="1"/>
  <c r="F40" i="105"/>
  <c r="E40" i="105"/>
  <c r="D40" i="105"/>
  <c r="C40" i="105"/>
  <c r="B40" i="105"/>
  <c r="G40" i="105" s="1"/>
  <c r="F39" i="105"/>
  <c r="E39" i="105"/>
  <c r="D39" i="105"/>
  <c r="C39" i="105"/>
  <c r="B39" i="105"/>
  <c r="G39" i="105" s="1"/>
  <c r="F38" i="105"/>
  <c r="E38" i="105"/>
  <c r="D38" i="105"/>
  <c r="C38" i="105"/>
  <c r="B38" i="105"/>
  <c r="G38" i="105" s="1"/>
  <c r="F37" i="105"/>
  <c r="E37" i="105"/>
  <c r="D37" i="105"/>
  <c r="C37" i="105"/>
  <c r="B37" i="105"/>
  <c r="G37" i="105" s="1"/>
  <c r="F36" i="105"/>
  <c r="E36" i="105"/>
  <c r="D36" i="105"/>
  <c r="C36" i="105"/>
  <c r="B36" i="105"/>
  <c r="G36" i="105" s="1"/>
  <c r="F35" i="105"/>
  <c r="E35" i="105"/>
  <c r="D35" i="105"/>
  <c r="C35" i="105"/>
  <c r="B35" i="105"/>
  <c r="G35" i="105" s="1"/>
  <c r="F34" i="105"/>
  <c r="E34" i="105"/>
  <c r="D34" i="105"/>
  <c r="C34" i="105"/>
  <c r="B34" i="105"/>
  <c r="G34" i="105" s="1"/>
  <c r="F33" i="105"/>
  <c r="E33" i="105"/>
  <c r="D33" i="105"/>
  <c r="C33" i="105"/>
  <c r="B33" i="105"/>
  <c r="G33" i="105" s="1"/>
  <c r="F32" i="105"/>
  <c r="E32" i="105"/>
  <c r="D32" i="105"/>
  <c r="C32" i="105"/>
  <c r="B32" i="105"/>
  <c r="G32" i="105" s="1"/>
  <c r="F31" i="105"/>
  <c r="E31" i="105"/>
  <c r="D31" i="105"/>
  <c r="C31" i="105"/>
  <c r="B31" i="105"/>
  <c r="G31" i="105" s="1"/>
  <c r="F30" i="105"/>
  <c r="E30" i="105"/>
  <c r="D30" i="105"/>
  <c r="C30" i="105"/>
  <c r="B30" i="105"/>
  <c r="G30" i="105" s="1"/>
  <c r="F29" i="105"/>
  <c r="E29" i="105"/>
  <c r="D29" i="105"/>
  <c r="C29" i="105"/>
  <c r="B29" i="105"/>
  <c r="G29" i="105" s="1"/>
  <c r="F28" i="105"/>
  <c r="E28" i="105"/>
  <c r="D28" i="105"/>
  <c r="C28" i="105"/>
  <c r="B28" i="105"/>
  <c r="G28" i="105" s="1"/>
  <c r="F27" i="105"/>
  <c r="E27" i="105"/>
  <c r="D27" i="105"/>
  <c r="C27" i="105"/>
  <c r="B27" i="105"/>
  <c r="G27" i="105" s="1"/>
  <c r="F26" i="105"/>
  <c r="E26" i="105"/>
  <c r="D26" i="105"/>
  <c r="C26" i="105"/>
  <c r="B26" i="105"/>
  <c r="G26" i="105" s="1"/>
  <c r="F25" i="105"/>
  <c r="E25" i="105"/>
  <c r="D25" i="105"/>
  <c r="C25" i="105"/>
  <c r="B25" i="105"/>
  <c r="G25" i="105" s="1"/>
  <c r="F24" i="105"/>
  <c r="E24" i="105"/>
  <c r="D24" i="105"/>
  <c r="C24" i="105"/>
  <c r="B24" i="105"/>
  <c r="G24" i="105" s="1"/>
  <c r="F23" i="105"/>
  <c r="E23" i="105"/>
  <c r="D23" i="105"/>
  <c r="C23" i="105"/>
  <c r="B23" i="105"/>
  <c r="G23" i="105" s="1"/>
  <c r="F22" i="105"/>
  <c r="E22" i="105"/>
  <c r="D22" i="105"/>
  <c r="C22" i="105"/>
  <c r="B22" i="105"/>
  <c r="G22" i="105" s="1"/>
  <c r="F21" i="105"/>
  <c r="E21" i="105"/>
  <c r="D21" i="105"/>
  <c r="C21" i="105"/>
  <c r="B21" i="105"/>
  <c r="G21" i="105" s="1"/>
  <c r="F20" i="105"/>
  <c r="E20" i="105"/>
  <c r="D20" i="105"/>
  <c r="C20" i="105"/>
  <c r="B20" i="105"/>
  <c r="G20" i="105" s="1"/>
  <c r="F19" i="105"/>
  <c r="E19" i="105"/>
  <c r="D19" i="105"/>
  <c r="C19" i="105"/>
  <c r="B19" i="105"/>
  <c r="G19" i="105" s="1"/>
  <c r="F18" i="105"/>
  <c r="E18" i="105"/>
  <c r="D18" i="105"/>
  <c r="C18" i="105"/>
  <c r="B18" i="105"/>
  <c r="G18" i="105" s="1"/>
  <c r="F17" i="105"/>
  <c r="E17" i="105"/>
  <c r="D17" i="105"/>
  <c r="C17" i="105"/>
  <c r="B17" i="105"/>
  <c r="G17" i="105" s="1"/>
  <c r="F16" i="105"/>
  <c r="E16" i="105"/>
  <c r="D16" i="105"/>
  <c r="C16" i="105"/>
  <c r="B16" i="105"/>
  <c r="G16" i="105" s="1"/>
  <c r="F15" i="105"/>
  <c r="E15" i="105"/>
  <c r="D15" i="105"/>
  <c r="C15" i="105"/>
  <c r="B15" i="105"/>
  <c r="G15" i="105" s="1"/>
  <c r="F14" i="105"/>
  <c r="E14" i="105"/>
  <c r="D14" i="105"/>
  <c r="C14" i="105"/>
  <c r="B14" i="105"/>
  <c r="G14" i="105" s="1"/>
  <c r="F13" i="105"/>
  <c r="E13" i="105"/>
  <c r="D13" i="105"/>
  <c r="C13" i="105"/>
  <c r="B13" i="105"/>
  <c r="G13" i="105" s="1"/>
  <c r="F12" i="105"/>
  <c r="E12" i="105"/>
  <c r="D12" i="105"/>
  <c r="C12" i="105"/>
  <c r="B12" i="105"/>
  <c r="G12" i="105" s="1"/>
  <c r="F11" i="105"/>
  <c r="E11" i="105"/>
  <c r="D11" i="105"/>
  <c r="C11" i="105"/>
  <c r="B11" i="105"/>
  <c r="G11" i="105" s="1"/>
  <c r="F10" i="105"/>
  <c r="E10" i="105"/>
  <c r="D10" i="105"/>
  <c r="C10" i="105"/>
  <c r="B10" i="105"/>
  <c r="G10" i="105" s="1"/>
  <c r="F9" i="105"/>
  <c r="E9" i="105"/>
  <c r="D9" i="105"/>
  <c r="C9" i="105"/>
  <c r="B9" i="105"/>
  <c r="G9" i="105" s="1"/>
  <c r="F8" i="105"/>
  <c r="E8" i="105"/>
  <c r="D8" i="105"/>
  <c r="C8" i="105"/>
  <c r="B8" i="105"/>
  <c r="G8" i="105" s="1"/>
  <c r="F7" i="105"/>
  <c r="E7" i="105"/>
  <c r="D7" i="105"/>
  <c r="C7" i="105"/>
  <c r="B7" i="105"/>
  <c r="G7" i="105" s="1"/>
  <c r="F6" i="105"/>
  <c r="F61" i="105" s="1"/>
  <c r="E6" i="105"/>
  <c r="E61" i="105" s="1"/>
  <c r="D6" i="105"/>
  <c r="D61" i="105" s="1"/>
  <c r="C6" i="105"/>
  <c r="C61" i="105" s="1"/>
  <c r="B6" i="105"/>
  <c r="F58" i="104"/>
  <c r="E58" i="104"/>
  <c r="D58" i="104"/>
  <c r="C58" i="104"/>
  <c r="B58" i="104"/>
  <c r="G58" i="104" s="1"/>
  <c r="F57" i="104"/>
  <c r="E57" i="104"/>
  <c r="D57" i="104"/>
  <c r="C57" i="104"/>
  <c r="B57" i="104"/>
  <c r="G57" i="104" s="1"/>
  <c r="F56" i="104"/>
  <c r="E56" i="104"/>
  <c r="D56" i="104"/>
  <c r="C56" i="104"/>
  <c r="B56" i="104"/>
  <c r="G56" i="104" s="1"/>
  <c r="F55" i="104"/>
  <c r="E55" i="104"/>
  <c r="D55" i="104"/>
  <c r="C55" i="104"/>
  <c r="B55" i="104"/>
  <c r="G55" i="104" s="1"/>
  <c r="F54" i="104"/>
  <c r="E54" i="104"/>
  <c r="D54" i="104"/>
  <c r="C54" i="104"/>
  <c r="B54" i="104"/>
  <c r="G54" i="104" s="1"/>
  <c r="F53" i="104"/>
  <c r="E53" i="104"/>
  <c r="D53" i="104"/>
  <c r="C53" i="104"/>
  <c r="B53" i="104"/>
  <c r="G53" i="104" s="1"/>
  <c r="F52" i="104"/>
  <c r="E52" i="104"/>
  <c r="D52" i="104"/>
  <c r="C52" i="104"/>
  <c r="B52" i="104"/>
  <c r="G52" i="104" s="1"/>
  <c r="F51" i="104"/>
  <c r="E51" i="104"/>
  <c r="D51" i="104"/>
  <c r="C51" i="104"/>
  <c r="B51" i="104"/>
  <c r="G51" i="104" s="1"/>
  <c r="F50" i="104"/>
  <c r="E50" i="104"/>
  <c r="C50" i="104"/>
  <c r="B50" i="104"/>
  <c r="G50" i="104" s="1"/>
  <c r="F49" i="104"/>
  <c r="E49" i="104"/>
  <c r="D49" i="104"/>
  <c r="C49" i="104"/>
  <c r="B49" i="104"/>
  <c r="G49" i="104" s="1"/>
  <c r="F48" i="104"/>
  <c r="E48" i="104"/>
  <c r="D48" i="104"/>
  <c r="C48" i="104"/>
  <c r="B48" i="104"/>
  <c r="G48" i="104" s="1"/>
  <c r="F47" i="104"/>
  <c r="E47" i="104"/>
  <c r="D47" i="104"/>
  <c r="C47" i="104"/>
  <c r="B47" i="104"/>
  <c r="G47" i="104" s="1"/>
  <c r="F46" i="104"/>
  <c r="E46" i="104"/>
  <c r="D46" i="104"/>
  <c r="C46" i="104"/>
  <c r="B46" i="104"/>
  <c r="G46" i="104" s="1"/>
  <c r="F45" i="104"/>
  <c r="E45" i="104"/>
  <c r="D45" i="104"/>
  <c r="C45" i="104"/>
  <c r="B45" i="104"/>
  <c r="G45" i="104" s="1"/>
  <c r="F44" i="104"/>
  <c r="E44" i="104"/>
  <c r="D44" i="104"/>
  <c r="C44" i="104"/>
  <c r="B44" i="104"/>
  <c r="G44" i="104" s="1"/>
  <c r="F43" i="104"/>
  <c r="E43" i="104"/>
  <c r="D43" i="104"/>
  <c r="C43" i="104"/>
  <c r="B43" i="104"/>
  <c r="G43" i="104" s="1"/>
  <c r="F42" i="104"/>
  <c r="E42" i="104"/>
  <c r="D42" i="104"/>
  <c r="C42" i="104"/>
  <c r="B42" i="104"/>
  <c r="G42" i="104" s="1"/>
  <c r="F41" i="104"/>
  <c r="E41" i="104"/>
  <c r="D41" i="104"/>
  <c r="C41" i="104"/>
  <c r="B41" i="104"/>
  <c r="G41" i="104" s="1"/>
  <c r="F40" i="104"/>
  <c r="E40" i="104"/>
  <c r="D40" i="104"/>
  <c r="C40" i="104"/>
  <c r="B40" i="104"/>
  <c r="G40" i="104" s="1"/>
  <c r="F39" i="104"/>
  <c r="E39" i="104"/>
  <c r="D39" i="104"/>
  <c r="C39" i="104"/>
  <c r="B39" i="104"/>
  <c r="G39" i="104" s="1"/>
  <c r="F38" i="104"/>
  <c r="E38" i="104"/>
  <c r="D38" i="104"/>
  <c r="C38" i="104"/>
  <c r="B38" i="104"/>
  <c r="G38" i="104" s="1"/>
  <c r="F37" i="104"/>
  <c r="E37" i="104"/>
  <c r="D37" i="104"/>
  <c r="C37" i="104"/>
  <c r="B37" i="104"/>
  <c r="G37" i="104" s="1"/>
  <c r="F36" i="104"/>
  <c r="E36" i="104"/>
  <c r="D36" i="104"/>
  <c r="C36" i="104"/>
  <c r="B36" i="104"/>
  <c r="G36" i="104" s="1"/>
  <c r="F35" i="104"/>
  <c r="E35" i="104"/>
  <c r="D35" i="104"/>
  <c r="C35" i="104"/>
  <c r="B35" i="104"/>
  <c r="G35" i="104" s="1"/>
  <c r="F34" i="104"/>
  <c r="E34" i="104"/>
  <c r="D34" i="104"/>
  <c r="C34" i="104"/>
  <c r="B34" i="104"/>
  <c r="G34" i="104" s="1"/>
  <c r="F33" i="104"/>
  <c r="E33" i="104"/>
  <c r="D33" i="104"/>
  <c r="C33" i="104"/>
  <c r="B33" i="104"/>
  <c r="G33" i="104" s="1"/>
  <c r="F32" i="104"/>
  <c r="E32" i="104"/>
  <c r="D32" i="104"/>
  <c r="C32" i="104"/>
  <c r="B32" i="104"/>
  <c r="G32" i="104" s="1"/>
  <c r="F31" i="104"/>
  <c r="E31" i="104"/>
  <c r="D31" i="104"/>
  <c r="C31" i="104"/>
  <c r="B31" i="104"/>
  <c r="G31" i="104" s="1"/>
  <c r="F30" i="104"/>
  <c r="E30" i="104"/>
  <c r="D30" i="104"/>
  <c r="C30" i="104"/>
  <c r="B30" i="104"/>
  <c r="G30" i="104" s="1"/>
  <c r="F29" i="104"/>
  <c r="E29" i="104"/>
  <c r="D29" i="104"/>
  <c r="C29" i="104"/>
  <c r="B29" i="104"/>
  <c r="G29" i="104" s="1"/>
  <c r="F28" i="104"/>
  <c r="E28" i="104"/>
  <c r="D28" i="104"/>
  <c r="C28" i="104"/>
  <c r="B28" i="104"/>
  <c r="G28" i="104" s="1"/>
  <c r="F27" i="104"/>
  <c r="E27" i="104"/>
  <c r="D27" i="104"/>
  <c r="C27" i="104"/>
  <c r="B27" i="104"/>
  <c r="G27" i="104" s="1"/>
  <c r="F26" i="104"/>
  <c r="E26" i="104"/>
  <c r="D26" i="104"/>
  <c r="C26" i="104"/>
  <c r="B26" i="104"/>
  <c r="G26" i="104" s="1"/>
  <c r="F25" i="104"/>
  <c r="E25" i="104"/>
  <c r="D25" i="104"/>
  <c r="C25" i="104"/>
  <c r="B25" i="104"/>
  <c r="G25" i="104" s="1"/>
  <c r="F24" i="104"/>
  <c r="E24" i="104"/>
  <c r="D24" i="104"/>
  <c r="C24" i="104"/>
  <c r="B24" i="104"/>
  <c r="G24" i="104" s="1"/>
  <c r="F23" i="104"/>
  <c r="E23" i="104"/>
  <c r="D23" i="104"/>
  <c r="C23" i="104"/>
  <c r="B23" i="104"/>
  <c r="G23" i="104" s="1"/>
  <c r="F22" i="104"/>
  <c r="E22" i="104"/>
  <c r="D22" i="104"/>
  <c r="C22" i="104"/>
  <c r="B22" i="104"/>
  <c r="G22" i="104" s="1"/>
  <c r="F21" i="104"/>
  <c r="E21" i="104"/>
  <c r="D21" i="104"/>
  <c r="C21" i="104"/>
  <c r="B21" i="104"/>
  <c r="G21" i="104" s="1"/>
  <c r="F20" i="104"/>
  <c r="E20" i="104"/>
  <c r="D20" i="104"/>
  <c r="C20" i="104"/>
  <c r="B20" i="104"/>
  <c r="G20" i="104" s="1"/>
  <c r="F19" i="104"/>
  <c r="E19" i="104"/>
  <c r="D19" i="104"/>
  <c r="C19" i="104"/>
  <c r="B19" i="104"/>
  <c r="G19" i="104" s="1"/>
  <c r="F18" i="104"/>
  <c r="E18" i="104"/>
  <c r="D18" i="104"/>
  <c r="C18" i="104"/>
  <c r="B18" i="104"/>
  <c r="G18" i="104" s="1"/>
  <c r="F17" i="104"/>
  <c r="E17" i="104"/>
  <c r="D17" i="104"/>
  <c r="C17" i="104"/>
  <c r="B17" i="104"/>
  <c r="G17" i="104" s="1"/>
  <c r="F16" i="104"/>
  <c r="E16" i="104"/>
  <c r="C16" i="104"/>
  <c r="B16" i="104"/>
  <c r="G16" i="104" s="1"/>
  <c r="F15" i="104"/>
  <c r="E15" i="104"/>
  <c r="D15" i="104"/>
  <c r="C15" i="104"/>
  <c r="B15" i="104"/>
  <c r="G15" i="104" s="1"/>
  <c r="F14" i="104"/>
  <c r="E14" i="104"/>
  <c r="D14" i="104"/>
  <c r="C14" i="104"/>
  <c r="B14" i="104"/>
  <c r="G14" i="104" s="1"/>
  <c r="F13" i="104"/>
  <c r="E13" i="104"/>
  <c r="C13" i="104"/>
  <c r="B13" i="104"/>
  <c r="G13" i="104" s="1"/>
  <c r="F12" i="104"/>
  <c r="E12" i="104"/>
  <c r="D12" i="104"/>
  <c r="C12" i="104"/>
  <c r="B12" i="104"/>
  <c r="G12" i="104" s="1"/>
  <c r="F11" i="104"/>
  <c r="E11" i="104"/>
  <c r="D11" i="104"/>
  <c r="C11" i="104"/>
  <c r="B11" i="104"/>
  <c r="G11" i="104" s="1"/>
  <c r="F10" i="104"/>
  <c r="E10" i="104"/>
  <c r="D10" i="104"/>
  <c r="C10" i="104"/>
  <c r="B10" i="104"/>
  <c r="G10" i="104" s="1"/>
  <c r="F9" i="104"/>
  <c r="E9" i="104"/>
  <c r="D9" i="104"/>
  <c r="C9" i="104"/>
  <c r="B9" i="104"/>
  <c r="G9" i="104" s="1"/>
  <c r="F8" i="104"/>
  <c r="E8" i="104"/>
  <c r="D8" i="104"/>
  <c r="C8" i="104"/>
  <c r="B8" i="104"/>
  <c r="G8" i="104" s="1"/>
  <c r="F7" i="104"/>
  <c r="E7" i="104"/>
  <c r="D7" i="104"/>
  <c r="C7" i="104"/>
  <c r="B7" i="104"/>
  <c r="G7" i="104" s="1"/>
  <c r="F6" i="104"/>
  <c r="F61" i="104" s="1"/>
  <c r="E6" i="104"/>
  <c r="E61" i="104" s="1"/>
  <c r="D6" i="104"/>
  <c r="D61" i="104" s="1"/>
  <c r="C6" i="104"/>
  <c r="C61" i="104" s="1"/>
  <c r="B6" i="104"/>
  <c r="F58" i="103"/>
  <c r="E58" i="103"/>
  <c r="D58" i="103"/>
  <c r="C58" i="103"/>
  <c r="B58" i="103"/>
  <c r="G58" i="103" s="1"/>
  <c r="F57" i="103"/>
  <c r="E57" i="103"/>
  <c r="D57" i="103"/>
  <c r="C57" i="103"/>
  <c r="B57" i="103"/>
  <c r="G57" i="103" s="1"/>
  <c r="F56" i="103"/>
  <c r="E56" i="103"/>
  <c r="D56" i="103"/>
  <c r="C56" i="103"/>
  <c r="B56" i="103"/>
  <c r="G56" i="103" s="1"/>
  <c r="F55" i="103"/>
  <c r="E55" i="103"/>
  <c r="D55" i="103"/>
  <c r="C55" i="103"/>
  <c r="B55" i="103"/>
  <c r="G55" i="103" s="1"/>
  <c r="F54" i="103"/>
  <c r="E54" i="103"/>
  <c r="D54" i="103"/>
  <c r="C54" i="103"/>
  <c r="B54" i="103"/>
  <c r="G54" i="103" s="1"/>
  <c r="F53" i="103"/>
  <c r="E53" i="103"/>
  <c r="D53" i="103"/>
  <c r="C53" i="103"/>
  <c r="B53" i="103"/>
  <c r="G53" i="103" s="1"/>
  <c r="F52" i="103"/>
  <c r="E52" i="103"/>
  <c r="D52" i="103"/>
  <c r="C52" i="103"/>
  <c r="B52" i="103"/>
  <c r="G52" i="103" s="1"/>
  <c r="F51" i="103"/>
  <c r="E51" i="103"/>
  <c r="D51" i="103"/>
  <c r="C51" i="103"/>
  <c r="B51" i="103"/>
  <c r="G51" i="103" s="1"/>
  <c r="F50" i="103"/>
  <c r="E50" i="103"/>
  <c r="C50" i="103"/>
  <c r="B50" i="103"/>
  <c r="F49" i="103"/>
  <c r="E49" i="103"/>
  <c r="D49" i="103"/>
  <c r="C49" i="103"/>
  <c r="B49" i="103"/>
  <c r="G49" i="103" s="1"/>
  <c r="F48" i="103"/>
  <c r="E48" i="103"/>
  <c r="D48" i="103"/>
  <c r="C48" i="103"/>
  <c r="B48" i="103"/>
  <c r="G48" i="103" s="1"/>
  <c r="F47" i="103"/>
  <c r="E47" i="103"/>
  <c r="D47" i="103"/>
  <c r="C47" i="103"/>
  <c r="B47" i="103"/>
  <c r="G47" i="103" s="1"/>
  <c r="F46" i="103"/>
  <c r="E46" i="103"/>
  <c r="D46" i="103"/>
  <c r="C46" i="103"/>
  <c r="B46" i="103"/>
  <c r="G46" i="103" s="1"/>
  <c r="F45" i="103"/>
  <c r="E45" i="103"/>
  <c r="D45" i="103"/>
  <c r="C45" i="103"/>
  <c r="B45" i="103"/>
  <c r="G45" i="103" s="1"/>
  <c r="F44" i="103"/>
  <c r="E44" i="103"/>
  <c r="D44" i="103"/>
  <c r="C44" i="103"/>
  <c r="B44" i="103"/>
  <c r="G44" i="103" s="1"/>
  <c r="F43" i="103"/>
  <c r="E43" i="103"/>
  <c r="D43" i="103"/>
  <c r="C43" i="103"/>
  <c r="B43" i="103"/>
  <c r="G43" i="103" s="1"/>
  <c r="F42" i="103"/>
  <c r="E42" i="103"/>
  <c r="D42" i="103"/>
  <c r="C42" i="103"/>
  <c r="B42" i="103"/>
  <c r="G42" i="103" s="1"/>
  <c r="F41" i="103"/>
  <c r="E41" i="103"/>
  <c r="D41" i="103"/>
  <c r="C41" i="103"/>
  <c r="B41" i="103"/>
  <c r="G41" i="103" s="1"/>
  <c r="F40" i="103"/>
  <c r="E40" i="103"/>
  <c r="D40" i="103"/>
  <c r="C40" i="103"/>
  <c r="B40" i="103"/>
  <c r="G40" i="103" s="1"/>
  <c r="F39" i="103"/>
  <c r="E39" i="103"/>
  <c r="D39" i="103"/>
  <c r="C39" i="103"/>
  <c r="B39" i="103"/>
  <c r="G39" i="103" s="1"/>
  <c r="F38" i="103"/>
  <c r="E38" i="103"/>
  <c r="D38" i="103"/>
  <c r="C38" i="103"/>
  <c r="B38" i="103"/>
  <c r="G38" i="103" s="1"/>
  <c r="F37" i="103"/>
  <c r="E37" i="103"/>
  <c r="D37" i="103"/>
  <c r="C37" i="103"/>
  <c r="B37" i="103"/>
  <c r="G37" i="103" s="1"/>
  <c r="F36" i="103"/>
  <c r="E36" i="103"/>
  <c r="D36" i="103"/>
  <c r="C36" i="103"/>
  <c r="B36" i="103"/>
  <c r="G36" i="103" s="1"/>
  <c r="F35" i="103"/>
  <c r="E35" i="103"/>
  <c r="D35" i="103"/>
  <c r="C35" i="103"/>
  <c r="B35" i="103"/>
  <c r="G35" i="103" s="1"/>
  <c r="F34" i="103"/>
  <c r="E34" i="103"/>
  <c r="D34" i="103"/>
  <c r="C34" i="103"/>
  <c r="B34" i="103"/>
  <c r="G34" i="103" s="1"/>
  <c r="F33" i="103"/>
  <c r="E33" i="103"/>
  <c r="D33" i="103"/>
  <c r="C33" i="103"/>
  <c r="B33" i="103"/>
  <c r="G33" i="103" s="1"/>
  <c r="F32" i="103"/>
  <c r="E32" i="103"/>
  <c r="D32" i="103"/>
  <c r="C32" i="103"/>
  <c r="B32" i="103"/>
  <c r="G32" i="103" s="1"/>
  <c r="F31" i="103"/>
  <c r="E31" i="103"/>
  <c r="D31" i="103"/>
  <c r="C31" i="103"/>
  <c r="B31" i="103"/>
  <c r="G31" i="103" s="1"/>
  <c r="F30" i="103"/>
  <c r="E30" i="103"/>
  <c r="D30" i="103"/>
  <c r="C30" i="103"/>
  <c r="B30" i="103"/>
  <c r="G30" i="103" s="1"/>
  <c r="F29" i="103"/>
  <c r="E29" i="103"/>
  <c r="D29" i="103"/>
  <c r="C29" i="103"/>
  <c r="B29" i="103"/>
  <c r="G29" i="103" s="1"/>
  <c r="F28" i="103"/>
  <c r="E28" i="103"/>
  <c r="D28" i="103"/>
  <c r="C28" i="103"/>
  <c r="B28" i="103"/>
  <c r="G28" i="103" s="1"/>
  <c r="F27" i="103"/>
  <c r="E27" i="103"/>
  <c r="D27" i="103"/>
  <c r="C27" i="103"/>
  <c r="B27" i="103"/>
  <c r="G27" i="103" s="1"/>
  <c r="F26" i="103"/>
  <c r="E26" i="103"/>
  <c r="D26" i="103"/>
  <c r="C26" i="103"/>
  <c r="B26" i="103"/>
  <c r="G26" i="103" s="1"/>
  <c r="F25" i="103"/>
  <c r="E25" i="103"/>
  <c r="D25" i="103"/>
  <c r="C25" i="103"/>
  <c r="B25" i="103"/>
  <c r="G25" i="103" s="1"/>
  <c r="F24" i="103"/>
  <c r="E24" i="103"/>
  <c r="D24" i="103"/>
  <c r="C24" i="103"/>
  <c r="B24" i="103"/>
  <c r="G24" i="103" s="1"/>
  <c r="F23" i="103"/>
  <c r="E23" i="103"/>
  <c r="D23" i="103"/>
  <c r="C23" i="103"/>
  <c r="B23" i="103"/>
  <c r="G23" i="103" s="1"/>
  <c r="F22" i="103"/>
  <c r="E22" i="103"/>
  <c r="D22" i="103"/>
  <c r="C22" i="103"/>
  <c r="B22" i="103"/>
  <c r="G22" i="103" s="1"/>
  <c r="F21" i="103"/>
  <c r="E21" i="103"/>
  <c r="D21" i="103"/>
  <c r="C21" i="103"/>
  <c r="B21" i="103"/>
  <c r="G21" i="103" s="1"/>
  <c r="F20" i="103"/>
  <c r="E20" i="103"/>
  <c r="D20" i="103"/>
  <c r="C20" i="103"/>
  <c r="B20" i="103"/>
  <c r="G20" i="103" s="1"/>
  <c r="F19" i="103"/>
  <c r="E19" i="103"/>
  <c r="D19" i="103"/>
  <c r="C19" i="103"/>
  <c r="B19" i="103"/>
  <c r="G19" i="103" s="1"/>
  <c r="F18" i="103"/>
  <c r="E18" i="103"/>
  <c r="D18" i="103"/>
  <c r="C18" i="103"/>
  <c r="B18" i="103"/>
  <c r="G18" i="103" s="1"/>
  <c r="F17" i="103"/>
  <c r="E17" i="103"/>
  <c r="D17" i="103"/>
  <c r="C17" i="103"/>
  <c r="B17" i="103"/>
  <c r="G17" i="103" s="1"/>
  <c r="F16" i="103"/>
  <c r="E16" i="103"/>
  <c r="C16" i="103"/>
  <c r="B16" i="103"/>
  <c r="G16" i="103" s="1"/>
  <c r="F15" i="103"/>
  <c r="E15" i="103"/>
  <c r="D15" i="103"/>
  <c r="C15" i="103"/>
  <c r="B15" i="103"/>
  <c r="G15" i="103" s="1"/>
  <c r="F14" i="103"/>
  <c r="E14" i="103"/>
  <c r="D14" i="103"/>
  <c r="C14" i="103"/>
  <c r="B14" i="103"/>
  <c r="G14" i="103" s="1"/>
  <c r="F13" i="103"/>
  <c r="E13" i="103"/>
  <c r="C13" i="103"/>
  <c r="B13" i="103"/>
  <c r="F12" i="103"/>
  <c r="E12" i="103"/>
  <c r="D12" i="103"/>
  <c r="C12" i="103"/>
  <c r="B12" i="103"/>
  <c r="G12" i="103" s="1"/>
  <c r="F11" i="103"/>
  <c r="E11" i="103"/>
  <c r="D11" i="103"/>
  <c r="C11" i="103"/>
  <c r="B11" i="103"/>
  <c r="G11" i="103" s="1"/>
  <c r="F10" i="103"/>
  <c r="E10" i="103"/>
  <c r="D10" i="103"/>
  <c r="C10" i="103"/>
  <c r="B10" i="103"/>
  <c r="G10" i="103" s="1"/>
  <c r="F9" i="103"/>
  <c r="E9" i="103"/>
  <c r="D9" i="103"/>
  <c r="C9" i="103"/>
  <c r="B9" i="103"/>
  <c r="G9" i="103" s="1"/>
  <c r="F8" i="103"/>
  <c r="E8" i="103"/>
  <c r="D8" i="103"/>
  <c r="C8" i="103"/>
  <c r="B8" i="103"/>
  <c r="G8" i="103" s="1"/>
  <c r="F7" i="103"/>
  <c r="E7" i="103"/>
  <c r="D7" i="103"/>
  <c r="C7" i="103"/>
  <c r="B7" i="103"/>
  <c r="G7" i="103" s="1"/>
  <c r="F6" i="103"/>
  <c r="F61" i="103" s="1"/>
  <c r="E6" i="103"/>
  <c r="E61" i="103" s="1"/>
  <c r="D6" i="103"/>
  <c r="D61" i="103" s="1"/>
  <c r="C6" i="103"/>
  <c r="C61" i="103" s="1"/>
  <c r="B6" i="103"/>
  <c r="F58" i="102"/>
  <c r="F58" i="107" s="1"/>
  <c r="E58" i="102"/>
  <c r="E58" i="107" s="1"/>
  <c r="D58" i="102"/>
  <c r="D58" i="107" s="1"/>
  <c r="C58" i="102"/>
  <c r="C58" i="107" s="1"/>
  <c r="B58" i="102"/>
  <c r="F57" i="102"/>
  <c r="F57" i="107" s="1"/>
  <c r="E57" i="102"/>
  <c r="E57" i="107" s="1"/>
  <c r="D57" i="102"/>
  <c r="D57" i="107" s="1"/>
  <c r="C57" i="102"/>
  <c r="C57" i="107" s="1"/>
  <c r="B57" i="102"/>
  <c r="F56" i="102"/>
  <c r="F56" i="107" s="1"/>
  <c r="E56" i="102"/>
  <c r="E56" i="107" s="1"/>
  <c r="D56" i="102"/>
  <c r="D56" i="107" s="1"/>
  <c r="C56" i="102"/>
  <c r="C56" i="107" s="1"/>
  <c r="B56" i="102"/>
  <c r="F55" i="102"/>
  <c r="F55" i="107" s="1"/>
  <c r="E55" i="102"/>
  <c r="E55" i="107" s="1"/>
  <c r="D55" i="102"/>
  <c r="D55" i="107" s="1"/>
  <c r="C55" i="102"/>
  <c r="C55" i="107" s="1"/>
  <c r="B55" i="102"/>
  <c r="F54" i="102"/>
  <c r="F54" i="107" s="1"/>
  <c r="E54" i="102"/>
  <c r="E54" i="107" s="1"/>
  <c r="D54" i="102"/>
  <c r="D54" i="107" s="1"/>
  <c r="C54" i="102"/>
  <c r="C54" i="107" s="1"/>
  <c r="B54" i="102"/>
  <c r="F53" i="102"/>
  <c r="F53" i="107" s="1"/>
  <c r="E53" i="102"/>
  <c r="E53" i="107" s="1"/>
  <c r="D53" i="102"/>
  <c r="D53" i="107" s="1"/>
  <c r="C53" i="102"/>
  <c r="C53" i="107" s="1"/>
  <c r="B53" i="102"/>
  <c r="F52" i="102"/>
  <c r="F52" i="107" s="1"/>
  <c r="E52" i="102"/>
  <c r="E52" i="107" s="1"/>
  <c r="D52" i="102"/>
  <c r="D52" i="107" s="1"/>
  <c r="C52" i="102"/>
  <c r="C52" i="107" s="1"/>
  <c r="B52" i="102"/>
  <c r="F51" i="102"/>
  <c r="F51" i="107" s="1"/>
  <c r="E51" i="102"/>
  <c r="E51" i="107" s="1"/>
  <c r="D51" i="102"/>
  <c r="D51" i="107" s="1"/>
  <c r="C51" i="102"/>
  <c r="C51" i="107" s="1"/>
  <c r="B51" i="102"/>
  <c r="F50" i="102"/>
  <c r="F50" i="107" s="1"/>
  <c r="E50" i="102"/>
  <c r="E50" i="107" s="1"/>
  <c r="D50" i="102"/>
  <c r="D50" i="107" s="1"/>
  <c r="C50" i="102"/>
  <c r="C50" i="107" s="1"/>
  <c r="B50" i="102"/>
  <c r="F49" i="102"/>
  <c r="F49" i="107" s="1"/>
  <c r="E49" i="102"/>
  <c r="E49" i="107" s="1"/>
  <c r="D49" i="102"/>
  <c r="D49" i="107" s="1"/>
  <c r="C49" i="102"/>
  <c r="C49" i="107" s="1"/>
  <c r="B49" i="102"/>
  <c r="F48" i="102"/>
  <c r="F48" i="107" s="1"/>
  <c r="E48" i="102"/>
  <c r="E48" i="107" s="1"/>
  <c r="D48" i="102"/>
  <c r="D48" i="107" s="1"/>
  <c r="C48" i="102"/>
  <c r="C48" i="107" s="1"/>
  <c r="B48" i="102"/>
  <c r="F47" i="102"/>
  <c r="F47" i="107" s="1"/>
  <c r="E47" i="102"/>
  <c r="E47" i="107" s="1"/>
  <c r="D47" i="102"/>
  <c r="D47" i="107" s="1"/>
  <c r="C47" i="102"/>
  <c r="C47" i="107" s="1"/>
  <c r="B47" i="102"/>
  <c r="F46" i="102"/>
  <c r="F46" i="107" s="1"/>
  <c r="E46" i="102"/>
  <c r="E46" i="107" s="1"/>
  <c r="D46" i="102"/>
  <c r="D46" i="107" s="1"/>
  <c r="C46" i="102"/>
  <c r="C46" i="107" s="1"/>
  <c r="B46" i="102"/>
  <c r="F45" i="102"/>
  <c r="F45" i="107" s="1"/>
  <c r="E45" i="102"/>
  <c r="E45" i="107" s="1"/>
  <c r="D45" i="102"/>
  <c r="D45" i="107" s="1"/>
  <c r="C45" i="102"/>
  <c r="C45" i="107" s="1"/>
  <c r="B45" i="102"/>
  <c r="F44" i="102"/>
  <c r="F44" i="107" s="1"/>
  <c r="E44" i="102"/>
  <c r="E44" i="107" s="1"/>
  <c r="D44" i="102"/>
  <c r="D44" i="107" s="1"/>
  <c r="C44" i="102"/>
  <c r="C44" i="107" s="1"/>
  <c r="B44" i="102"/>
  <c r="F43" i="102"/>
  <c r="F43" i="107" s="1"/>
  <c r="E43" i="102"/>
  <c r="E43" i="107" s="1"/>
  <c r="D43" i="102"/>
  <c r="D43" i="107" s="1"/>
  <c r="C43" i="102"/>
  <c r="C43" i="107" s="1"/>
  <c r="B43" i="102"/>
  <c r="F42" i="102"/>
  <c r="F42" i="107" s="1"/>
  <c r="E42" i="102"/>
  <c r="E42" i="107" s="1"/>
  <c r="D42" i="102"/>
  <c r="D42" i="107" s="1"/>
  <c r="C42" i="102"/>
  <c r="C42" i="107" s="1"/>
  <c r="B42" i="102"/>
  <c r="F41" i="102"/>
  <c r="F41" i="107" s="1"/>
  <c r="E41" i="102"/>
  <c r="E41" i="107" s="1"/>
  <c r="D41" i="102"/>
  <c r="D41" i="107" s="1"/>
  <c r="C41" i="102"/>
  <c r="C41" i="107" s="1"/>
  <c r="B41" i="102"/>
  <c r="F40" i="102"/>
  <c r="F40" i="107" s="1"/>
  <c r="E40" i="102"/>
  <c r="E40" i="107" s="1"/>
  <c r="D40" i="102"/>
  <c r="D40" i="107" s="1"/>
  <c r="C40" i="102"/>
  <c r="C40" i="107" s="1"/>
  <c r="B40" i="102"/>
  <c r="F39" i="102"/>
  <c r="F39" i="107" s="1"/>
  <c r="E39" i="102"/>
  <c r="E39" i="107" s="1"/>
  <c r="D39" i="102"/>
  <c r="D39" i="107" s="1"/>
  <c r="C39" i="102"/>
  <c r="C39" i="107" s="1"/>
  <c r="B39" i="102"/>
  <c r="F38" i="102"/>
  <c r="F38" i="107" s="1"/>
  <c r="E38" i="102"/>
  <c r="E38" i="107" s="1"/>
  <c r="D38" i="102"/>
  <c r="D38" i="107" s="1"/>
  <c r="C38" i="102"/>
  <c r="C38" i="107" s="1"/>
  <c r="B38" i="102"/>
  <c r="F37" i="102"/>
  <c r="F37" i="107" s="1"/>
  <c r="E37" i="102"/>
  <c r="E37" i="107" s="1"/>
  <c r="D37" i="102"/>
  <c r="D37" i="107" s="1"/>
  <c r="C37" i="102"/>
  <c r="C37" i="107" s="1"/>
  <c r="B37" i="102"/>
  <c r="F36" i="102"/>
  <c r="F36" i="107" s="1"/>
  <c r="E36" i="102"/>
  <c r="E36" i="107" s="1"/>
  <c r="D36" i="102"/>
  <c r="D36" i="107" s="1"/>
  <c r="C36" i="102"/>
  <c r="C36" i="107" s="1"/>
  <c r="B36" i="102"/>
  <c r="F35" i="102"/>
  <c r="F35" i="107" s="1"/>
  <c r="E35" i="102"/>
  <c r="E35" i="107" s="1"/>
  <c r="D35" i="102"/>
  <c r="D35" i="107" s="1"/>
  <c r="C35" i="102"/>
  <c r="C35" i="107" s="1"/>
  <c r="B35" i="102"/>
  <c r="F34" i="102"/>
  <c r="F34" i="107" s="1"/>
  <c r="E34" i="102"/>
  <c r="E34" i="107" s="1"/>
  <c r="D34" i="102"/>
  <c r="D34" i="107" s="1"/>
  <c r="C34" i="102"/>
  <c r="C34" i="107" s="1"/>
  <c r="B34" i="102"/>
  <c r="F33" i="102"/>
  <c r="F33" i="107" s="1"/>
  <c r="E33" i="102"/>
  <c r="E33" i="107" s="1"/>
  <c r="D33" i="102"/>
  <c r="D33" i="107" s="1"/>
  <c r="C33" i="102"/>
  <c r="C33" i="107" s="1"/>
  <c r="B33" i="102"/>
  <c r="F32" i="102"/>
  <c r="F32" i="107" s="1"/>
  <c r="E32" i="102"/>
  <c r="E32" i="107" s="1"/>
  <c r="D32" i="102"/>
  <c r="D32" i="107" s="1"/>
  <c r="C32" i="102"/>
  <c r="C32" i="107" s="1"/>
  <c r="B32" i="102"/>
  <c r="F31" i="102"/>
  <c r="F31" i="107" s="1"/>
  <c r="E31" i="102"/>
  <c r="E31" i="107" s="1"/>
  <c r="D31" i="102"/>
  <c r="D31" i="107" s="1"/>
  <c r="C31" i="102"/>
  <c r="C31" i="107" s="1"/>
  <c r="B31" i="102"/>
  <c r="F30" i="102"/>
  <c r="F30" i="107" s="1"/>
  <c r="E30" i="102"/>
  <c r="E30" i="107" s="1"/>
  <c r="D30" i="102"/>
  <c r="D30" i="107" s="1"/>
  <c r="C30" i="102"/>
  <c r="C30" i="107" s="1"/>
  <c r="B30" i="102"/>
  <c r="F29" i="102"/>
  <c r="F29" i="107" s="1"/>
  <c r="E29" i="102"/>
  <c r="E29" i="107" s="1"/>
  <c r="D29" i="102"/>
  <c r="D29" i="107" s="1"/>
  <c r="C29" i="102"/>
  <c r="C29" i="107" s="1"/>
  <c r="B29" i="102"/>
  <c r="F28" i="102"/>
  <c r="F28" i="107" s="1"/>
  <c r="E28" i="102"/>
  <c r="E28" i="107" s="1"/>
  <c r="D28" i="102"/>
  <c r="D28" i="107" s="1"/>
  <c r="C28" i="102"/>
  <c r="C28" i="107" s="1"/>
  <c r="B28" i="102"/>
  <c r="F27" i="102"/>
  <c r="F27" i="107" s="1"/>
  <c r="E27" i="102"/>
  <c r="E27" i="107" s="1"/>
  <c r="D27" i="102"/>
  <c r="D27" i="107" s="1"/>
  <c r="C27" i="102"/>
  <c r="C27" i="107" s="1"/>
  <c r="B27" i="102"/>
  <c r="F26" i="102"/>
  <c r="F26" i="107" s="1"/>
  <c r="E26" i="102"/>
  <c r="E26" i="107" s="1"/>
  <c r="D26" i="102"/>
  <c r="D26" i="107" s="1"/>
  <c r="C26" i="102"/>
  <c r="C26" i="107" s="1"/>
  <c r="B26" i="102"/>
  <c r="F25" i="102"/>
  <c r="F25" i="107" s="1"/>
  <c r="E25" i="102"/>
  <c r="E25" i="107" s="1"/>
  <c r="D25" i="102"/>
  <c r="D25" i="107" s="1"/>
  <c r="C25" i="102"/>
  <c r="C25" i="107" s="1"/>
  <c r="B25" i="102"/>
  <c r="F24" i="102"/>
  <c r="F24" i="107" s="1"/>
  <c r="E24" i="102"/>
  <c r="E24" i="107" s="1"/>
  <c r="D24" i="102"/>
  <c r="D24" i="107" s="1"/>
  <c r="C24" i="102"/>
  <c r="C24" i="107" s="1"/>
  <c r="B24" i="102"/>
  <c r="F23" i="102"/>
  <c r="F23" i="107" s="1"/>
  <c r="E23" i="102"/>
  <c r="E23" i="107" s="1"/>
  <c r="D23" i="102"/>
  <c r="D23" i="107" s="1"/>
  <c r="C23" i="102"/>
  <c r="C23" i="107" s="1"/>
  <c r="B23" i="102"/>
  <c r="F22" i="102"/>
  <c r="F22" i="107" s="1"/>
  <c r="E22" i="102"/>
  <c r="E22" i="107" s="1"/>
  <c r="D22" i="102"/>
  <c r="D22" i="107" s="1"/>
  <c r="C22" i="102"/>
  <c r="C22" i="107" s="1"/>
  <c r="B22" i="102"/>
  <c r="F21" i="102"/>
  <c r="F21" i="107" s="1"/>
  <c r="E21" i="102"/>
  <c r="E21" i="107" s="1"/>
  <c r="D21" i="102"/>
  <c r="D21" i="107" s="1"/>
  <c r="C21" i="102"/>
  <c r="C21" i="107" s="1"/>
  <c r="B21" i="102"/>
  <c r="F20" i="102"/>
  <c r="F20" i="107" s="1"/>
  <c r="E20" i="102"/>
  <c r="E20" i="107" s="1"/>
  <c r="D20" i="102"/>
  <c r="D20" i="107" s="1"/>
  <c r="C20" i="102"/>
  <c r="C20" i="107" s="1"/>
  <c r="B20" i="102"/>
  <c r="F19" i="102"/>
  <c r="F19" i="107" s="1"/>
  <c r="E19" i="102"/>
  <c r="E19" i="107" s="1"/>
  <c r="D19" i="102"/>
  <c r="D19" i="107" s="1"/>
  <c r="C19" i="102"/>
  <c r="C19" i="107" s="1"/>
  <c r="B19" i="102"/>
  <c r="F18" i="102"/>
  <c r="F18" i="107" s="1"/>
  <c r="E18" i="102"/>
  <c r="E18" i="107" s="1"/>
  <c r="D18" i="102"/>
  <c r="D18" i="107" s="1"/>
  <c r="C18" i="102"/>
  <c r="C18" i="107" s="1"/>
  <c r="B18" i="102"/>
  <c r="F17" i="102"/>
  <c r="F17" i="107" s="1"/>
  <c r="E17" i="102"/>
  <c r="E17" i="107" s="1"/>
  <c r="D17" i="102"/>
  <c r="D17" i="107" s="1"/>
  <c r="C17" i="102"/>
  <c r="C17" i="107" s="1"/>
  <c r="B17" i="102"/>
  <c r="F16" i="102"/>
  <c r="F16" i="107" s="1"/>
  <c r="E16" i="102"/>
  <c r="E16" i="107" s="1"/>
  <c r="D16" i="102"/>
  <c r="D16" i="107" s="1"/>
  <c r="C16" i="102"/>
  <c r="C16" i="107" s="1"/>
  <c r="B16" i="102"/>
  <c r="F15" i="102"/>
  <c r="F15" i="107" s="1"/>
  <c r="E15" i="102"/>
  <c r="E15" i="107" s="1"/>
  <c r="D15" i="102"/>
  <c r="D15" i="107" s="1"/>
  <c r="C15" i="102"/>
  <c r="C15" i="107" s="1"/>
  <c r="B15" i="102"/>
  <c r="F14" i="102"/>
  <c r="F14" i="107" s="1"/>
  <c r="E14" i="102"/>
  <c r="E14" i="107" s="1"/>
  <c r="D14" i="102"/>
  <c r="D14" i="107" s="1"/>
  <c r="C14" i="102"/>
  <c r="C14" i="107" s="1"/>
  <c r="B14" i="102"/>
  <c r="F13" i="102"/>
  <c r="F13" i="107" s="1"/>
  <c r="E13" i="102"/>
  <c r="E13" i="107" s="1"/>
  <c r="D13" i="102"/>
  <c r="C13" i="102"/>
  <c r="C13" i="107" s="1"/>
  <c r="B13" i="102"/>
  <c r="F12" i="102"/>
  <c r="F12" i="107" s="1"/>
  <c r="E12" i="102"/>
  <c r="E12" i="107" s="1"/>
  <c r="D12" i="102"/>
  <c r="D12" i="107" s="1"/>
  <c r="C12" i="102"/>
  <c r="C12" i="107" s="1"/>
  <c r="B12" i="102"/>
  <c r="F11" i="102"/>
  <c r="F11" i="107" s="1"/>
  <c r="E11" i="102"/>
  <c r="E11" i="107" s="1"/>
  <c r="D11" i="102"/>
  <c r="D11" i="107" s="1"/>
  <c r="C11" i="102"/>
  <c r="C11" i="107" s="1"/>
  <c r="B11" i="102"/>
  <c r="F10" i="102"/>
  <c r="F10" i="107" s="1"/>
  <c r="E10" i="102"/>
  <c r="E10" i="107" s="1"/>
  <c r="D10" i="102"/>
  <c r="D10" i="107" s="1"/>
  <c r="C10" i="102"/>
  <c r="C10" i="107" s="1"/>
  <c r="B10" i="102"/>
  <c r="F9" i="102"/>
  <c r="F9" i="107" s="1"/>
  <c r="E9" i="102"/>
  <c r="E9" i="107" s="1"/>
  <c r="D9" i="102"/>
  <c r="D9" i="107" s="1"/>
  <c r="C9" i="102"/>
  <c r="C9" i="107" s="1"/>
  <c r="B9" i="102"/>
  <c r="F8" i="102"/>
  <c r="F8" i="107" s="1"/>
  <c r="E8" i="102"/>
  <c r="E8" i="107" s="1"/>
  <c r="D8" i="102"/>
  <c r="D8" i="107" s="1"/>
  <c r="C8" i="102"/>
  <c r="C8" i="107" s="1"/>
  <c r="B8" i="102"/>
  <c r="F7" i="102"/>
  <c r="F7" i="107" s="1"/>
  <c r="E7" i="102"/>
  <c r="E7" i="107" s="1"/>
  <c r="D7" i="102"/>
  <c r="D7" i="107" s="1"/>
  <c r="C7" i="102"/>
  <c r="C7" i="107" s="1"/>
  <c r="B7" i="102"/>
  <c r="F6" i="102"/>
  <c r="E6" i="102"/>
  <c r="D6" i="102"/>
  <c r="C6" i="102"/>
  <c r="B6" i="102"/>
  <c r="P131" i="101"/>
  <c r="P129" i="101"/>
  <c r="AD127" i="101"/>
  <c r="AC127" i="101"/>
  <c r="AA127" i="101"/>
  <c r="Z127" i="101"/>
  <c r="X127" i="101"/>
  <c r="W127" i="101"/>
  <c r="U127" i="101"/>
  <c r="T127" i="101"/>
  <c r="N127" i="101"/>
  <c r="M127" i="101"/>
  <c r="L127" i="101"/>
  <c r="K127" i="101"/>
  <c r="J127" i="101"/>
  <c r="AD126" i="101"/>
  <c r="AC126" i="101"/>
  <c r="AA126" i="101"/>
  <c r="Z126" i="101"/>
  <c r="X126" i="101"/>
  <c r="W126" i="101"/>
  <c r="U126" i="101"/>
  <c r="T126" i="101"/>
  <c r="N126" i="101"/>
  <c r="M126" i="101"/>
  <c r="L126" i="101"/>
  <c r="K126" i="101"/>
  <c r="J126" i="101"/>
  <c r="AD125" i="101"/>
  <c r="AC125" i="101"/>
  <c r="AA125" i="101"/>
  <c r="Z125" i="101"/>
  <c r="X125" i="101"/>
  <c r="W125" i="101"/>
  <c r="U125" i="101"/>
  <c r="T125" i="101"/>
  <c r="N125" i="101"/>
  <c r="M125" i="101"/>
  <c r="L125" i="101"/>
  <c r="K125" i="101"/>
  <c r="J125" i="101"/>
  <c r="AD124" i="101"/>
  <c r="AC124" i="101"/>
  <c r="AA124" i="101"/>
  <c r="Z124" i="101"/>
  <c r="X124" i="101"/>
  <c r="W124" i="101"/>
  <c r="U124" i="101"/>
  <c r="T124" i="101"/>
  <c r="N124" i="101"/>
  <c r="M124" i="101"/>
  <c r="L124" i="101"/>
  <c r="K124" i="101"/>
  <c r="J124" i="101"/>
  <c r="AD123" i="101"/>
  <c r="AC123" i="101"/>
  <c r="AA123" i="101"/>
  <c r="Z123" i="101"/>
  <c r="X123" i="101"/>
  <c r="W123" i="101"/>
  <c r="U123" i="101"/>
  <c r="T123" i="101"/>
  <c r="N123" i="101"/>
  <c r="M123" i="101"/>
  <c r="L123" i="101"/>
  <c r="K123" i="101"/>
  <c r="J123" i="101"/>
  <c r="AD122" i="101"/>
  <c r="AC122" i="101"/>
  <c r="AA122" i="101"/>
  <c r="Z122" i="101"/>
  <c r="X122" i="101"/>
  <c r="W122" i="101"/>
  <c r="U122" i="101"/>
  <c r="T122" i="101"/>
  <c r="N122" i="101"/>
  <c r="M122" i="101"/>
  <c r="L122" i="101"/>
  <c r="K122" i="101"/>
  <c r="J122" i="101"/>
  <c r="AD121" i="101"/>
  <c r="AC121" i="101"/>
  <c r="AA121" i="101"/>
  <c r="Z121" i="101"/>
  <c r="X121" i="101"/>
  <c r="W121" i="101"/>
  <c r="U121" i="101"/>
  <c r="T121" i="101"/>
  <c r="N121" i="101"/>
  <c r="M121" i="101"/>
  <c r="L121" i="101"/>
  <c r="K121" i="101"/>
  <c r="J121" i="101"/>
  <c r="AD120" i="101"/>
  <c r="AC120" i="101"/>
  <c r="AA120" i="101"/>
  <c r="Z120" i="101"/>
  <c r="X120" i="101"/>
  <c r="W120" i="101"/>
  <c r="U120" i="101"/>
  <c r="T120" i="101"/>
  <c r="N120" i="101"/>
  <c r="M120" i="101"/>
  <c r="L120" i="101"/>
  <c r="K120" i="101"/>
  <c r="J120" i="101"/>
  <c r="P116" i="101"/>
  <c r="AD114" i="101"/>
  <c r="AC114" i="101"/>
  <c r="AA114" i="101"/>
  <c r="Z114" i="101"/>
  <c r="X114" i="101"/>
  <c r="W114" i="101"/>
  <c r="U114" i="101"/>
  <c r="T114" i="101"/>
  <c r="N114" i="101"/>
  <c r="M114" i="101"/>
  <c r="L114" i="101"/>
  <c r="K114" i="101"/>
  <c r="J114" i="101"/>
  <c r="AD113" i="101"/>
  <c r="AC113" i="101"/>
  <c r="AA113" i="101"/>
  <c r="Z113" i="101"/>
  <c r="X113" i="101"/>
  <c r="W113" i="101"/>
  <c r="U113" i="101"/>
  <c r="T113" i="101"/>
  <c r="N113" i="101"/>
  <c r="M113" i="101"/>
  <c r="L113" i="101"/>
  <c r="K113" i="101"/>
  <c r="J113" i="101"/>
  <c r="AD112" i="101"/>
  <c r="AC112" i="101"/>
  <c r="AA112" i="101"/>
  <c r="Z112" i="101"/>
  <c r="X112" i="101"/>
  <c r="W112" i="101"/>
  <c r="U112" i="101"/>
  <c r="T112" i="101"/>
  <c r="N112" i="101"/>
  <c r="M112" i="101"/>
  <c r="L112" i="101"/>
  <c r="K112" i="101"/>
  <c r="J112" i="101"/>
  <c r="AD111" i="101"/>
  <c r="AC111" i="101"/>
  <c r="AA111" i="101"/>
  <c r="Z111" i="101"/>
  <c r="X111" i="101"/>
  <c r="W111" i="101"/>
  <c r="U111" i="101"/>
  <c r="T111" i="101"/>
  <c r="N111" i="101"/>
  <c r="M111" i="101"/>
  <c r="L111" i="101"/>
  <c r="K111" i="101"/>
  <c r="J111" i="101"/>
  <c r="AD110" i="101"/>
  <c r="AC110" i="101"/>
  <c r="AA110" i="101"/>
  <c r="Z110" i="101"/>
  <c r="X110" i="101"/>
  <c r="W110" i="101"/>
  <c r="U110" i="101"/>
  <c r="T110" i="101"/>
  <c r="N110" i="101"/>
  <c r="M110" i="101"/>
  <c r="L110" i="101"/>
  <c r="K110" i="101"/>
  <c r="J110" i="101"/>
  <c r="AD109" i="101"/>
  <c r="AC109" i="101"/>
  <c r="AA109" i="101"/>
  <c r="Z109" i="101"/>
  <c r="X109" i="101"/>
  <c r="W109" i="101"/>
  <c r="U109" i="101"/>
  <c r="T109" i="101"/>
  <c r="N109" i="101"/>
  <c r="M109" i="101"/>
  <c r="L109" i="101"/>
  <c r="K109" i="101"/>
  <c r="J109" i="101"/>
  <c r="AD108" i="101"/>
  <c r="AC108" i="101"/>
  <c r="AA108" i="101"/>
  <c r="Z108" i="101"/>
  <c r="X108" i="101"/>
  <c r="W108" i="101"/>
  <c r="U108" i="101"/>
  <c r="T108" i="101"/>
  <c r="N108" i="101"/>
  <c r="M108" i="101"/>
  <c r="L108" i="101"/>
  <c r="K108" i="101"/>
  <c r="J108" i="101"/>
  <c r="AD107" i="101"/>
  <c r="AC107" i="101"/>
  <c r="AA107" i="101"/>
  <c r="Z107" i="101"/>
  <c r="X107" i="101"/>
  <c r="W107" i="101"/>
  <c r="U107" i="101"/>
  <c r="T107" i="101"/>
  <c r="N107" i="101"/>
  <c r="M107" i="101"/>
  <c r="L107" i="101"/>
  <c r="K107" i="101"/>
  <c r="J107" i="101"/>
  <c r="AD106" i="101"/>
  <c r="AC106" i="101"/>
  <c r="AA106" i="101"/>
  <c r="Z106" i="101"/>
  <c r="X106" i="101"/>
  <c r="W106" i="101"/>
  <c r="U106" i="101"/>
  <c r="T106" i="101"/>
  <c r="N106" i="101"/>
  <c r="M106" i="101"/>
  <c r="L106" i="101"/>
  <c r="K106" i="101"/>
  <c r="J106" i="101"/>
  <c r="AD105" i="101"/>
  <c r="AC105" i="101"/>
  <c r="AA105" i="101"/>
  <c r="Z105" i="101"/>
  <c r="X105" i="101"/>
  <c r="W105" i="101"/>
  <c r="U105" i="101"/>
  <c r="T105" i="101"/>
  <c r="N105" i="101"/>
  <c r="M105" i="101"/>
  <c r="L105" i="101"/>
  <c r="K105" i="101"/>
  <c r="J105" i="101"/>
  <c r="AD104" i="101"/>
  <c r="AC104" i="101"/>
  <c r="AA104" i="101"/>
  <c r="Z104" i="101"/>
  <c r="X104" i="101"/>
  <c r="W104" i="101"/>
  <c r="U104" i="101"/>
  <c r="T104" i="101"/>
  <c r="N104" i="101"/>
  <c r="M104" i="101"/>
  <c r="L104" i="101"/>
  <c r="K104" i="101"/>
  <c r="J104" i="101"/>
  <c r="AD103" i="101"/>
  <c r="AC103" i="101"/>
  <c r="AA103" i="101"/>
  <c r="Z103" i="101"/>
  <c r="X103" i="101"/>
  <c r="W103" i="101"/>
  <c r="U103" i="101"/>
  <c r="T103" i="101"/>
  <c r="N103" i="101"/>
  <c r="M103" i="101"/>
  <c r="L103" i="101"/>
  <c r="K103" i="101"/>
  <c r="J103" i="101"/>
  <c r="AD102" i="101"/>
  <c r="AC102" i="101"/>
  <c r="AA102" i="101"/>
  <c r="Z102" i="101"/>
  <c r="X102" i="101"/>
  <c r="W102" i="101"/>
  <c r="U102" i="101"/>
  <c r="T102" i="101"/>
  <c r="N102" i="101"/>
  <c r="M102" i="101"/>
  <c r="L102" i="101"/>
  <c r="K102" i="101"/>
  <c r="J102" i="101"/>
  <c r="AD101" i="101"/>
  <c r="AC101" i="101"/>
  <c r="AA101" i="101"/>
  <c r="Z101" i="101"/>
  <c r="X101" i="101"/>
  <c r="W101" i="101"/>
  <c r="U101" i="101"/>
  <c r="T101" i="101"/>
  <c r="N101" i="101"/>
  <c r="M101" i="101"/>
  <c r="L101" i="101"/>
  <c r="K101" i="101"/>
  <c r="J101" i="101"/>
  <c r="AD100" i="101"/>
  <c r="AC100" i="101"/>
  <c r="AA100" i="101"/>
  <c r="Z100" i="101"/>
  <c r="X100" i="101"/>
  <c r="W100" i="101"/>
  <c r="U100" i="101"/>
  <c r="T100" i="101"/>
  <c r="N100" i="101"/>
  <c r="M100" i="101"/>
  <c r="L100" i="101"/>
  <c r="K100" i="101"/>
  <c r="J100" i="101"/>
  <c r="AD99" i="101"/>
  <c r="AC99" i="101"/>
  <c r="AA99" i="101"/>
  <c r="Z99" i="101"/>
  <c r="X99" i="101"/>
  <c r="W99" i="101"/>
  <c r="U99" i="101"/>
  <c r="T99" i="101"/>
  <c r="N99" i="101"/>
  <c r="M99" i="101"/>
  <c r="L99" i="101"/>
  <c r="K99" i="101"/>
  <c r="J99" i="101"/>
  <c r="AD98" i="101"/>
  <c r="AC98" i="101"/>
  <c r="AA98" i="101"/>
  <c r="Z98" i="101"/>
  <c r="X98" i="101"/>
  <c r="W98" i="101"/>
  <c r="U98" i="101"/>
  <c r="T98" i="101"/>
  <c r="N98" i="101"/>
  <c r="M98" i="101"/>
  <c r="L98" i="101"/>
  <c r="K98" i="101"/>
  <c r="J98" i="101"/>
  <c r="AD97" i="101"/>
  <c r="AC97" i="101"/>
  <c r="AA97" i="101"/>
  <c r="Z97" i="101"/>
  <c r="X97" i="101"/>
  <c r="W97" i="101"/>
  <c r="U97" i="101"/>
  <c r="T97" i="101"/>
  <c r="N97" i="101"/>
  <c r="M97" i="101"/>
  <c r="L97" i="101"/>
  <c r="K97" i="101"/>
  <c r="J97" i="101"/>
  <c r="AD96" i="101"/>
  <c r="AC96" i="101"/>
  <c r="AA96" i="101"/>
  <c r="Z96" i="101"/>
  <c r="X96" i="101"/>
  <c r="W96" i="101"/>
  <c r="U96" i="101"/>
  <c r="T96" i="101"/>
  <c r="N96" i="101"/>
  <c r="M96" i="101"/>
  <c r="L96" i="101"/>
  <c r="K96" i="101"/>
  <c r="J96" i="101"/>
  <c r="AD95" i="101"/>
  <c r="AC95" i="101"/>
  <c r="AA95" i="101"/>
  <c r="Z95" i="101"/>
  <c r="X95" i="101"/>
  <c r="W95" i="101"/>
  <c r="U95" i="101"/>
  <c r="T95" i="101"/>
  <c r="N95" i="101"/>
  <c r="M95" i="101"/>
  <c r="L95" i="101"/>
  <c r="K95" i="101"/>
  <c r="J95" i="101"/>
  <c r="AD94" i="101"/>
  <c r="AC94" i="101"/>
  <c r="AA94" i="101"/>
  <c r="Z94" i="101"/>
  <c r="X94" i="101"/>
  <c r="W94" i="101"/>
  <c r="U94" i="101"/>
  <c r="T94" i="101"/>
  <c r="N94" i="101"/>
  <c r="M94" i="101"/>
  <c r="L94" i="101"/>
  <c r="K94" i="101"/>
  <c r="J94" i="101"/>
  <c r="AD93" i="101"/>
  <c r="AC93" i="101"/>
  <c r="AA93" i="101"/>
  <c r="Z93" i="101"/>
  <c r="X93" i="101"/>
  <c r="W93" i="101"/>
  <c r="U93" i="101"/>
  <c r="T93" i="101"/>
  <c r="N93" i="101"/>
  <c r="M93" i="101"/>
  <c r="L93" i="101"/>
  <c r="K93" i="101"/>
  <c r="J93" i="101"/>
  <c r="AD92" i="101"/>
  <c r="AC92" i="101"/>
  <c r="AA92" i="101"/>
  <c r="Z92" i="101"/>
  <c r="X92" i="101"/>
  <c r="W92" i="101"/>
  <c r="U92" i="101"/>
  <c r="T92" i="101"/>
  <c r="N92" i="101"/>
  <c r="M92" i="101"/>
  <c r="L92" i="101"/>
  <c r="K92" i="101"/>
  <c r="J92" i="101"/>
  <c r="AD91" i="101"/>
  <c r="AC91" i="101"/>
  <c r="AA91" i="101"/>
  <c r="Z91" i="101"/>
  <c r="X91" i="101"/>
  <c r="W91" i="101"/>
  <c r="U91" i="101"/>
  <c r="T91" i="101"/>
  <c r="N91" i="101"/>
  <c r="M91" i="101"/>
  <c r="L91" i="101"/>
  <c r="K91" i="101"/>
  <c r="J91" i="101"/>
  <c r="AD90" i="101"/>
  <c r="AC90" i="101"/>
  <c r="AA90" i="101"/>
  <c r="Z90" i="101"/>
  <c r="X90" i="101"/>
  <c r="W90" i="101"/>
  <c r="U90" i="101"/>
  <c r="T90" i="101"/>
  <c r="N90" i="101"/>
  <c r="M90" i="101"/>
  <c r="L90" i="101"/>
  <c r="K90" i="101"/>
  <c r="J90" i="101"/>
  <c r="AD89" i="101"/>
  <c r="AC89" i="101"/>
  <c r="AA89" i="101"/>
  <c r="Z89" i="101"/>
  <c r="X89" i="101"/>
  <c r="W89" i="101"/>
  <c r="U89" i="101"/>
  <c r="T89" i="101"/>
  <c r="N89" i="101"/>
  <c r="M89" i="101"/>
  <c r="L89" i="101"/>
  <c r="K89" i="101"/>
  <c r="J89" i="101"/>
  <c r="AD88" i="101"/>
  <c r="AC88" i="101"/>
  <c r="AA88" i="101"/>
  <c r="Z88" i="101"/>
  <c r="X88" i="101"/>
  <c r="W88" i="101"/>
  <c r="U88" i="101"/>
  <c r="T88" i="101"/>
  <c r="N88" i="101"/>
  <c r="M88" i="101"/>
  <c r="L88" i="101"/>
  <c r="K88" i="101"/>
  <c r="J88" i="101"/>
  <c r="AD87" i="101"/>
  <c r="AC87" i="101"/>
  <c r="AA87" i="101"/>
  <c r="Z87" i="101"/>
  <c r="X87" i="101"/>
  <c r="W87" i="101"/>
  <c r="U87" i="101"/>
  <c r="T87" i="101"/>
  <c r="N87" i="101"/>
  <c r="M87" i="101"/>
  <c r="L87" i="101"/>
  <c r="K87" i="101"/>
  <c r="J87" i="101"/>
  <c r="AD86" i="101"/>
  <c r="AC86" i="101"/>
  <c r="AA86" i="101"/>
  <c r="Z86" i="101"/>
  <c r="X86" i="101"/>
  <c r="W86" i="101"/>
  <c r="U86" i="101"/>
  <c r="T86" i="101"/>
  <c r="N86" i="101"/>
  <c r="M86" i="101"/>
  <c r="L86" i="101"/>
  <c r="K86" i="101"/>
  <c r="J86" i="101"/>
  <c r="AD85" i="101"/>
  <c r="AC85" i="101"/>
  <c r="AA85" i="101"/>
  <c r="Z85" i="101"/>
  <c r="X85" i="101"/>
  <c r="W85" i="101"/>
  <c r="U85" i="101"/>
  <c r="T85" i="101"/>
  <c r="N85" i="101"/>
  <c r="M85" i="101"/>
  <c r="L85" i="101"/>
  <c r="K85" i="101"/>
  <c r="J85" i="101"/>
  <c r="AD84" i="101"/>
  <c r="AC84" i="101"/>
  <c r="AA84" i="101"/>
  <c r="Z84" i="101"/>
  <c r="X84" i="101"/>
  <c r="W84" i="101"/>
  <c r="U84" i="101"/>
  <c r="T84" i="101"/>
  <c r="N84" i="101"/>
  <c r="M84" i="101"/>
  <c r="L84" i="101"/>
  <c r="K84" i="101"/>
  <c r="J84" i="101"/>
  <c r="AD83" i="101"/>
  <c r="AC83" i="101"/>
  <c r="AA83" i="101"/>
  <c r="Z83" i="101"/>
  <c r="X83" i="101"/>
  <c r="W83" i="101"/>
  <c r="U83" i="101"/>
  <c r="T83" i="101"/>
  <c r="N83" i="101"/>
  <c r="M83" i="101"/>
  <c r="L83" i="101"/>
  <c r="K83" i="101"/>
  <c r="J83" i="101"/>
  <c r="AD82" i="101"/>
  <c r="AC82" i="101"/>
  <c r="AA82" i="101"/>
  <c r="Z82" i="101"/>
  <c r="X82" i="101"/>
  <c r="W82" i="101"/>
  <c r="U82" i="101"/>
  <c r="T82" i="101"/>
  <c r="N82" i="101"/>
  <c r="M82" i="101"/>
  <c r="L82" i="101"/>
  <c r="K82" i="101"/>
  <c r="J82" i="101"/>
  <c r="AD80" i="101"/>
  <c r="AC80" i="101"/>
  <c r="AA80" i="101"/>
  <c r="Z80" i="101"/>
  <c r="X80" i="101"/>
  <c r="W80" i="101"/>
  <c r="U80" i="101"/>
  <c r="T80" i="101"/>
  <c r="N80" i="101"/>
  <c r="M80" i="101"/>
  <c r="L80" i="101"/>
  <c r="K80" i="101"/>
  <c r="J80" i="101"/>
  <c r="AD79" i="101"/>
  <c r="AC79" i="101"/>
  <c r="AA79" i="101"/>
  <c r="Z79" i="101"/>
  <c r="X79" i="101"/>
  <c r="W79" i="101"/>
  <c r="U79" i="101"/>
  <c r="T79" i="101"/>
  <c r="N79" i="101"/>
  <c r="M79" i="101"/>
  <c r="L79" i="101"/>
  <c r="K79" i="101"/>
  <c r="J79" i="101"/>
  <c r="AD78" i="101"/>
  <c r="AC78" i="101"/>
  <c r="AA78" i="101"/>
  <c r="Z78" i="101"/>
  <c r="X78" i="101"/>
  <c r="W78" i="101"/>
  <c r="U78" i="101"/>
  <c r="T78" i="101"/>
  <c r="N78" i="101"/>
  <c r="M78" i="101"/>
  <c r="L78" i="101"/>
  <c r="K78" i="101"/>
  <c r="J78" i="101"/>
  <c r="AD77" i="101"/>
  <c r="AC77" i="101"/>
  <c r="AA77" i="101"/>
  <c r="Z77" i="101"/>
  <c r="X77" i="101"/>
  <c r="W77" i="101"/>
  <c r="U77" i="101"/>
  <c r="T77" i="101"/>
  <c r="N77" i="101"/>
  <c r="M77" i="101"/>
  <c r="L77" i="101"/>
  <c r="K77" i="101"/>
  <c r="J77" i="101"/>
  <c r="AD76" i="101"/>
  <c r="AC76" i="101"/>
  <c r="AA76" i="101"/>
  <c r="Z76" i="101"/>
  <c r="X76" i="101"/>
  <c r="W76" i="101"/>
  <c r="U76" i="101"/>
  <c r="T76" i="101"/>
  <c r="N76" i="101"/>
  <c r="M76" i="101"/>
  <c r="L76" i="101"/>
  <c r="K76" i="101"/>
  <c r="J76" i="101"/>
  <c r="AD75" i="101"/>
  <c r="AC75" i="101"/>
  <c r="AA75" i="101"/>
  <c r="Z75" i="101"/>
  <c r="X75" i="101"/>
  <c r="W75" i="101"/>
  <c r="U75" i="101"/>
  <c r="T75" i="101"/>
  <c r="N75" i="101"/>
  <c r="M75" i="101"/>
  <c r="L75" i="101"/>
  <c r="K75" i="101"/>
  <c r="J75" i="101"/>
  <c r="AD74" i="101"/>
  <c r="AC74" i="101"/>
  <c r="AA74" i="101"/>
  <c r="Z74" i="101"/>
  <c r="X74" i="101"/>
  <c r="W74" i="101"/>
  <c r="U74" i="101"/>
  <c r="T74" i="101"/>
  <c r="N74" i="101"/>
  <c r="M74" i="101"/>
  <c r="L74" i="101"/>
  <c r="K74" i="101"/>
  <c r="J74" i="101"/>
  <c r="AD73" i="101"/>
  <c r="AC73" i="101"/>
  <c r="AA73" i="101"/>
  <c r="Z73" i="101"/>
  <c r="X73" i="101"/>
  <c r="W73" i="101"/>
  <c r="U73" i="101"/>
  <c r="T73" i="101"/>
  <c r="N73" i="101"/>
  <c r="M73" i="101"/>
  <c r="L73" i="101"/>
  <c r="K73" i="101"/>
  <c r="J73" i="101"/>
  <c r="AD72" i="101"/>
  <c r="AC72" i="101"/>
  <c r="AA72" i="101"/>
  <c r="Z72" i="101"/>
  <c r="X72" i="101"/>
  <c r="W72" i="101"/>
  <c r="U72" i="101"/>
  <c r="T72" i="101"/>
  <c r="N72" i="101"/>
  <c r="M72" i="101"/>
  <c r="L72" i="101"/>
  <c r="K72" i="101"/>
  <c r="J72" i="101"/>
  <c r="AD71" i="101"/>
  <c r="AC71" i="101"/>
  <c r="AA71" i="101"/>
  <c r="Z71" i="101"/>
  <c r="X71" i="101"/>
  <c r="W71" i="101"/>
  <c r="U71" i="101"/>
  <c r="T71" i="101"/>
  <c r="N71" i="101"/>
  <c r="M71" i="101"/>
  <c r="L71" i="101"/>
  <c r="K71" i="101"/>
  <c r="J71" i="101"/>
  <c r="AD70" i="101"/>
  <c r="AC70" i="101"/>
  <c r="AA70" i="101"/>
  <c r="Z70" i="101"/>
  <c r="X70" i="101"/>
  <c r="W70" i="101"/>
  <c r="U70" i="101"/>
  <c r="T70" i="101"/>
  <c r="N70" i="101"/>
  <c r="M70" i="101"/>
  <c r="L70" i="101"/>
  <c r="K70" i="101"/>
  <c r="J70" i="101"/>
  <c r="AD69" i="101"/>
  <c r="AC69" i="101"/>
  <c r="AA69" i="101"/>
  <c r="Z69" i="101"/>
  <c r="X69" i="101"/>
  <c r="W69" i="101"/>
  <c r="U69" i="101"/>
  <c r="T69" i="101"/>
  <c r="N69" i="101"/>
  <c r="M69" i="101"/>
  <c r="L69" i="101"/>
  <c r="K69" i="101"/>
  <c r="J69" i="101"/>
  <c r="AD68" i="101"/>
  <c r="AC68" i="101"/>
  <c r="AA68" i="101"/>
  <c r="Z68" i="101"/>
  <c r="X68" i="101"/>
  <c r="W68" i="101"/>
  <c r="U68" i="101"/>
  <c r="T68" i="101"/>
  <c r="N68" i="101"/>
  <c r="M68" i="101"/>
  <c r="L68" i="101"/>
  <c r="K68" i="101"/>
  <c r="J68" i="101"/>
  <c r="AD67" i="101"/>
  <c r="AC67" i="101"/>
  <c r="AA67" i="101"/>
  <c r="Z67" i="101"/>
  <c r="X67" i="101"/>
  <c r="W67" i="101"/>
  <c r="U67" i="101"/>
  <c r="T67" i="101"/>
  <c r="N67" i="101"/>
  <c r="M67" i="101"/>
  <c r="L67" i="101"/>
  <c r="K67" i="101"/>
  <c r="J67" i="101"/>
  <c r="AD66" i="101"/>
  <c r="AC66" i="101"/>
  <c r="AA66" i="101"/>
  <c r="Z66" i="101"/>
  <c r="X66" i="101"/>
  <c r="W66" i="101"/>
  <c r="U66" i="101"/>
  <c r="T66" i="101"/>
  <c r="N66" i="101"/>
  <c r="M66" i="101"/>
  <c r="L66" i="101"/>
  <c r="K66" i="101"/>
  <c r="J66" i="101"/>
  <c r="AD65" i="101"/>
  <c r="AC65" i="101"/>
  <c r="AA65" i="101"/>
  <c r="Z65" i="101"/>
  <c r="X65" i="101"/>
  <c r="W65" i="101"/>
  <c r="U65" i="101"/>
  <c r="T65" i="101"/>
  <c r="N65" i="101"/>
  <c r="M65" i="101"/>
  <c r="L65" i="101"/>
  <c r="K65" i="101"/>
  <c r="J65" i="101"/>
  <c r="AD64" i="101"/>
  <c r="AC64" i="101"/>
  <c r="AA64" i="101"/>
  <c r="Z64" i="101"/>
  <c r="X64" i="101"/>
  <c r="W64" i="101"/>
  <c r="U64" i="101"/>
  <c r="T64" i="101"/>
  <c r="N64" i="101"/>
  <c r="M64" i="101"/>
  <c r="L64" i="101"/>
  <c r="K64" i="101"/>
  <c r="J64" i="101"/>
  <c r="AD63" i="101"/>
  <c r="AC63" i="101"/>
  <c r="AA63" i="101"/>
  <c r="Z63" i="101"/>
  <c r="X63" i="101"/>
  <c r="W63" i="101"/>
  <c r="U63" i="101"/>
  <c r="T63" i="101"/>
  <c r="N63" i="101"/>
  <c r="M63" i="101"/>
  <c r="L63" i="101"/>
  <c r="K63" i="101"/>
  <c r="J63" i="101"/>
  <c r="AD62" i="101"/>
  <c r="AC62" i="101"/>
  <c r="AA62" i="101"/>
  <c r="Z62" i="101"/>
  <c r="X62" i="101"/>
  <c r="W62" i="101"/>
  <c r="U62" i="101"/>
  <c r="T62" i="101"/>
  <c r="N62" i="101"/>
  <c r="M62" i="101"/>
  <c r="L62" i="101"/>
  <c r="K62" i="101"/>
  <c r="J62" i="101"/>
  <c r="AD61" i="101"/>
  <c r="AC61" i="101"/>
  <c r="AA61" i="101"/>
  <c r="Z61" i="101"/>
  <c r="X61" i="101"/>
  <c r="W61" i="101"/>
  <c r="U61" i="101"/>
  <c r="T61" i="101"/>
  <c r="N61" i="101"/>
  <c r="M61" i="101"/>
  <c r="L61" i="101"/>
  <c r="K61" i="101"/>
  <c r="J61" i="101"/>
  <c r="AD60" i="101"/>
  <c r="AC60" i="101"/>
  <c r="AA60" i="101"/>
  <c r="Z60" i="101"/>
  <c r="X60" i="101"/>
  <c r="W60" i="101"/>
  <c r="U60" i="101"/>
  <c r="T60" i="101"/>
  <c r="N60" i="101"/>
  <c r="M60" i="101"/>
  <c r="L60" i="101"/>
  <c r="K60" i="101"/>
  <c r="J60" i="101"/>
  <c r="AD59" i="101"/>
  <c r="AC59" i="101"/>
  <c r="AA59" i="101"/>
  <c r="Z59" i="101"/>
  <c r="X59" i="101"/>
  <c r="W59" i="101"/>
  <c r="U59" i="101"/>
  <c r="T59" i="101"/>
  <c r="N59" i="101"/>
  <c r="M59" i="101"/>
  <c r="L59" i="101"/>
  <c r="K59" i="101"/>
  <c r="J59" i="101"/>
  <c r="AD58" i="101"/>
  <c r="AC58" i="101"/>
  <c r="AA58" i="101"/>
  <c r="Z58" i="101"/>
  <c r="X58" i="101"/>
  <c r="W58" i="101"/>
  <c r="U58" i="101"/>
  <c r="T58" i="101"/>
  <c r="N58" i="101"/>
  <c r="M58" i="101"/>
  <c r="L58" i="101"/>
  <c r="K58" i="101"/>
  <c r="J58" i="101"/>
  <c r="AD57" i="101"/>
  <c r="AC57" i="101"/>
  <c r="AA57" i="101"/>
  <c r="Z57" i="101"/>
  <c r="X57" i="101"/>
  <c r="W57" i="101"/>
  <c r="U57" i="101"/>
  <c r="T57" i="101"/>
  <c r="N57" i="101"/>
  <c r="M57" i="101"/>
  <c r="L57" i="101"/>
  <c r="K57" i="101"/>
  <c r="J57" i="101"/>
  <c r="AD56" i="101"/>
  <c r="AC56" i="101"/>
  <c r="AA56" i="101"/>
  <c r="Z56" i="101"/>
  <c r="X56" i="101"/>
  <c r="W56" i="101"/>
  <c r="U56" i="101"/>
  <c r="T56" i="101"/>
  <c r="N56" i="101"/>
  <c r="M56" i="101"/>
  <c r="L56" i="101"/>
  <c r="K56" i="101"/>
  <c r="J56" i="101"/>
  <c r="AD55" i="101"/>
  <c r="AC55" i="101"/>
  <c r="AA55" i="101"/>
  <c r="Z55" i="101"/>
  <c r="X55" i="101"/>
  <c r="W55" i="101"/>
  <c r="U55" i="101"/>
  <c r="T55" i="101"/>
  <c r="N55" i="101"/>
  <c r="M55" i="101"/>
  <c r="L55" i="101"/>
  <c r="K55" i="101"/>
  <c r="J55" i="101"/>
  <c r="P51" i="101"/>
  <c r="AD49" i="101"/>
  <c r="AC49" i="101"/>
  <c r="AA49" i="101"/>
  <c r="Z49" i="101"/>
  <c r="X49" i="101"/>
  <c r="W49" i="101"/>
  <c r="U49" i="101"/>
  <c r="T49" i="101"/>
  <c r="N49" i="101"/>
  <c r="M49" i="101"/>
  <c r="L49" i="101"/>
  <c r="K49" i="101"/>
  <c r="J49" i="101"/>
  <c r="AD48" i="101"/>
  <c r="AC48" i="101"/>
  <c r="AA48" i="101"/>
  <c r="Z48" i="101"/>
  <c r="X48" i="101"/>
  <c r="W48" i="101"/>
  <c r="U48" i="101"/>
  <c r="T48" i="101"/>
  <c r="N48" i="101"/>
  <c r="M48" i="101"/>
  <c r="L48" i="101"/>
  <c r="K48" i="101"/>
  <c r="J48" i="101"/>
  <c r="AD47" i="101"/>
  <c r="AC47" i="101"/>
  <c r="AA47" i="101"/>
  <c r="Z47" i="101"/>
  <c r="X47" i="101"/>
  <c r="W47" i="101"/>
  <c r="U47" i="101"/>
  <c r="T47" i="101"/>
  <c r="N47" i="101"/>
  <c r="M47" i="101"/>
  <c r="L47" i="101"/>
  <c r="K47" i="101"/>
  <c r="J47" i="101"/>
  <c r="AD46" i="101"/>
  <c r="AC46" i="101"/>
  <c r="AA46" i="101"/>
  <c r="Z46" i="101"/>
  <c r="X46" i="101"/>
  <c r="W46" i="101"/>
  <c r="U46" i="101"/>
  <c r="T46" i="101"/>
  <c r="N46" i="101"/>
  <c r="M46" i="101"/>
  <c r="L46" i="101"/>
  <c r="K46" i="101"/>
  <c r="J46" i="101"/>
  <c r="AD45" i="101"/>
  <c r="AC45" i="101"/>
  <c r="AA45" i="101"/>
  <c r="Z45" i="101"/>
  <c r="X45" i="101"/>
  <c r="W45" i="101"/>
  <c r="U45" i="101"/>
  <c r="T45" i="101"/>
  <c r="N45" i="101"/>
  <c r="M45" i="101"/>
  <c r="L45" i="101"/>
  <c r="K45" i="101"/>
  <c r="J45" i="101"/>
  <c r="AD44" i="101"/>
  <c r="AC44" i="101"/>
  <c r="AA44" i="101"/>
  <c r="Z44" i="101"/>
  <c r="X44" i="101"/>
  <c r="W44" i="101"/>
  <c r="U44" i="101"/>
  <c r="T44" i="101"/>
  <c r="N44" i="101"/>
  <c r="M44" i="101"/>
  <c r="L44" i="101"/>
  <c r="K44" i="101"/>
  <c r="J44" i="101"/>
  <c r="AD43" i="101"/>
  <c r="AC43" i="101"/>
  <c r="AA43" i="101"/>
  <c r="Z43" i="101"/>
  <c r="X43" i="101"/>
  <c r="W43" i="101"/>
  <c r="U43" i="101"/>
  <c r="T43" i="101"/>
  <c r="N43" i="101"/>
  <c r="M43" i="101"/>
  <c r="L43" i="101"/>
  <c r="K43" i="101"/>
  <c r="J43" i="101"/>
  <c r="AD42" i="101"/>
  <c r="AC42" i="101"/>
  <c r="AA42" i="101"/>
  <c r="Z42" i="101"/>
  <c r="X42" i="101"/>
  <c r="W42" i="101"/>
  <c r="U42" i="101"/>
  <c r="T42" i="101"/>
  <c r="N42" i="101"/>
  <c r="M42" i="101"/>
  <c r="L42" i="101"/>
  <c r="K42" i="101"/>
  <c r="J42" i="101"/>
  <c r="AD41" i="101"/>
  <c r="AC41" i="101"/>
  <c r="AA41" i="101"/>
  <c r="Z41" i="101"/>
  <c r="X41" i="101"/>
  <c r="W41" i="101"/>
  <c r="U41" i="101"/>
  <c r="T41" i="101"/>
  <c r="N41" i="101"/>
  <c r="M41" i="101"/>
  <c r="L41" i="101"/>
  <c r="K41" i="101"/>
  <c r="J41" i="101"/>
  <c r="AD40" i="101"/>
  <c r="AC40" i="101"/>
  <c r="AA40" i="101"/>
  <c r="Z40" i="101"/>
  <c r="X40" i="101"/>
  <c r="W40" i="101"/>
  <c r="U40" i="101"/>
  <c r="T40" i="101"/>
  <c r="N40" i="101"/>
  <c r="M40" i="101"/>
  <c r="L40" i="101"/>
  <c r="K40" i="101"/>
  <c r="J40" i="101"/>
  <c r="AD39" i="101"/>
  <c r="AC39" i="101"/>
  <c r="AA39" i="101"/>
  <c r="Z39" i="101"/>
  <c r="X39" i="101"/>
  <c r="W39" i="101"/>
  <c r="U39" i="101"/>
  <c r="T39" i="101"/>
  <c r="N39" i="101"/>
  <c r="M39" i="101"/>
  <c r="L39" i="101"/>
  <c r="K39" i="101"/>
  <c r="J39" i="101"/>
  <c r="AD38" i="101"/>
  <c r="AC38" i="101"/>
  <c r="AA38" i="101"/>
  <c r="Z38" i="101"/>
  <c r="X38" i="101"/>
  <c r="W38" i="101"/>
  <c r="U38" i="101"/>
  <c r="T38" i="101"/>
  <c r="N38" i="101"/>
  <c r="M38" i="101"/>
  <c r="L38" i="101"/>
  <c r="K38" i="101"/>
  <c r="J38" i="101"/>
  <c r="AD37" i="101"/>
  <c r="AC37" i="101"/>
  <c r="AA37" i="101"/>
  <c r="Z37" i="101"/>
  <c r="X37" i="101"/>
  <c r="W37" i="101"/>
  <c r="U37" i="101"/>
  <c r="T37" i="101"/>
  <c r="N37" i="101"/>
  <c r="M37" i="101"/>
  <c r="L37" i="101"/>
  <c r="K37" i="101"/>
  <c r="J37" i="101"/>
  <c r="AD36" i="101"/>
  <c r="AC36" i="101"/>
  <c r="AA36" i="101"/>
  <c r="Z36" i="101"/>
  <c r="X36" i="101"/>
  <c r="W36" i="101"/>
  <c r="U36" i="101"/>
  <c r="T36" i="101"/>
  <c r="N36" i="101"/>
  <c r="M36" i="101"/>
  <c r="L36" i="101"/>
  <c r="K36" i="101"/>
  <c r="J36" i="101"/>
  <c r="AD35" i="101"/>
  <c r="AC35" i="101"/>
  <c r="AA35" i="101"/>
  <c r="Z35" i="101"/>
  <c r="X35" i="101"/>
  <c r="W35" i="101"/>
  <c r="U35" i="101"/>
  <c r="T35" i="101"/>
  <c r="N35" i="101"/>
  <c r="M35" i="101"/>
  <c r="L35" i="101"/>
  <c r="K35" i="101"/>
  <c r="J35" i="101"/>
  <c r="AD34" i="101"/>
  <c r="AC34" i="101"/>
  <c r="AA34" i="101"/>
  <c r="Z34" i="101"/>
  <c r="X34" i="101"/>
  <c r="W34" i="101"/>
  <c r="U34" i="101"/>
  <c r="T34" i="101"/>
  <c r="N34" i="101"/>
  <c r="M34" i="101"/>
  <c r="L34" i="101"/>
  <c r="K34" i="101"/>
  <c r="J34" i="101"/>
  <c r="AD33" i="101"/>
  <c r="AC33" i="101"/>
  <c r="AA33" i="101"/>
  <c r="Z33" i="101"/>
  <c r="X33" i="101"/>
  <c r="W33" i="101"/>
  <c r="U33" i="101"/>
  <c r="T33" i="101"/>
  <c r="N33" i="101"/>
  <c r="M33" i="101"/>
  <c r="L33" i="101"/>
  <c r="K33" i="101"/>
  <c r="J33" i="101"/>
  <c r="AD32" i="101"/>
  <c r="AC32" i="101"/>
  <c r="AA32" i="101"/>
  <c r="Z32" i="101"/>
  <c r="X32" i="101"/>
  <c r="W32" i="101"/>
  <c r="U32" i="101"/>
  <c r="T32" i="101"/>
  <c r="N32" i="101"/>
  <c r="M32" i="101"/>
  <c r="L32" i="101"/>
  <c r="K32" i="101"/>
  <c r="J32" i="101"/>
  <c r="AD31" i="101"/>
  <c r="AC31" i="101"/>
  <c r="AA31" i="101"/>
  <c r="Z31" i="101"/>
  <c r="X31" i="101"/>
  <c r="W31" i="101"/>
  <c r="U31" i="101"/>
  <c r="T31" i="101"/>
  <c r="N31" i="101"/>
  <c r="M31" i="101"/>
  <c r="L31" i="101"/>
  <c r="K31" i="101"/>
  <c r="J31" i="101"/>
  <c r="AD30" i="101"/>
  <c r="AC30" i="101"/>
  <c r="AA30" i="101"/>
  <c r="Z30" i="101"/>
  <c r="X30" i="101"/>
  <c r="W30" i="101"/>
  <c r="U30" i="101"/>
  <c r="T30" i="101"/>
  <c r="N30" i="101"/>
  <c r="M30" i="101"/>
  <c r="L30" i="101"/>
  <c r="K30" i="101"/>
  <c r="J30" i="101"/>
  <c r="P26" i="101"/>
  <c r="AD24" i="101"/>
  <c r="AC24" i="101"/>
  <c r="AA24" i="101"/>
  <c r="Z24" i="101"/>
  <c r="X24" i="101"/>
  <c r="W24" i="101"/>
  <c r="U24" i="101"/>
  <c r="T24" i="101"/>
  <c r="N24" i="101"/>
  <c r="M24" i="101"/>
  <c r="L24" i="101"/>
  <c r="K24" i="101"/>
  <c r="J24" i="101"/>
  <c r="AD23" i="101"/>
  <c r="AC23" i="101"/>
  <c r="AA23" i="101"/>
  <c r="Z23" i="101"/>
  <c r="X23" i="101"/>
  <c r="W23" i="101"/>
  <c r="U23" i="101"/>
  <c r="T23" i="101"/>
  <c r="N23" i="101"/>
  <c r="M23" i="101"/>
  <c r="L23" i="101"/>
  <c r="K23" i="101"/>
  <c r="J23" i="101"/>
  <c r="AD22" i="101"/>
  <c r="AC22" i="101"/>
  <c r="AA22" i="101"/>
  <c r="Z22" i="101"/>
  <c r="X22" i="101"/>
  <c r="W22" i="101"/>
  <c r="U22" i="101"/>
  <c r="T22" i="101"/>
  <c r="N22" i="101"/>
  <c r="M22" i="101"/>
  <c r="L22" i="101"/>
  <c r="K22" i="101"/>
  <c r="J22" i="101"/>
  <c r="AD21" i="101"/>
  <c r="AC21" i="101"/>
  <c r="AA21" i="101"/>
  <c r="Z21" i="101"/>
  <c r="X21" i="101"/>
  <c r="W21" i="101"/>
  <c r="U21" i="101"/>
  <c r="T21" i="101"/>
  <c r="N21" i="101"/>
  <c r="M21" i="101"/>
  <c r="L21" i="101"/>
  <c r="K21" i="101"/>
  <c r="J21" i="101"/>
  <c r="AD20" i="101"/>
  <c r="AC20" i="101"/>
  <c r="AA20" i="101"/>
  <c r="Z20" i="101"/>
  <c r="X20" i="101"/>
  <c r="W20" i="101"/>
  <c r="U20" i="101"/>
  <c r="T20" i="101"/>
  <c r="N20" i="101"/>
  <c r="M20" i="101"/>
  <c r="L20" i="101"/>
  <c r="K20" i="101"/>
  <c r="J20" i="101"/>
  <c r="AD19" i="101"/>
  <c r="AC19" i="101"/>
  <c r="AA19" i="101"/>
  <c r="Z19" i="101"/>
  <c r="X19" i="101"/>
  <c r="W19" i="101"/>
  <c r="U19" i="101"/>
  <c r="T19" i="101"/>
  <c r="N19" i="101"/>
  <c r="M19" i="101"/>
  <c r="L19" i="101"/>
  <c r="K19" i="101"/>
  <c r="J19" i="101"/>
  <c r="AD18" i="101"/>
  <c r="AC18" i="101"/>
  <c r="AA18" i="101"/>
  <c r="Z18" i="101"/>
  <c r="X18" i="101"/>
  <c r="W18" i="101"/>
  <c r="U18" i="101"/>
  <c r="T18" i="101"/>
  <c r="N18" i="101"/>
  <c r="M18" i="101"/>
  <c r="L18" i="101"/>
  <c r="K18" i="101"/>
  <c r="J18" i="101"/>
  <c r="AD17" i="101"/>
  <c r="AC17" i="101"/>
  <c r="AA17" i="101"/>
  <c r="Z17" i="101"/>
  <c r="X17" i="101"/>
  <c r="W17" i="101"/>
  <c r="U17" i="101"/>
  <c r="T17" i="101"/>
  <c r="N17" i="101"/>
  <c r="M17" i="101"/>
  <c r="L17" i="101"/>
  <c r="K17" i="101"/>
  <c r="J17" i="101"/>
  <c r="AD16" i="101"/>
  <c r="AC16" i="101"/>
  <c r="AA16" i="101"/>
  <c r="Z16" i="101"/>
  <c r="X16" i="101"/>
  <c r="W16" i="101"/>
  <c r="U16" i="101"/>
  <c r="T16" i="101"/>
  <c r="N16" i="101"/>
  <c r="M16" i="101"/>
  <c r="L16" i="101"/>
  <c r="K16" i="101"/>
  <c r="J16" i="101"/>
  <c r="AD15" i="101"/>
  <c r="AC15" i="101"/>
  <c r="AA15" i="101"/>
  <c r="Z15" i="101"/>
  <c r="X15" i="101"/>
  <c r="W15" i="101"/>
  <c r="U15" i="101"/>
  <c r="T15" i="101"/>
  <c r="N15" i="101"/>
  <c r="M15" i="101"/>
  <c r="L15" i="101"/>
  <c r="K15" i="101"/>
  <c r="J15" i="101"/>
  <c r="AD14" i="101"/>
  <c r="AC14" i="101"/>
  <c r="AA14" i="101"/>
  <c r="Z14" i="101"/>
  <c r="X14" i="101"/>
  <c r="W14" i="101"/>
  <c r="U14" i="101"/>
  <c r="T14" i="101"/>
  <c r="N14" i="101"/>
  <c r="M14" i="101"/>
  <c r="L14" i="101"/>
  <c r="K14" i="101"/>
  <c r="J14" i="101"/>
  <c r="P10" i="101"/>
  <c r="AD8" i="101"/>
  <c r="AC8" i="101"/>
  <c r="AA8" i="101"/>
  <c r="Z8" i="101"/>
  <c r="X8" i="101"/>
  <c r="W8" i="101"/>
  <c r="U8" i="101"/>
  <c r="T8" i="101"/>
  <c r="N8" i="101"/>
  <c r="M8" i="101"/>
  <c r="L8" i="101"/>
  <c r="K8" i="101"/>
  <c r="J8" i="101"/>
  <c r="V60" i="100"/>
  <c r="U60" i="100"/>
  <c r="S60" i="100"/>
  <c r="R60" i="100"/>
  <c r="P60" i="100"/>
  <c r="O60" i="100"/>
  <c r="M60" i="100"/>
  <c r="L60" i="100"/>
  <c r="F60" i="100"/>
  <c r="E60" i="100"/>
  <c r="D60" i="100"/>
  <c r="C60" i="100"/>
  <c r="B60" i="100"/>
  <c r="G58" i="100"/>
  <c r="G57" i="100"/>
  <c r="G56" i="100"/>
  <c r="G55" i="100"/>
  <c r="G54" i="100"/>
  <c r="G53" i="100"/>
  <c r="G52" i="100"/>
  <c r="G51" i="100"/>
  <c r="G50" i="100"/>
  <c r="G49" i="100"/>
  <c r="G48" i="100"/>
  <c r="G47" i="100"/>
  <c r="G46" i="100"/>
  <c r="G45" i="100"/>
  <c r="G44" i="100"/>
  <c r="G43" i="100"/>
  <c r="G42" i="100"/>
  <c r="G41" i="100"/>
  <c r="G40" i="100"/>
  <c r="G39" i="100"/>
  <c r="G38" i="100"/>
  <c r="G37" i="100"/>
  <c r="G36" i="100"/>
  <c r="G35" i="100"/>
  <c r="G34" i="100"/>
  <c r="G33" i="100"/>
  <c r="G32" i="100"/>
  <c r="G31" i="100"/>
  <c r="G30" i="100"/>
  <c r="G29" i="100"/>
  <c r="G28" i="100"/>
  <c r="G27" i="100"/>
  <c r="J26" i="100"/>
  <c r="G26" i="100"/>
  <c r="G25" i="100"/>
  <c r="G24" i="100"/>
  <c r="G23" i="100"/>
  <c r="G22" i="100"/>
  <c r="G21" i="100"/>
  <c r="G20" i="100"/>
  <c r="G19" i="100"/>
  <c r="G18" i="100"/>
  <c r="G17" i="100"/>
  <c r="G16" i="100"/>
  <c r="G15" i="100"/>
  <c r="G14" i="100"/>
  <c r="G13" i="100"/>
  <c r="G12" i="100"/>
  <c r="G11" i="100"/>
  <c r="G10" i="100"/>
  <c r="G9" i="100"/>
  <c r="G8" i="100"/>
  <c r="G7" i="100"/>
  <c r="G6" i="100"/>
  <c r="V60" i="99"/>
  <c r="U60" i="99"/>
  <c r="S60" i="99"/>
  <c r="R60" i="99"/>
  <c r="P60" i="99"/>
  <c r="O60" i="99"/>
  <c r="M60" i="99"/>
  <c r="L60" i="99"/>
  <c r="F60" i="99"/>
  <c r="E60" i="99"/>
  <c r="D60" i="99"/>
  <c r="C60" i="99"/>
  <c r="B60" i="99"/>
  <c r="G58" i="99"/>
  <c r="G57" i="99"/>
  <c r="G56" i="99"/>
  <c r="G55" i="99"/>
  <c r="G54" i="99"/>
  <c r="G53" i="99"/>
  <c r="G52" i="99"/>
  <c r="G51" i="99"/>
  <c r="G50" i="99"/>
  <c r="G49" i="99"/>
  <c r="G48" i="99"/>
  <c r="G47" i="99"/>
  <c r="G46" i="99"/>
  <c r="G45" i="99"/>
  <c r="G44" i="99"/>
  <c r="G43" i="99"/>
  <c r="G42" i="99"/>
  <c r="G41" i="99"/>
  <c r="G40" i="99"/>
  <c r="G39" i="99"/>
  <c r="G38" i="99"/>
  <c r="G37" i="99"/>
  <c r="G36" i="99"/>
  <c r="G35" i="99"/>
  <c r="G34" i="99"/>
  <c r="G33" i="99"/>
  <c r="G32" i="99"/>
  <c r="G31" i="99"/>
  <c r="G30" i="99"/>
  <c r="G29" i="99"/>
  <c r="G28" i="99"/>
  <c r="G27" i="99"/>
  <c r="J26" i="99"/>
  <c r="G26" i="99"/>
  <c r="G25" i="99"/>
  <c r="G24" i="99"/>
  <c r="G23" i="99"/>
  <c r="G22" i="99"/>
  <c r="G21" i="99"/>
  <c r="G20" i="99"/>
  <c r="G19" i="99"/>
  <c r="G18" i="99"/>
  <c r="G17" i="99"/>
  <c r="G16" i="99"/>
  <c r="G15" i="99"/>
  <c r="G14" i="99"/>
  <c r="G13" i="99"/>
  <c r="G12" i="99"/>
  <c r="G11" i="99"/>
  <c r="G10" i="99"/>
  <c r="G9" i="99"/>
  <c r="G8" i="99"/>
  <c r="G7" i="99"/>
  <c r="G6" i="99"/>
  <c r="V60" i="98"/>
  <c r="U60" i="98"/>
  <c r="S60" i="98"/>
  <c r="R60" i="98"/>
  <c r="P60" i="98"/>
  <c r="O60" i="98"/>
  <c r="M60" i="98"/>
  <c r="L60" i="98"/>
  <c r="F60" i="98"/>
  <c r="E60" i="98"/>
  <c r="D60" i="98"/>
  <c r="C60" i="98"/>
  <c r="B60" i="98"/>
  <c r="G58" i="98"/>
  <c r="G57" i="98"/>
  <c r="G56" i="98"/>
  <c r="G55" i="98"/>
  <c r="G54" i="98"/>
  <c r="G53" i="98"/>
  <c r="G52" i="98"/>
  <c r="G51" i="98"/>
  <c r="G50" i="98"/>
  <c r="G49" i="98"/>
  <c r="G48" i="98"/>
  <c r="G47" i="98"/>
  <c r="G46" i="98"/>
  <c r="G45" i="98"/>
  <c r="G44" i="98"/>
  <c r="G43" i="98"/>
  <c r="G42" i="98"/>
  <c r="G41" i="98"/>
  <c r="G40" i="98"/>
  <c r="G39" i="98"/>
  <c r="G38" i="98"/>
  <c r="G37" i="98"/>
  <c r="G36" i="98"/>
  <c r="G35" i="98"/>
  <c r="G34" i="98"/>
  <c r="G33" i="98"/>
  <c r="G32" i="98"/>
  <c r="G31" i="98"/>
  <c r="G30" i="98"/>
  <c r="G29" i="98"/>
  <c r="G28" i="98"/>
  <c r="G27" i="98"/>
  <c r="J26" i="98"/>
  <c r="G26" i="98"/>
  <c r="G25" i="98"/>
  <c r="G24" i="98"/>
  <c r="G23" i="98"/>
  <c r="G22" i="98"/>
  <c r="G21" i="98"/>
  <c r="G20" i="98"/>
  <c r="G19" i="98"/>
  <c r="G18" i="98"/>
  <c r="G17" i="98"/>
  <c r="G16" i="98"/>
  <c r="G15" i="98"/>
  <c r="G14" i="98"/>
  <c r="G13" i="98"/>
  <c r="G12" i="98"/>
  <c r="G11" i="98"/>
  <c r="G10" i="98"/>
  <c r="G9" i="98"/>
  <c r="G8" i="98"/>
  <c r="G7" i="98"/>
  <c r="G6" i="98"/>
  <c r="V60" i="97"/>
  <c r="U60" i="97"/>
  <c r="S60" i="97"/>
  <c r="R60" i="97"/>
  <c r="P60" i="97"/>
  <c r="O60" i="97"/>
  <c r="M60" i="97"/>
  <c r="L60" i="97"/>
  <c r="F60" i="97"/>
  <c r="E60" i="97"/>
  <c r="D60" i="97"/>
  <c r="C60" i="97"/>
  <c r="B60" i="97"/>
  <c r="G58" i="97"/>
  <c r="G57" i="97"/>
  <c r="G56" i="97"/>
  <c r="G55" i="97"/>
  <c r="G54" i="97"/>
  <c r="G53" i="97"/>
  <c r="G52" i="97"/>
  <c r="G51" i="97"/>
  <c r="G50" i="97"/>
  <c r="G49" i="97"/>
  <c r="G48" i="97"/>
  <c r="G47" i="97"/>
  <c r="G46" i="97"/>
  <c r="G45" i="97"/>
  <c r="G44" i="97"/>
  <c r="G43" i="97"/>
  <c r="G42" i="97"/>
  <c r="G41" i="97"/>
  <c r="G40" i="97"/>
  <c r="G39" i="97"/>
  <c r="G38" i="97"/>
  <c r="G37" i="97"/>
  <c r="G36" i="97"/>
  <c r="G35" i="97"/>
  <c r="G34" i="97"/>
  <c r="G33" i="97"/>
  <c r="G32" i="97"/>
  <c r="G31" i="97"/>
  <c r="G30" i="97"/>
  <c r="G29" i="97"/>
  <c r="G28" i="97"/>
  <c r="G27" i="97"/>
  <c r="J26" i="97"/>
  <c r="G26" i="97"/>
  <c r="G25" i="97"/>
  <c r="G24" i="97"/>
  <c r="G23" i="97"/>
  <c r="G22" i="97"/>
  <c r="G21" i="97"/>
  <c r="G20" i="97"/>
  <c r="G19" i="97"/>
  <c r="G18" i="97"/>
  <c r="G17" i="97"/>
  <c r="G16" i="97"/>
  <c r="G15" i="97"/>
  <c r="G14" i="97"/>
  <c r="G13" i="97"/>
  <c r="G12" i="97"/>
  <c r="G11" i="97"/>
  <c r="G10" i="97"/>
  <c r="G9" i="97"/>
  <c r="G8" i="97"/>
  <c r="G7" i="97"/>
  <c r="G6" i="97"/>
  <c r="V60" i="96"/>
  <c r="U60" i="96"/>
  <c r="S60" i="96"/>
  <c r="R60" i="96"/>
  <c r="P60" i="96"/>
  <c r="O60" i="96"/>
  <c r="M60" i="96"/>
  <c r="L60" i="96"/>
  <c r="F60" i="96"/>
  <c r="E60" i="96"/>
  <c r="D60" i="96"/>
  <c r="C60" i="96"/>
  <c r="B60" i="96"/>
  <c r="G58" i="96"/>
  <c r="G57" i="96"/>
  <c r="G56" i="96"/>
  <c r="G55" i="96"/>
  <c r="G54" i="96"/>
  <c r="G53" i="96"/>
  <c r="G52" i="96"/>
  <c r="G51" i="96"/>
  <c r="G50" i="96"/>
  <c r="G49" i="96"/>
  <c r="G48" i="96"/>
  <c r="G47" i="96"/>
  <c r="G46" i="96"/>
  <c r="G45" i="96"/>
  <c r="G44" i="96"/>
  <c r="G43" i="96"/>
  <c r="G42" i="96"/>
  <c r="G41" i="96"/>
  <c r="G40" i="96"/>
  <c r="G39" i="96"/>
  <c r="G38" i="96"/>
  <c r="G37" i="96"/>
  <c r="G36" i="96"/>
  <c r="G35" i="96"/>
  <c r="G34" i="96"/>
  <c r="G33" i="96"/>
  <c r="G32" i="96"/>
  <c r="G31" i="96"/>
  <c r="G30" i="96"/>
  <c r="G29" i="96"/>
  <c r="G28" i="96"/>
  <c r="G27" i="96"/>
  <c r="J26" i="96"/>
  <c r="G26" i="96"/>
  <c r="G25" i="96"/>
  <c r="G24" i="96"/>
  <c r="G23" i="96"/>
  <c r="G22" i="96"/>
  <c r="G21" i="96"/>
  <c r="G20" i="96"/>
  <c r="G19" i="96"/>
  <c r="G18" i="96"/>
  <c r="G17" i="96"/>
  <c r="G16" i="96"/>
  <c r="G15" i="96"/>
  <c r="G14" i="96"/>
  <c r="G13" i="96"/>
  <c r="G12" i="96"/>
  <c r="G11" i="96"/>
  <c r="G10" i="96"/>
  <c r="G9" i="96"/>
  <c r="G8" i="96"/>
  <c r="G7" i="96"/>
  <c r="G6" i="96"/>
  <c r="V60" i="95"/>
  <c r="U60" i="95"/>
  <c r="S60" i="95"/>
  <c r="R60" i="95"/>
  <c r="P60" i="95"/>
  <c r="O60" i="95"/>
  <c r="M60" i="95"/>
  <c r="L60" i="95"/>
  <c r="F60" i="95"/>
  <c r="E60" i="95"/>
  <c r="D60" i="95"/>
  <c r="C60" i="95"/>
  <c r="B60" i="95"/>
  <c r="G58" i="95"/>
  <c r="G57" i="95"/>
  <c r="G56" i="95"/>
  <c r="G55" i="95"/>
  <c r="G54" i="95"/>
  <c r="G53" i="95"/>
  <c r="G52" i="95"/>
  <c r="G51" i="95"/>
  <c r="G50" i="95"/>
  <c r="G49" i="95"/>
  <c r="G48" i="95"/>
  <c r="G47" i="95"/>
  <c r="G46" i="95"/>
  <c r="G45" i="95"/>
  <c r="G44" i="95"/>
  <c r="G43" i="95"/>
  <c r="G42" i="95"/>
  <c r="G41" i="95"/>
  <c r="G40" i="95"/>
  <c r="G39" i="95"/>
  <c r="G38" i="95"/>
  <c r="G37" i="95"/>
  <c r="G36" i="95"/>
  <c r="G35" i="95"/>
  <c r="G34" i="95"/>
  <c r="G33" i="95"/>
  <c r="G32" i="95"/>
  <c r="G31" i="95"/>
  <c r="G30" i="95"/>
  <c r="G29" i="95"/>
  <c r="G28" i="95"/>
  <c r="G27" i="95"/>
  <c r="J26" i="95"/>
  <c r="G26" i="95"/>
  <c r="G25" i="95"/>
  <c r="G24" i="95"/>
  <c r="G23" i="95"/>
  <c r="G22" i="95"/>
  <c r="G21" i="95"/>
  <c r="G20" i="95"/>
  <c r="G19" i="95"/>
  <c r="G18" i="95"/>
  <c r="G17" i="95"/>
  <c r="G16" i="95"/>
  <c r="G15" i="95"/>
  <c r="G14" i="95"/>
  <c r="G13" i="95"/>
  <c r="G12" i="95"/>
  <c r="G11" i="95"/>
  <c r="G10" i="95"/>
  <c r="G9" i="95"/>
  <c r="G8" i="95"/>
  <c r="G7" i="95"/>
  <c r="G6" i="95"/>
  <c r="V60" i="94"/>
  <c r="U60" i="94"/>
  <c r="S60" i="94"/>
  <c r="R60" i="94"/>
  <c r="P60" i="94"/>
  <c r="O60" i="94"/>
  <c r="M60" i="94"/>
  <c r="L60" i="94"/>
  <c r="F60" i="94"/>
  <c r="E60" i="94"/>
  <c r="D60" i="94"/>
  <c r="C60" i="94"/>
  <c r="B60" i="94"/>
  <c r="G58" i="94"/>
  <c r="G57" i="94"/>
  <c r="G56" i="94"/>
  <c r="G55" i="94"/>
  <c r="G54" i="94"/>
  <c r="G53" i="94"/>
  <c r="G52" i="94"/>
  <c r="G51" i="94"/>
  <c r="G50" i="94"/>
  <c r="G49" i="94"/>
  <c r="G48" i="94"/>
  <c r="G47" i="94"/>
  <c r="G46" i="94"/>
  <c r="G45" i="94"/>
  <c r="G44" i="94"/>
  <c r="G43" i="94"/>
  <c r="G42" i="94"/>
  <c r="G41" i="94"/>
  <c r="G40" i="94"/>
  <c r="G39" i="94"/>
  <c r="G38" i="94"/>
  <c r="G37" i="94"/>
  <c r="G36" i="94"/>
  <c r="G35" i="94"/>
  <c r="G34" i="94"/>
  <c r="G33" i="94"/>
  <c r="G32" i="94"/>
  <c r="G31" i="94"/>
  <c r="G30" i="94"/>
  <c r="G29" i="94"/>
  <c r="G28" i="94"/>
  <c r="G27" i="94"/>
  <c r="J26" i="94"/>
  <c r="G26" i="94"/>
  <c r="G25" i="94"/>
  <c r="G24" i="94"/>
  <c r="G23" i="94"/>
  <c r="G22" i="94"/>
  <c r="G21" i="94"/>
  <c r="G20" i="94"/>
  <c r="G19" i="94"/>
  <c r="G18" i="94"/>
  <c r="G17" i="94"/>
  <c r="G16" i="94"/>
  <c r="G15" i="94"/>
  <c r="G14" i="94"/>
  <c r="G13" i="94"/>
  <c r="G12" i="94"/>
  <c r="G11" i="94"/>
  <c r="G10" i="94"/>
  <c r="G9" i="94"/>
  <c r="G8" i="94"/>
  <c r="G7" i="94"/>
  <c r="G6" i="94"/>
  <c r="V60" i="93"/>
  <c r="U60" i="93"/>
  <c r="S60" i="93"/>
  <c r="R60" i="93"/>
  <c r="P60" i="93"/>
  <c r="O60" i="93"/>
  <c r="M60" i="93"/>
  <c r="L60" i="93"/>
  <c r="F60" i="93"/>
  <c r="E60" i="93"/>
  <c r="D60" i="93"/>
  <c r="C60" i="93"/>
  <c r="B60" i="93"/>
  <c r="G58" i="93"/>
  <c r="G57" i="93"/>
  <c r="G56" i="93"/>
  <c r="G55" i="93"/>
  <c r="G54" i="93"/>
  <c r="G53" i="93"/>
  <c r="G52" i="93"/>
  <c r="G51" i="93"/>
  <c r="G50" i="93"/>
  <c r="G49" i="93"/>
  <c r="G48" i="93"/>
  <c r="G47" i="93"/>
  <c r="G46" i="93"/>
  <c r="G45" i="93"/>
  <c r="G44" i="93"/>
  <c r="G43" i="93"/>
  <c r="G42" i="93"/>
  <c r="G41" i="93"/>
  <c r="G40" i="93"/>
  <c r="G39" i="93"/>
  <c r="G38" i="93"/>
  <c r="G37" i="93"/>
  <c r="G36" i="93"/>
  <c r="G35" i="93"/>
  <c r="G34" i="93"/>
  <c r="G33" i="93"/>
  <c r="G32" i="93"/>
  <c r="G31" i="93"/>
  <c r="G30" i="93"/>
  <c r="G29" i="93"/>
  <c r="G28" i="93"/>
  <c r="G27" i="93"/>
  <c r="J26" i="93"/>
  <c r="G26" i="93"/>
  <c r="G25" i="93"/>
  <c r="G24" i="93"/>
  <c r="G23" i="93"/>
  <c r="G22" i="93"/>
  <c r="G21" i="93"/>
  <c r="G20" i="93"/>
  <c r="G19" i="93"/>
  <c r="G18" i="93"/>
  <c r="G17" i="93"/>
  <c r="G16" i="93"/>
  <c r="G15" i="93"/>
  <c r="G14" i="93"/>
  <c r="G13" i="93"/>
  <c r="G12" i="93"/>
  <c r="G11" i="93"/>
  <c r="G10" i="93"/>
  <c r="G9" i="93"/>
  <c r="G8" i="93"/>
  <c r="G7" i="93"/>
  <c r="G6" i="93"/>
  <c r="V60" i="92"/>
  <c r="U60" i="92"/>
  <c r="S60" i="92"/>
  <c r="R60" i="92"/>
  <c r="P60" i="92"/>
  <c r="O60" i="92"/>
  <c r="M60" i="92"/>
  <c r="L60" i="92"/>
  <c r="F60" i="92"/>
  <c r="E60" i="92"/>
  <c r="D60" i="92"/>
  <c r="C60" i="92"/>
  <c r="B60" i="92"/>
  <c r="G58" i="92"/>
  <c r="G57" i="92"/>
  <c r="G56" i="92"/>
  <c r="G55" i="92"/>
  <c r="G54" i="92"/>
  <c r="G53" i="92"/>
  <c r="G52" i="92"/>
  <c r="G51" i="92"/>
  <c r="G50" i="92"/>
  <c r="G49" i="92"/>
  <c r="G48" i="92"/>
  <c r="G47" i="92"/>
  <c r="G46" i="92"/>
  <c r="G45" i="92"/>
  <c r="G44" i="92"/>
  <c r="G43" i="92"/>
  <c r="G42" i="92"/>
  <c r="G41" i="92"/>
  <c r="G40" i="92"/>
  <c r="G39" i="92"/>
  <c r="G38" i="92"/>
  <c r="G37" i="92"/>
  <c r="G36" i="92"/>
  <c r="G35" i="92"/>
  <c r="G34" i="92"/>
  <c r="G33" i="92"/>
  <c r="G32" i="92"/>
  <c r="G31" i="92"/>
  <c r="G30" i="92"/>
  <c r="G29" i="92"/>
  <c r="G28" i="92"/>
  <c r="G27" i="92"/>
  <c r="J26" i="92"/>
  <c r="G26" i="92"/>
  <c r="G25" i="92"/>
  <c r="G24" i="92"/>
  <c r="G23" i="92"/>
  <c r="G22" i="92"/>
  <c r="G21" i="92"/>
  <c r="G20" i="92"/>
  <c r="G19" i="92"/>
  <c r="G18" i="92"/>
  <c r="G17" i="92"/>
  <c r="G16" i="92"/>
  <c r="G15" i="92"/>
  <c r="G14" i="92"/>
  <c r="G13" i="92"/>
  <c r="G12" i="92"/>
  <c r="G11" i="92"/>
  <c r="G10" i="92"/>
  <c r="G9" i="92"/>
  <c r="G8" i="92"/>
  <c r="G7" i="92"/>
  <c r="G6" i="92"/>
  <c r="V60" i="91"/>
  <c r="U60" i="91"/>
  <c r="S60" i="91"/>
  <c r="R60" i="91"/>
  <c r="P60" i="91"/>
  <c r="O60" i="91"/>
  <c r="M60" i="91"/>
  <c r="L60" i="91"/>
  <c r="F60" i="91"/>
  <c r="E60" i="91"/>
  <c r="D60" i="91"/>
  <c r="C60" i="91"/>
  <c r="B60" i="91"/>
  <c r="G58" i="91"/>
  <c r="G57" i="91"/>
  <c r="G56" i="91"/>
  <c r="G55" i="91"/>
  <c r="G54" i="91"/>
  <c r="G53" i="91"/>
  <c r="G52" i="91"/>
  <c r="G51" i="91"/>
  <c r="G50" i="91"/>
  <c r="G49" i="91"/>
  <c r="G48" i="91"/>
  <c r="G47" i="91"/>
  <c r="G46" i="91"/>
  <c r="G45" i="91"/>
  <c r="G44" i="91"/>
  <c r="G43" i="91"/>
  <c r="G42" i="91"/>
  <c r="G41" i="91"/>
  <c r="G40" i="91"/>
  <c r="G39" i="91"/>
  <c r="G38" i="91"/>
  <c r="G37" i="91"/>
  <c r="G36" i="91"/>
  <c r="G35" i="91"/>
  <c r="G34" i="91"/>
  <c r="G33" i="91"/>
  <c r="G32" i="91"/>
  <c r="G31" i="91"/>
  <c r="G30" i="91"/>
  <c r="G29" i="91"/>
  <c r="G28" i="91"/>
  <c r="G27" i="91"/>
  <c r="J26" i="91"/>
  <c r="G26" i="91"/>
  <c r="G25" i="91"/>
  <c r="G24" i="91"/>
  <c r="G23" i="91"/>
  <c r="G22" i="91"/>
  <c r="G21" i="91"/>
  <c r="G20" i="91"/>
  <c r="G19" i="91"/>
  <c r="G18" i="91"/>
  <c r="G17" i="91"/>
  <c r="G16" i="91"/>
  <c r="G15" i="91"/>
  <c r="G14" i="91"/>
  <c r="G13" i="91"/>
  <c r="G12" i="91"/>
  <c r="G11" i="91"/>
  <c r="G10" i="91"/>
  <c r="G9" i="91"/>
  <c r="G8" i="91"/>
  <c r="G7" i="91"/>
  <c r="G6" i="91"/>
  <c r="V60" i="90"/>
  <c r="U60" i="90"/>
  <c r="S60" i="90"/>
  <c r="R60" i="90"/>
  <c r="P60" i="90"/>
  <c r="O60" i="90"/>
  <c r="M60" i="90"/>
  <c r="L60" i="90"/>
  <c r="F60" i="90"/>
  <c r="E60" i="90"/>
  <c r="D60" i="90"/>
  <c r="C60" i="90"/>
  <c r="B60" i="90"/>
  <c r="G58" i="90"/>
  <c r="G57" i="90"/>
  <c r="G56" i="90"/>
  <c r="G55" i="90"/>
  <c r="G54" i="90"/>
  <c r="G53" i="90"/>
  <c r="G52" i="90"/>
  <c r="G51" i="90"/>
  <c r="G50" i="90"/>
  <c r="G49" i="90"/>
  <c r="G48" i="90"/>
  <c r="G47" i="90"/>
  <c r="G46" i="90"/>
  <c r="G45" i="90"/>
  <c r="G44" i="90"/>
  <c r="G43" i="90"/>
  <c r="G42" i="90"/>
  <c r="G41" i="90"/>
  <c r="G40" i="90"/>
  <c r="G39" i="90"/>
  <c r="G38" i="90"/>
  <c r="G37" i="90"/>
  <c r="G36" i="90"/>
  <c r="G35" i="90"/>
  <c r="G34" i="90"/>
  <c r="G33" i="90"/>
  <c r="G32" i="90"/>
  <c r="G31" i="90"/>
  <c r="G30" i="90"/>
  <c r="G29" i="90"/>
  <c r="G28" i="90"/>
  <c r="G27" i="90"/>
  <c r="J26" i="90"/>
  <c r="G26" i="90"/>
  <c r="G25" i="90"/>
  <c r="G24" i="90"/>
  <c r="G23" i="90"/>
  <c r="G22" i="90"/>
  <c r="G21" i="90"/>
  <c r="G20" i="90"/>
  <c r="G19" i="90"/>
  <c r="G18" i="90"/>
  <c r="G17" i="90"/>
  <c r="G16" i="90"/>
  <c r="G15" i="90"/>
  <c r="G14" i="90"/>
  <c r="G13" i="90"/>
  <c r="G12" i="90"/>
  <c r="G11" i="90"/>
  <c r="G10" i="90"/>
  <c r="G9" i="90"/>
  <c r="G8" i="90"/>
  <c r="G7" i="90"/>
  <c r="G6" i="90"/>
  <c r="V60" i="89"/>
  <c r="U60" i="89"/>
  <c r="S60" i="89"/>
  <c r="R60" i="89"/>
  <c r="P60" i="89"/>
  <c r="O60" i="89"/>
  <c r="M60" i="89"/>
  <c r="L60" i="89"/>
  <c r="F60" i="89"/>
  <c r="E60" i="89"/>
  <c r="D60" i="89"/>
  <c r="C60" i="89"/>
  <c r="B60" i="89"/>
  <c r="G58" i="89"/>
  <c r="G57" i="89"/>
  <c r="G56" i="89"/>
  <c r="G55" i="89"/>
  <c r="G54" i="89"/>
  <c r="G53" i="89"/>
  <c r="G52" i="89"/>
  <c r="G51" i="89"/>
  <c r="G50" i="89"/>
  <c r="G49" i="89"/>
  <c r="G48" i="89"/>
  <c r="G47" i="89"/>
  <c r="G46" i="89"/>
  <c r="G45" i="89"/>
  <c r="G44" i="89"/>
  <c r="G43" i="89"/>
  <c r="G42" i="89"/>
  <c r="G41" i="89"/>
  <c r="G40" i="89"/>
  <c r="G39" i="89"/>
  <c r="G38" i="89"/>
  <c r="G37" i="89"/>
  <c r="G36" i="89"/>
  <c r="G35" i="89"/>
  <c r="G34" i="89"/>
  <c r="G33" i="89"/>
  <c r="G32" i="89"/>
  <c r="G31" i="89"/>
  <c r="G30" i="89"/>
  <c r="G29" i="89"/>
  <c r="G28" i="89"/>
  <c r="G27" i="89"/>
  <c r="J26" i="89"/>
  <c r="G26" i="89"/>
  <c r="G25" i="89"/>
  <c r="G24" i="89"/>
  <c r="G23" i="89"/>
  <c r="G22" i="89"/>
  <c r="G21" i="89"/>
  <c r="G20" i="89"/>
  <c r="G19" i="89"/>
  <c r="G18" i="89"/>
  <c r="G17" i="89"/>
  <c r="G16" i="89"/>
  <c r="G15" i="89"/>
  <c r="G14" i="89"/>
  <c r="G13" i="89"/>
  <c r="G12" i="89"/>
  <c r="G11" i="89"/>
  <c r="G10" i="89"/>
  <c r="G9" i="89"/>
  <c r="G8" i="89"/>
  <c r="G7" i="89"/>
  <c r="G6" i="89"/>
  <c r="V60" i="88"/>
  <c r="U60" i="88"/>
  <c r="S60" i="88"/>
  <c r="R60" i="88"/>
  <c r="P60" i="88"/>
  <c r="O60" i="88"/>
  <c r="M60" i="88"/>
  <c r="L60" i="88"/>
  <c r="F60" i="88"/>
  <c r="E60" i="88"/>
  <c r="D60" i="88"/>
  <c r="C60" i="88"/>
  <c r="B60" i="88"/>
  <c r="G58" i="88"/>
  <c r="G57" i="88"/>
  <c r="G56" i="88"/>
  <c r="G55" i="88"/>
  <c r="G54" i="88"/>
  <c r="G53" i="88"/>
  <c r="G52" i="88"/>
  <c r="G51" i="88"/>
  <c r="G50" i="88"/>
  <c r="G49" i="88"/>
  <c r="G48" i="88"/>
  <c r="G47" i="88"/>
  <c r="G46" i="88"/>
  <c r="G45" i="88"/>
  <c r="G44" i="88"/>
  <c r="G43" i="88"/>
  <c r="G42" i="88"/>
  <c r="G41" i="88"/>
  <c r="G40" i="88"/>
  <c r="G39" i="88"/>
  <c r="G38" i="88"/>
  <c r="G37" i="88"/>
  <c r="G36" i="88"/>
  <c r="G35" i="88"/>
  <c r="G34" i="88"/>
  <c r="G33" i="88"/>
  <c r="G32" i="88"/>
  <c r="G31" i="88"/>
  <c r="G30" i="88"/>
  <c r="G29" i="88"/>
  <c r="G28" i="88"/>
  <c r="G27" i="88"/>
  <c r="J26" i="88"/>
  <c r="G26" i="88"/>
  <c r="G25" i="88"/>
  <c r="G24" i="88"/>
  <c r="G23" i="88"/>
  <c r="G22" i="88"/>
  <c r="G21" i="88"/>
  <c r="G20" i="88"/>
  <c r="G19" i="88"/>
  <c r="G18" i="88"/>
  <c r="G17" i="88"/>
  <c r="G16" i="88"/>
  <c r="G15" i="88"/>
  <c r="G14" i="88"/>
  <c r="G13" i="88"/>
  <c r="G12" i="88"/>
  <c r="G11" i="88"/>
  <c r="G10" i="88"/>
  <c r="G9" i="88"/>
  <c r="G8" i="88"/>
  <c r="G7" i="88"/>
  <c r="G6" i="88"/>
  <c r="V60" i="87"/>
  <c r="U60" i="87"/>
  <c r="S60" i="87"/>
  <c r="R60" i="87"/>
  <c r="P60" i="87"/>
  <c r="O60" i="87"/>
  <c r="M60" i="87"/>
  <c r="L60" i="87"/>
  <c r="F60" i="87"/>
  <c r="E60" i="87"/>
  <c r="D60" i="87"/>
  <c r="C60" i="87"/>
  <c r="B60" i="87"/>
  <c r="G58" i="87"/>
  <c r="G57" i="87"/>
  <c r="G56" i="87"/>
  <c r="G55" i="87"/>
  <c r="G54" i="87"/>
  <c r="G53" i="87"/>
  <c r="G52" i="87"/>
  <c r="G51" i="87"/>
  <c r="G50" i="87"/>
  <c r="G49" i="87"/>
  <c r="G48" i="87"/>
  <c r="G47" i="87"/>
  <c r="G46" i="87"/>
  <c r="G45" i="87"/>
  <c r="G44" i="87"/>
  <c r="G43" i="87"/>
  <c r="G42" i="87"/>
  <c r="G41" i="87"/>
  <c r="G40" i="87"/>
  <c r="G39" i="87"/>
  <c r="G38" i="87"/>
  <c r="G37" i="87"/>
  <c r="G36" i="87"/>
  <c r="G35" i="87"/>
  <c r="G34" i="87"/>
  <c r="G33" i="87"/>
  <c r="G32" i="87"/>
  <c r="G31" i="87"/>
  <c r="G30" i="87"/>
  <c r="G29" i="87"/>
  <c r="G28" i="87"/>
  <c r="G27" i="87"/>
  <c r="J26" i="87"/>
  <c r="G26" i="87"/>
  <c r="G25" i="87"/>
  <c r="G24" i="87"/>
  <c r="G23" i="87"/>
  <c r="G22" i="87"/>
  <c r="G21" i="87"/>
  <c r="G20" i="87"/>
  <c r="G19" i="87"/>
  <c r="G18" i="87"/>
  <c r="G17" i="87"/>
  <c r="G16" i="87"/>
  <c r="G15" i="87"/>
  <c r="G14" i="87"/>
  <c r="G13" i="87"/>
  <c r="G12" i="87"/>
  <c r="G11" i="87"/>
  <c r="G10" i="87"/>
  <c r="G9" i="87"/>
  <c r="G8" i="87"/>
  <c r="G7" i="87"/>
  <c r="G6" i="87"/>
  <c r="V60" i="86"/>
  <c r="U60" i="86"/>
  <c r="S60" i="86"/>
  <c r="R60" i="86"/>
  <c r="P60" i="86"/>
  <c r="O60" i="86"/>
  <c r="M60" i="86"/>
  <c r="L60" i="86"/>
  <c r="F60" i="86"/>
  <c r="E60" i="86"/>
  <c r="D60" i="86"/>
  <c r="C60" i="86"/>
  <c r="B60" i="86"/>
  <c r="G58" i="86"/>
  <c r="G57" i="86"/>
  <c r="G56" i="86"/>
  <c r="G55" i="86"/>
  <c r="G54" i="86"/>
  <c r="G53" i="86"/>
  <c r="G52" i="86"/>
  <c r="G51" i="86"/>
  <c r="G50" i="86"/>
  <c r="G49" i="86"/>
  <c r="G48" i="86"/>
  <c r="G47" i="86"/>
  <c r="G46" i="86"/>
  <c r="G45" i="86"/>
  <c r="G44" i="86"/>
  <c r="G43" i="86"/>
  <c r="G42" i="86"/>
  <c r="G41" i="86"/>
  <c r="G40" i="86"/>
  <c r="G39" i="86"/>
  <c r="G38" i="86"/>
  <c r="G37" i="86"/>
  <c r="G36" i="86"/>
  <c r="G35" i="86"/>
  <c r="G34" i="86"/>
  <c r="G33" i="86"/>
  <c r="G32" i="86"/>
  <c r="G31" i="86"/>
  <c r="G30" i="86"/>
  <c r="G29" i="86"/>
  <c r="G28" i="86"/>
  <c r="G27" i="86"/>
  <c r="J26" i="86"/>
  <c r="G26" i="86"/>
  <c r="G25" i="86"/>
  <c r="G24" i="86"/>
  <c r="G23" i="86"/>
  <c r="G22" i="86"/>
  <c r="G21" i="86"/>
  <c r="G20" i="86"/>
  <c r="G19" i="86"/>
  <c r="G18" i="86"/>
  <c r="G17" i="86"/>
  <c r="G16" i="86"/>
  <c r="G15" i="86"/>
  <c r="G14" i="86"/>
  <c r="G13" i="86"/>
  <c r="G12" i="86"/>
  <c r="G11" i="86"/>
  <c r="G10" i="86"/>
  <c r="G9" i="86"/>
  <c r="G8" i="86"/>
  <c r="G7" i="86"/>
  <c r="G6" i="86"/>
  <c r="V60" i="85"/>
  <c r="U60" i="85"/>
  <c r="S60" i="85"/>
  <c r="R60" i="85"/>
  <c r="P60" i="85"/>
  <c r="O60" i="85"/>
  <c r="M60" i="85"/>
  <c r="L60" i="85"/>
  <c r="F60" i="85"/>
  <c r="E60" i="85"/>
  <c r="D60" i="85"/>
  <c r="C60" i="85"/>
  <c r="B60" i="85"/>
  <c r="G58" i="85"/>
  <c r="G57" i="85"/>
  <c r="G56" i="85"/>
  <c r="G55" i="85"/>
  <c r="G54" i="85"/>
  <c r="G53" i="85"/>
  <c r="G52" i="85"/>
  <c r="G51" i="85"/>
  <c r="G50" i="85"/>
  <c r="G49" i="85"/>
  <c r="G48" i="85"/>
  <c r="G47" i="85"/>
  <c r="G46" i="85"/>
  <c r="G45" i="85"/>
  <c r="G44" i="85"/>
  <c r="G43" i="85"/>
  <c r="G42" i="85"/>
  <c r="G41" i="85"/>
  <c r="G40" i="85"/>
  <c r="G39" i="85"/>
  <c r="G38" i="85"/>
  <c r="G37" i="85"/>
  <c r="G36" i="85"/>
  <c r="G35" i="85"/>
  <c r="G34" i="85"/>
  <c r="G33" i="85"/>
  <c r="G32" i="85"/>
  <c r="G31" i="85"/>
  <c r="G30" i="85"/>
  <c r="G29" i="85"/>
  <c r="G28" i="85"/>
  <c r="G27" i="85"/>
  <c r="J26" i="85"/>
  <c r="G26" i="85"/>
  <c r="G25" i="85"/>
  <c r="G24" i="85"/>
  <c r="G23" i="85"/>
  <c r="G22" i="85"/>
  <c r="G21" i="85"/>
  <c r="G20" i="85"/>
  <c r="G19" i="85"/>
  <c r="G18" i="85"/>
  <c r="G17" i="85"/>
  <c r="G16" i="85"/>
  <c r="G15" i="85"/>
  <c r="G14" i="85"/>
  <c r="G13" i="85"/>
  <c r="G12" i="85"/>
  <c r="G11" i="85"/>
  <c r="G10" i="85"/>
  <c r="G9" i="85"/>
  <c r="G8" i="85"/>
  <c r="G7" i="85"/>
  <c r="G6" i="85"/>
  <c r="V60" i="84"/>
  <c r="U60" i="84"/>
  <c r="S60" i="84"/>
  <c r="R60" i="84"/>
  <c r="P60" i="84"/>
  <c r="O60" i="84"/>
  <c r="M60" i="84"/>
  <c r="L60" i="84"/>
  <c r="F60" i="84"/>
  <c r="E60" i="84"/>
  <c r="D60" i="84"/>
  <c r="C60" i="84"/>
  <c r="B60" i="84"/>
  <c r="G58" i="84"/>
  <c r="G57" i="84"/>
  <c r="G56" i="84"/>
  <c r="G55" i="84"/>
  <c r="G54" i="84"/>
  <c r="G53" i="84"/>
  <c r="G52" i="84"/>
  <c r="G51" i="84"/>
  <c r="G50" i="84"/>
  <c r="G49" i="84"/>
  <c r="G48" i="84"/>
  <c r="G47" i="84"/>
  <c r="G46" i="84"/>
  <c r="G45" i="84"/>
  <c r="G44" i="84"/>
  <c r="G43" i="84"/>
  <c r="G42" i="84"/>
  <c r="G41" i="84"/>
  <c r="G40" i="84"/>
  <c r="G39" i="84"/>
  <c r="G38" i="84"/>
  <c r="G37" i="84"/>
  <c r="G36" i="84"/>
  <c r="G35" i="84"/>
  <c r="G34" i="84"/>
  <c r="G33" i="84"/>
  <c r="G32" i="84"/>
  <c r="G31" i="84"/>
  <c r="G30" i="84"/>
  <c r="G29" i="84"/>
  <c r="G28" i="84"/>
  <c r="G27" i="84"/>
  <c r="J26" i="84"/>
  <c r="G26" i="84"/>
  <c r="G25" i="84"/>
  <c r="G24" i="84"/>
  <c r="G23" i="84"/>
  <c r="G22" i="84"/>
  <c r="G21" i="84"/>
  <c r="G20" i="84"/>
  <c r="G19" i="84"/>
  <c r="G18" i="84"/>
  <c r="G17" i="84"/>
  <c r="G16" i="84"/>
  <c r="G15" i="84"/>
  <c r="G14" i="84"/>
  <c r="G13" i="84"/>
  <c r="G12" i="84"/>
  <c r="G11" i="84"/>
  <c r="G10" i="84"/>
  <c r="G9" i="84"/>
  <c r="G8" i="84"/>
  <c r="G7" i="84"/>
  <c r="G6" i="84"/>
  <c r="V60" i="83"/>
  <c r="U60" i="83"/>
  <c r="S60" i="83"/>
  <c r="R60" i="83"/>
  <c r="P60" i="83"/>
  <c r="O60" i="83"/>
  <c r="M60" i="83"/>
  <c r="L60" i="83"/>
  <c r="F60" i="83"/>
  <c r="E60" i="83"/>
  <c r="D60" i="83"/>
  <c r="C60" i="83"/>
  <c r="B60" i="83"/>
  <c r="G58" i="83"/>
  <c r="G57" i="83"/>
  <c r="G56" i="83"/>
  <c r="G55" i="83"/>
  <c r="G54" i="83"/>
  <c r="G53" i="83"/>
  <c r="G52" i="83"/>
  <c r="G51" i="83"/>
  <c r="G50" i="83"/>
  <c r="G49" i="83"/>
  <c r="G48" i="83"/>
  <c r="G47" i="83"/>
  <c r="G46" i="83"/>
  <c r="G45" i="83"/>
  <c r="G44" i="83"/>
  <c r="G43" i="83"/>
  <c r="G42" i="83"/>
  <c r="G41" i="83"/>
  <c r="G40" i="83"/>
  <c r="G39" i="83"/>
  <c r="G38" i="83"/>
  <c r="G37" i="83"/>
  <c r="G36" i="83"/>
  <c r="G35" i="83"/>
  <c r="G34" i="83"/>
  <c r="G33" i="83"/>
  <c r="G32" i="83"/>
  <c r="G31" i="83"/>
  <c r="G30" i="83"/>
  <c r="G29" i="83"/>
  <c r="G28" i="83"/>
  <c r="G27" i="83"/>
  <c r="J26" i="83"/>
  <c r="G26" i="83"/>
  <c r="G25" i="83"/>
  <c r="G24" i="83"/>
  <c r="G23" i="83"/>
  <c r="G22" i="83"/>
  <c r="G21" i="83"/>
  <c r="G20" i="83"/>
  <c r="G19" i="83"/>
  <c r="G18" i="83"/>
  <c r="G17" i="83"/>
  <c r="G16" i="83"/>
  <c r="G15" i="83"/>
  <c r="G14" i="83"/>
  <c r="G13" i="83"/>
  <c r="G12" i="83"/>
  <c r="G11" i="83"/>
  <c r="G10" i="83"/>
  <c r="G9" i="83"/>
  <c r="G8" i="83"/>
  <c r="G7" i="83"/>
  <c r="G6" i="83"/>
  <c r="V60" i="82"/>
  <c r="U60" i="82"/>
  <c r="S60" i="82"/>
  <c r="R60" i="82"/>
  <c r="P60" i="82"/>
  <c r="O60" i="82"/>
  <c r="M60" i="82"/>
  <c r="L60" i="82"/>
  <c r="F60" i="82"/>
  <c r="E60" i="82"/>
  <c r="D60" i="82"/>
  <c r="C60" i="82"/>
  <c r="B60" i="82"/>
  <c r="G58" i="82"/>
  <c r="G57" i="82"/>
  <c r="G56" i="82"/>
  <c r="G55" i="82"/>
  <c r="G54" i="82"/>
  <c r="G53" i="82"/>
  <c r="G52" i="82"/>
  <c r="G51" i="82"/>
  <c r="G50" i="82"/>
  <c r="G49" i="82"/>
  <c r="G48" i="82"/>
  <c r="G47" i="82"/>
  <c r="G46" i="82"/>
  <c r="G45" i="82"/>
  <c r="G44" i="82"/>
  <c r="G43" i="82"/>
  <c r="G42" i="82"/>
  <c r="G41" i="82"/>
  <c r="G40" i="82"/>
  <c r="G39" i="82"/>
  <c r="G38" i="82"/>
  <c r="G37" i="82"/>
  <c r="G36" i="82"/>
  <c r="G35" i="82"/>
  <c r="G34" i="82"/>
  <c r="G33" i="82"/>
  <c r="G32" i="82"/>
  <c r="G31" i="82"/>
  <c r="G30" i="82"/>
  <c r="G29" i="82"/>
  <c r="G28" i="82"/>
  <c r="G27" i="82"/>
  <c r="J26" i="82"/>
  <c r="G26" i="82"/>
  <c r="G25" i="82"/>
  <c r="G24" i="82"/>
  <c r="G23" i="82"/>
  <c r="G22" i="82"/>
  <c r="G21" i="82"/>
  <c r="G20" i="82"/>
  <c r="G19" i="82"/>
  <c r="G18" i="82"/>
  <c r="G17" i="82"/>
  <c r="G16" i="82"/>
  <c r="G15" i="82"/>
  <c r="G14" i="82"/>
  <c r="G13" i="82"/>
  <c r="G12" i="82"/>
  <c r="G11" i="82"/>
  <c r="G10" i="82"/>
  <c r="G9" i="82"/>
  <c r="G8" i="82"/>
  <c r="G7" i="82"/>
  <c r="G6" i="82"/>
  <c r="V60" i="81"/>
  <c r="U60" i="81"/>
  <c r="S60" i="81"/>
  <c r="R60" i="81"/>
  <c r="P60" i="81"/>
  <c r="O60" i="81"/>
  <c r="M60" i="81"/>
  <c r="L60" i="81"/>
  <c r="F60" i="81"/>
  <c r="E60" i="81"/>
  <c r="D60" i="81"/>
  <c r="C60" i="81"/>
  <c r="B60" i="81"/>
  <c r="G58" i="81"/>
  <c r="G57" i="81"/>
  <c r="G56" i="81"/>
  <c r="G55" i="81"/>
  <c r="G54" i="81"/>
  <c r="G53" i="81"/>
  <c r="G52" i="81"/>
  <c r="G51" i="81"/>
  <c r="G50" i="81"/>
  <c r="G49" i="81"/>
  <c r="G48" i="81"/>
  <c r="G47" i="81"/>
  <c r="G46" i="81"/>
  <c r="G45" i="81"/>
  <c r="G44" i="81"/>
  <c r="G43" i="81"/>
  <c r="G42" i="81"/>
  <c r="G41" i="81"/>
  <c r="G40" i="81"/>
  <c r="G39" i="81"/>
  <c r="G38" i="81"/>
  <c r="G37" i="81"/>
  <c r="G36" i="81"/>
  <c r="G35" i="81"/>
  <c r="G34" i="81"/>
  <c r="G33" i="81"/>
  <c r="G32" i="81"/>
  <c r="G31" i="81"/>
  <c r="G30" i="81"/>
  <c r="G29" i="81"/>
  <c r="G28" i="81"/>
  <c r="G27" i="81"/>
  <c r="J26" i="81"/>
  <c r="G26" i="81"/>
  <c r="G25" i="81"/>
  <c r="G24" i="81"/>
  <c r="G23" i="81"/>
  <c r="G22" i="81"/>
  <c r="G21" i="81"/>
  <c r="G20" i="81"/>
  <c r="G19" i="81"/>
  <c r="G18" i="81"/>
  <c r="G17" i="81"/>
  <c r="G16" i="81"/>
  <c r="G15" i="81"/>
  <c r="G14" i="81"/>
  <c r="G13" i="81"/>
  <c r="G12" i="81"/>
  <c r="G11" i="81"/>
  <c r="G10" i="81"/>
  <c r="G9" i="81"/>
  <c r="G8" i="81"/>
  <c r="G7" i="81"/>
  <c r="G6" i="81"/>
  <c r="V60" i="80"/>
  <c r="U60" i="80"/>
  <c r="S60" i="80"/>
  <c r="R60" i="80"/>
  <c r="P60" i="80"/>
  <c r="O60" i="80"/>
  <c r="M60" i="80"/>
  <c r="L60" i="80"/>
  <c r="F60" i="80"/>
  <c r="E60" i="80"/>
  <c r="D60" i="80"/>
  <c r="C60" i="80"/>
  <c r="B60" i="80"/>
  <c r="G58" i="80"/>
  <c r="G57" i="80"/>
  <c r="G56" i="80"/>
  <c r="G55" i="80"/>
  <c r="G54" i="80"/>
  <c r="G53" i="80"/>
  <c r="G52" i="80"/>
  <c r="G51" i="80"/>
  <c r="G50" i="80"/>
  <c r="G49" i="80"/>
  <c r="G48" i="80"/>
  <c r="G47" i="80"/>
  <c r="G46" i="80"/>
  <c r="G45" i="80"/>
  <c r="G44" i="80"/>
  <c r="G43" i="80"/>
  <c r="G42" i="80"/>
  <c r="G41" i="80"/>
  <c r="G40" i="80"/>
  <c r="G39" i="80"/>
  <c r="G38" i="80"/>
  <c r="G37" i="80"/>
  <c r="G36" i="80"/>
  <c r="G35" i="80"/>
  <c r="G34" i="80"/>
  <c r="G33" i="80"/>
  <c r="G32" i="80"/>
  <c r="G31" i="80"/>
  <c r="G30" i="80"/>
  <c r="G29" i="80"/>
  <c r="G28" i="80"/>
  <c r="G27" i="80"/>
  <c r="J26" i="80"/>
  <c r="G26" i="80"/>
  <c r="G25" i="80"/>
  <c r="G24" i="80"/>
  <c r="G23" i="80"/>
  <c r="G22" i="80"/>
  <c r="G21" i="80"/>
  <c r="G20" i="80"/>
  <c r="G19" i="80"/>
  <c r="G18" i="80"/>
  <c r="G17" i="80"/>
  <c r="G16" i="80"/>
  <c r="G15" i="80"/>
  <c r="G14" i="80"/>
  <c r="G13" i="80"/>
  <c r="G12" i="80"/>
  <c r="G11" i="80"/>
  <c r="G10" i="80"/>
  <c r="G9" i="80"/>
  <c r="G8" i="80"/>
  <c r="G7" i="80"/>
  <c r="G6" i="80"/>
  <c r="V60" i="79"/>
  <c r="U60" i="79"/>
  <c r="S60" i="79"/>
  <c r="R60" i="79"/>
  <c r="P60" i="79"/>
  <c r="O60" i="79"/>
  <c r="M60" i="79"/>
  <c r="L60" i="79"/>
  <c r="F60" i="79"/>
  <c r="E60" i="79"/>
  <c r="D60" i="79"/>
  <c r="C60" i="79"/>
  <c r="B60" i="79"/>
  <c r="G58" i="79"/>
  <c r="G57" i="79"/>
  <c r="G56" i="79"/>
  <c r="G55" i="79"/>
  <c r="G54" i="79"/>
  <c r="G53" i="79"/>
  <c r="G52" i="79"/>
  <c r="G51" i="79"/>
  <c r="G50" i="79"/>
  <c r="G49" i="79"/>
  <c r="G48" i="79"/>
  <c r="G47" i="79"/>
  <c r="G46" i="79"/>
  <c r="G45" i="79"/>
  <c r="G44" i="79"/>
  <c r="G43" i="79"/>
  <c r="G42" i="79"/>
  <c r="G41" i="79"/>
  <c r="G40" i="79"/>
  <c r="G39" i="79"/>
  <c r="G38" i="79"/>
  <c r="G37" i="79"/>
  <c r="G36" i="79"/>
  <c r="G35" i="79"/>
  <c r="G34" i="79"/>
  <c r="G33" i="79"/>
  <c r="G32" i="79"/>
  <c r="G31" i="79"/>
  <c r="G30" i="79"/>
  <c r="G29" i="79"/>
  <c r="G28" i="79"/>
  <c r="G27" i="79"/>
  <c r="J26" i="79"/>
  <c r="G26" i="79"/>
  <c r="G25" i="79"/>
  <c r="G24" i="79"/>
  <c r="G23" i="79"/>
  <c r="G22" i="79"/>
  <c r="G21" i="79"/>
  <c r="G20" i="79"/>
  <c r="G19" i="79"/>
  <c r="G18" i="79"/>
  <c r="G17" i="79"/>
  <c r="G16" i="79"/>
  <c r="G15" i="79"/>
  <c r="G14" i="79"/>
  <c r="G13" i="79"/>
  <c r="G12" i="79"/>
  <c r="G11" i="79"/>
  <c r="G10" i="79"/>
  <c r="G9" i="79"/>
  <c r="G8" i="79"/>
  <c r="G7" i="79"/>
  <c r="G6" i="79"/>
  <c r="V60" i="78"/>
  <c r="U60" i="78"/>
  <c r="S60" i="78"/>
  <c r="R60" i="78"/>
  <c r="P60" i="78"/>
  <c r="O60" i="78"/>
  <c r="M60" i="78"/>
  <c r="L60" i="78"/>
  <c r="F60" i="78"/>
  <c r="E60" i="78"/>
  <c r="D60" i="78"/>
  <c r="C60" i="78"/>
  <c r="B60" i="78"/>
  <c r="G58" i="78"/>
  <c r="G57" i="78"/>
  <c r="G56" i="78"/>
  <c r="G55" i="78"/>
  <c r="G54" i="78"/>
  <c r="G53" i="78"/>
  <c r="G52" i="78"/>
  <c r="G51" i="78"/>
  <c r="G50" i="78"/>
  <c r="G49" i="78"/>
  <c r="G48" i="78"/>
  <c r="G47" i="78"/>
  <c r="G46" i="78"/>
  <c r="G45" i="78"/>
  <c r="G44" i="78"/>
  <c r="G43" i="78"/>
  <c r="G42" i="78"/>
  <c r="G41" i="78"/>
  <c r="G40" i="78"/>
  <c r="G39" i="78"/>
  <c r="G38" i="78"/>
  <c r="G37" i="78"/>
  <c r="G36" i="78"/>
  <c r="G35" i="78"/>
  <c r="G34" i="78"/>
  <c r="G33" i="78"/>
  <c r="G32" i="78"/>
  <c r="G31" i="78"/>
  <c r="G30" i="78"/>
  <c r="G29" i="78"/>
  <c r="G28" i="78"/>
  <c r="G27" i="78"/>
  <c r="J26" i="78"/>
  <c r="G26" i="78"/>
  <c r="G25" i="78"/>
  <c r="G24" i="78"/>
  <c r="G23" i="78"/>
  <c r="G22" i="78"/>
  <c r="G21" i="78"/>
  <c r="G20" i="78"/>
  <c r="G19" i="78"/>
  <c r="G18" i="78"/>
  <c r="G17" i="78"/>
  <c r="G16" i="78"/>
  <c r="G15" i="78"/>
  <c r="G14" i="78"/>
  <c r="G13" i="78"/>
  <c r="G12" i="78"/>
  <c r="G11" i="78"/>
  <c r="G10" i="78"/>
  <c r="G9" i="78"/>
  <c r="G8" i="78"/>
  <c r="G7" i="78"/>
  <c r="G6" i="78"/>
  <c r="V60" i="77"/>
  <c r="U60" i="77"/>
  <c r="S60" i="77"/>
  <c r="R60" i="77"/>
  <c r="P60" i="77"/>
  <c r="O60" i="77"/>
  <c r="M60" i="77"/>
  <c r="L60" i="77"/>
  <c r="F60" i="77"/>
  <c r="E60" i="77"/>
  <c r="D60" i="77"/>
  <c r="C60" i="77"/>
  <c r="B60" i="77"/>
  <c r="G58" i="77"/>
  <c r="G57" i="77"/>
  <c r="G56" i="77"/>
  <c r="G55" i="77"/>
  <c r="G54" i="77"/>
  <c r="G53" i="77"/>
  <c r="G52" i="77"/>
  <c r="G51" i="77"/>
  <c r="G50" i="77"/>
  <c r="G49" i="77"/>
  <c r="G48" i="77"/>
  <c r="G47" i="77"/>
  <c r="G46" i="77"/>
  <c r="G45" i="77"/>
  <c r="G44" i="77"/>
  <c r="G43" i="77"/>
  <c r="G42" i="77"/>
  <c r="G41" i="77"/>
  <c r="G40" i="77"/>
  <c r="G39" i="77"/>
  <c r="G38" i="77"/>
  <c r="G37" i="77"/>
  <c r="G36" i="77"/>
  <c r="G35" i="77"/>
  <c r="G34" i="77"/>
  <c r="G33" i="77"/>
  <c r="G32" i="77"/>
  <c r="G31" i="77"/>
  <c r="G30" i="77"/>
  <c r="G29" i="77"/>
  <c r="G28" i="77"/>
  <c r="G27" i="77"/>
  <c r="J26" i="77"/>
  <c r="G26" i="77"/>
  <c r="G25" i="77"/>
  <c r="G24" i="77"/>
  <c r="G23" i="77"/>
  <c r="G22" i="77"/>
  <c r="G21" i="77"/>
  <c r="G20" i="77"/>
  <c r="G19" i="77"/>
  <c r="G18" i="77"/>
  <c r="G17" i="77"/>
  <c r="G16" i="77"/>
  <c r="G15" i="77"/>
  <c r="G14" i="77"/>
  <c r="G13" i="77"/>
  <c r="G12" i="77"/>
  <c r="G11" i="77"/>
  <c r="G10" i="77"/>
  <c r="G9" i="77"/>
  <c r="G8" i="77"/>
  <c r="G7" i="77"/>
  <c r="G6" i="77"/>
  <c r="V60" i="76"/>
  <c r="U60" i="76"/>
  <c r="S60" i="76"/>
  <c r="R60" i="76"/>
  <c r="P60" i="76"/>
  <c r="O60" i="76"/>
  <c r="M60" i="76"/>
  <c r="L60" i="76"/>
  <c r="F60" i="76"/>
  <c r="E60" i="76"/>
  <c r="D60" i="76"/>
  <c r="C60" i="76"/>
  <c r="B60" i="76"/>
  <c r="G58" i="76"/>
  <c r="G57" i="76"/>
  <c r="G56" i="76"/>
  <c r="G55" i="76"/>
  <c r="G54" i="76"/>
  <c r="G53" i="76"/>
  <c r="G52" i="76"/>
  <c r="G51" i="76"/>
  <c r="G50" i="76"/>
  <c r="G49" i="76"/>
  <c r="G48" i="76"/>
  <c r="G47" i="76"/>
  <c r="G46" i="76"/>
  <c r="G45" i="76"/>
  <c r="G44" i="76"/>
  <c r="G43" i="76"/>
  <c r="G42" i="76"/>
  <c r="G41" i="76"/>
  <c r="G40" i="76"/>
  <c r="G39" i="76"/>
  <c r="G38" i="76"/>
  <c r="G37" i="76"/>
  <c r="G36" i="76"/>
  <c r="G35" i="76"/>
  <c r="G34" i="76"/>
  <c r="G33" i="76"/>
  <c r="G32" i="76"/>
  <c r="G31" i="76"/>
  <c r="G30" i="76"/>
  <c r="G29" i="76"/>
  <c r="G28" i="76"/>
  <c r="G27" i="76"/>
  <c r="J26" i="76"/>
  <c r="G26" i="76"/>
  <c r="G25" i="76"/>
  <c r="G24" i="76"/>
  <c r="G23" i="76"/>
  <c r="G22" i="76"/>
  <c r="G21" i="76"/>
  <c r="G20" i="76"/>
  <c r="G19" i="76"/>
  <c r="G18" i="76"/>
  <c r="G17" i="76"/>
  <c r="G16" i="76"/>
  <c r="G15" i="76"/>
  <c r="G14" i="76"/>
  <c r="G13" i="76"/>
  <c r="G12" i="76"/>
  <c r="G11" i="76"/>
  <c r="G10" i="76"/>
  <c r="G9" i="76"/>
  <c r="G8" i="76"/>
  <c r="G7" i="76"/>
  <c r="G6" i="76"/>
  <c r="V60" i="75"/>
  <c r="U60" i="75"/>
  <c r="S60" i="75"/>
  <c r="R60" i="75"/>
  <c r="P60" i="75"/>
  <c r="O60" i="75"/>
  <c r="M60" i="75"/>
  <c r="L60" i="75"/>
  <c r="F60" i="75"/>
  <c r="E60" i="75"/>
  <c r="D60" i="75"/>
  <c r="C60" i="75"/>
  <c r="B60" i="75"/>
  <c r="G58" i="75"/>
  <c r="G57" i="75"/>
  <c r="G56" i="75"/>
  <c r="G55" i="75"/>
  <c r="G54" i="75"/>
  <c r="G53" i="75"/>
  <c r="G52" i="75"/>
  <c r="G51" i="75"/>
  <c r="G50" i="75"/>
  <c r="G49" i="75"/>
  <c r="G48" i="75"/>
  <c r="G47" i="75"/>
  <c r="G46" i="75"/>
  <c r="G45" i="75"/>
  <c r="G44" i="75"/>
  <c r="G43" i="75"/>
  <c r="G42" i="75"/>
  <c r="G41" i="75"/>
  <c r="G40" i="75"/>
  <c r="G39" i="75"/>
  <c r="G38" i="75"/>
  <c r="G37" i="75"/>
  <c r="G36" i="75"/>
  <c r="G35" i="75"/>
  <c r="G34" i="75"/>
  <c r="G33" i="75"/>
  <c r="G32" i="75"/>
  <c r="G31" i="75"/>
  <c r="G30" i="75"/>
  <c r="G29" i="75"/>
  <c r="G28" i="75"/>
  <c r="G27" i="75"/>
  <c r="J26" i="75"/>
  <c r="G26" i="75"/>
  <c r="G25" i="75"/>
  <c r="G24" i="75"/>
  <c r="G23" i="75"/>
  <c r="G22" i="75"/>
  <c r="G21" i="75"/>
  <c r="G20" i="75"/>
  <c r="G19" i="75"/>
  <c r="G18" i="75"/>
  <c r="G17" i="75"/>
  <c r="G16" i="75"/>
  <c r="G15" i="75"/>
  <c r="G14" i="75"/>
  <c r="G13" i="75"/>
  <c r="G12" i="75"/>
  <c r="G11" i="75"/>
  <c r="G10" i="75"/>
  <c r="G9" i="75"/>
  <c r="G8" i="75"/>
  <c r="G7" i="75"/>
  <c r="G6" i="75"/>
  <c r="V60" i="74"/>
  <c r="U60" i="74"/>
  <c r="S60" i="74"/>
  <c r="R60" i="74"/>
  <c r="P60" i="74"/>
  <c r="O60" i="74"/>
  <c r="M60" i="74"/>
  <c r="L60" i="74"/>
  <c r="F60" i="74"/>
  <c r="E60" i="74"/>
  <c r="D60" i="74"/>
  <c r="C60" i="74"/>
  <c r="B60" i="74"/>
  <c r="G58" i="74"/>
  <c r="G57" i="74"/>
  <c r="G56" i="74"/>
  <c r="G55" i="74"/>
  <c r="G54" i="74"/>
  <c r="G53" i="74"/>
  <c r="G52" i="74"/>
  <c r="G51" i="74"/>
  <c r="G50" i="74"/>
  <c r="G49" i="74"/>
  <c r="G48" i="74"/>
  <c r="G47" i="74"/>
  <c r="G46" i="74"/>
  <c r="G45" i="74"/>
  <c r="G44" i="74"/>
  <c r="G43" i="74"/>
  <c r="G42" i="74"/>
  <c r="G41" i="74"/>
  <c r="G40" i="74"/>
  <c r="G39" i="74"/>
  <c r="G38" i="74"/>
  <c r="G37" i="74"/>
  <c r="G36" i="74"/>
  <c r="G35" i="74"/>
  <c r="G34" i="74"/>
  <c r="G33" i="74"/>
  <c r="G32" i="74"/>
  <c r="G31" i="74"/>
  <c r="G30" i="74"/>
  <c r="G29" i="74"/>
  <c r="G28" i="74"/>
  <c r="G27" i="74"/>
  <c r="J26" i="74"/>
  <c r="G26" i="74"/>
  <c r="G25" i="74"/>
  <c r="G24" i="74"/>
  <c r="G23" i="74"/>
  <c r="G22" i="74"/>
  <c r="G21" i="74"/>
  <c r="G20" i="74"/>
  <c r="G19" i="74"/>
  <c r="G18" i="74"/>
  <c r="G17" i="74"/>
  <c r="G16" i="74"/>
  <c r="G15" i="74"/>
  <c r="G14" i="74"/>
  <c r="G13" i="74"/>
  <c r="G12" i="74"/>
  <c r="G11" i="74"/>
  <c r="G10" i="74"/>
  <c r="G9" i="74"/>
  <c r="G8" i="74"/>
  <c r="G7" i="74"/>
  <c r="G6" i="74"/>
  <c r="V60" i="73"/>
  <c r="U60" i="73"/>
  <c r="S60" i="73"/>
  <c r="R60" i="73"/>
  <c r="P60" i="73"/>
  <c r="O60" i="73"/>
  <c r="M60" i="73"/>
  <c r="L60" i="73"/>
  <c r="F60" i="73"/>
  <c r="E60" i="73"/>
  <c r="D60" i="73"/>
  <c r="C60" i="73"/>
  <c r="B60" i="73"/>
  <c r="G58" i="73"/>
  <c r="G57" i="73"/>
  <c r="G56" i="73"/>
  <c r="G55" i="73"/>
  <c r="G54" i="73"/>
  <c r="G53" i="73"/>
  <c r="G52" i="73"/>
  <c r="G51" i="73"/>
  <c r="G50" i="73"/>
  <c r="G49" i="73"/>
  <c r="G48" i="73"/>
  <c r="G47" i="73"/>
  <c r="G46" i="73"/>
  <c r="G45" i="73"/>
  <c r="G44" i="73"/>
  <c r="G43" i="73"/>
  <c r="G42" i="73"/>
  <c r="G41" i="73"/>
  <c r="G40" i="73"/>
  <c r="G39" i="73"/>
  <c r="G38" i="73"/>
  <c r="G37" i="73"/>
  <c r="G36" i="73"/>
  <c r="G35" i="73"/>
  <c r="G34" i="73"/>
  <c r="G33" i="73"/>
  <c r="G32" i="73"/>
  <c r="G31" i="73"/>
  <c r="G30" i="73"/>
  <c r="G29" i="73"/>
  <c r="G28" i="73"/>
  <c r="G27" i="73"/>
  <c r="J26" i="73"/>
  <c r="G26" i="73"/>
  <c r="G25" i="73"/>
  <c r="G24" i="73"/>
  <c r="G23" i="73"/>
  <c r="G22" i="73"/>
  <c r="G21" i="73"/>
  <c r="G20" i="73"/>
  <c r="G19" i="73"/>
  <c r="G18" i="73"/>
  <c r="G17" i="73"/>
  <c r="G16" i="73"/>
  <c r="G15" i="73"/>
  <c r="G14" i="73"/>
  <c r="G13" i="73"/>
  <c r="G12" i="73"/>
  <c r="G11" i="73"/>
  <c r="G10" i="73"/>
  <c r="G9" i="73"/>
  <c r="G8" i="73"/>
  <c r="G7" i="73"/>
  <c r="G6" i="73"/>
  <c r="V60" i="72"/>
  <c r="U60" i="72"/>
  <c r="S60" i="72"/>
  <c r="R60" i="72"/>
  <c r="P60" i="72"/>
  <c r="O60" i="72"/>
  <c r="M60" i="72"/>
  <c r="L60" i="72"/>
  <c r="F60" i="72"/>
  <c r="E60" i="72"/>
  <c r="D60" i="72"/>
  <c r="C60" i="72"/>
  <c r="B60" i="72"/>
  <c r="G58" i="72"/>
  <c r="G57" i="72"/>
  <c r="G56" i="72"/>
  <c r="G55" i="72"/>
  <c r="G54" i="72"/>
  <c r="G53" i="72"/>
  <c r="G52" i="72"/>
  <c r="G51" i="72"/>
  <c r="G50" i="72"/>
  <c r="G49" i="72"/>
  <c r="G48" i="72"/>
  <c r="G47" i="72"/>
  <c r="G46" i="72"/>
  <c r="G45" i="72"/>
  <c r="G44" i="72"/>
  <c r="G43" i="72"/>
  <c r="G42" i="72"/>
  <c r="G41" i="72"/>
  <c r="G40" i="72"/>
  <c r="G39" i="72"/>
  <c r="G38" i="72"/>
  <c r="G37" i="72"/>
  <c r="G36" i="72"/>
  <c r="G35" i="72"/>
  <c r="G34" i="72"/>
  <c r="G33" i="72"/>
  <c r="G32" i="72"/>
  <c r="G31" i="72"/>
  <c r="G30" i="72"/>
  <c r="G29" i="72"/>
  <c r="G28" i="72"/>
  <c r="G27" i="72"/>
  <c r="J26" i="72"/>
  <c r="G26" i="72"/>
  <c r="G25" i="72"/>
  <c r="G24" i="72"/>
  <c r="G23" i="72"/>
  <c r="G22" i="72"/>
  <c r="G21" i="72"/>
  <c r="G20" i="72"/>
  <c r="G19" i="72"/>
  <c r="G18" i="72"/>
  <c r="G17" i="72"/>
  <c r="G16" i="72"/>
  <c r="G15" i="72"/>
  <c r="G14" i="72"/>
  <c r="G13" i="72"/>
  <c r="G12" i="72"/>
  <c r="G11" i="72"/>
  <c r="G10" i="72"/>
  <c r="G9" i="72"/>
  <c r="G8" i="72"/>
  <c r="G7" i="72"/>
  <c r="G6" i="72"/>
  <c r="V60" i="71"/>
  <c r="U60" i="71"/>
  <c r="S60" i="71"/>
  <c r="R60" i="71"/>
  <c r="P60" i="71"/>
  <c r="O60" i="71"/>
  <c r="M60" i="71"/>
  <c r="L60" i="71"/>
  <c r="F60" i="71"/>
  <c r="E60" i="71"/>
  <c r="D60" i="71"/>
  <c r="C60" i="71"/>
  <c r="B60" i="71"/>
  <c r="G58" i="71"/>
  <c r="G57" i="71"/>
  <c r="G56" i="71"/>
  <c r="G55" i="71"/>
  <c r="G54" i="71"/>
  <c r="G53" i="71"/>
  <c r="G52" i="71"/>
  <c r="G51" i="71"/>
  <c r="G50" i="71"/>
  <c r="G49" i="71"/>
  <c r="G48" i="71"/>
  <c r="G47" i="71"/>
  <c r="G46" i="71"/>
  <c r="G45" i="71"/>
  <c r="G44" i="71"/>
  <c r="G43" i="71"/>
  <c r="G42" i="71"/>
  <c r="G41" i="71"/>
  <c r="G40" i="71"/>
  <c r="G39" i="71"/>
  <c r="G38" i="71"/>
  <c r="G37" i="71"/>
  <c r="G36" i="71"/>
  <c r="G35" i="71"/>
  <c r="G34" i="71"/>
  <c r="G33" i="71"/>
  <c r="G32" i="71"/>
  <c r="G31" i="71"/>
  <c r="G30" i="71"/>
  <c r="G29" i="71"/>
  <c r="G28" i="71"/>
  <c r="G27" i="71"/>
  <c r="J26" i="71"/>
  <c r="G26" i="71"/>
  <c r="G25" i="71"/>
  <c r="G24" i="71"/>
  <c r="G23" i="71"/>
  <c r="G22" i="71"/>
  <c r="G21" i="71"/>
  <c r="G20" i="71"/>
  <c r="G19" i="71"/>
  <c r="G18" i="71"/>
  <c r="G17" i="71"/>
  <c r="G16" i="71"/>
  <c r="G15" i="71"/>
  <c r="G14" i="71"/>
  <c r="G13" i="71"/>
  <c r="G12" i="71"/>
  <c r="G11" i="71"/>
  <c r="G10" i="71"/>
  <c r="G9" i="71"/>
  <c r="G8" i="71"/>
  <c r="G7" i="71"/>
  <c r="G6" i="71"/>
  <c r="V60" i="70"/>
  <c r="U60" i="70"/>
  <c r="S60" i="70"/>
  <c r="R60" i="70"/>
  <c r="P60" i="70"/>
  <c r="O60" i="70"/>
  <c r="M60" i="70"/>
  <c r="L60" i="70"/>
  <c r="F60" i="70"/>
  <c r="E60" i="70"/>
  <c r="D60" i="70"/>
  <c r="C60" i="70"/>
  <c r="B60" i="70"/>
  <c r="G58" i="70"/>
  <c r="G57" i="70"/>
  <c r="G56" i="70"/>
  <c r="G55" i="70"/>
  <c r="G54" i="70"/>
  <c r="G53" i="70"/>
  <c r="G52" i="70"/>
  <c r="G51" i="70"/>
  <c r="G50" i="70"/>
  <c r="G49" i="70"/>
  <c r="G48" i="70"/>
  <c r="G47" i="70"/>
  <c r="G46" i="70"/>
  <c r="G45" i="70"/>
  <c r="G44" i="70"/>
  <c r="G43" i="70"/>
  <c r="G42" i="70"/>
  <c r="G41" i="70"/>
  <c r="G40" i="70"/>
  <c r="G39" i="70"/>
  <c r="G38" i="70"/>
  <c r="G37" i="70"/>
  <c r="G36" i="70"/>
  <c r="G35" i="70"/>
  <c r="G34" i="70"/>
  <c r="G33" i="70"/>
  <c r="G32" i="70"/>
  <c r="G31" i="70"/>
  <c r="G30" i="70"/>
  <c r="G29" i="70"/>
  <c r="G28" i="70"/>
  <c r="G27" i="70"/>
  <c r="J26" i="70"/>
  <c r="G26" i="70"/>
  <c r="G25" i="70"/>
  <c r="G24" i="70"/>
  <c r="G23" i="70"/>
  <c r="G22" i="70"/>
  <c r="G21" i="70"/>
  <c r="G20" i="70"/>
  <c r="G19" i="70"/>
  <c r="G18" i="70"/>
  <c r="G17" i="70"/>
  <c r="G16" i="70"/>
  <c r="G15" i="70"/>
  <c r="G14" i="70"/>
  <c r="G13" i="70"/>
  <c r="G12" i="70"/>
  <c r="G11" i="70"/>
  <c r="G10" i="70"/>
  <c r="G9" i="70"/>
  <c r="G8" i="70"/>
  <c r="G7" i="70"/>
  <c r="G6" i="70"/>
  <c r="V60" i="69"/>
  <c r="U60" i="69"/>
  <c r="S60" i="69"/>
  <c r="R60" i="69"/>
  <c r="P60" i="69"/>
  <c r="O60" i="69"/>
  <c r="M60" i="69"/>
  <c r="L60" i="69"/>
  <c r="F60" i="69"/>
  <c r="E60" i="69"/>
  <c r="D60" i="69"/>
  <c r="C60" i="69"/>
  <c r="B60" i="69"/>
  <c r="G58" i="69"/>
  <c r="G57" i="69"/>
  <c r="G56" i="69"/>
  <c r="G55" i="69"/>
  <c r="G54" i="69"/>
  <c r="G53" i="69"/>
  <c r="G52" i="69"/>
  <c r="G51" i="69"/>
  <c r="G50" i="69"/>
  <c r="G49" i="69"/>
  <c r="G48" i="69"/>
  <c r="G47" i="69"/>
  <c r="G46" i="69"/>
  <c r="G45" i="69"/>
  <c r="G44" i="69"/>
  <c r="G43" i="69"/>
  <c r="G42" i="69"/>
  <c r="G41" i="69"/>
  <c r="G40" i="69"/>
  <c r="G39" i="69"/>
  <c r="G38" i="69"/>
  <c r="G37" i="69"/>
  <c r="G36" i="69"/>
  <c r="G35" i="69"/>
  <c r="G34" i="69"/>
  <c r="G33" i="69"/>
  <c r="G32" i="69"/>
  <c r="G31" i="69"/>
  <c r="G30" i="69"/>
  <c r="G29" i="69"/>
  <c r="G28" i="69"/>
  <c r="G27" i="69"/>
  <c r="J26" i="69"/>
  <c r="G26" i="69"/>
  <c r="G25" i="69"/>
  <c r="G24" i="69"/>
  <c r="G23" i="69"/>
  <c r="G22" i="69"/>
  <c r="G21" i="69"/>
  <c r="G20" i="69"/>
  <c r="G19" i="69"/>
  <c r="G18" i="69"/>
  <c r="G17" i="69"/>
  <c r="G16" i="69"/>
  <c r="G15" i="69"/>
  <c r="G14" i="69"/>
  <c r="G13" i="69"/>
  <c r="G12" i="69"/>
  <c r="G11" i="69"/>
  <c r="G10" i="69"/>
  <c r="G9" i="69"/>
  <c r="G8" i="69"/>
  <c r="G7" i="69"/>
  <c r="G6" i="69"/>
  <c r="V60" i="68"/>
  <c r="U60" i="68"/>
  <c r="S60" i="68"/>
  <c r="R60" i="68"/>
  <c r="P60" i="68"/>
  <c r="O60" i="68"/>
  <c r="M60" i="68"/>
  <c r="L60" i="68"/>
  <c r="F60" i="68"/>
  <c r="E60" i="68"/>
  <c r="D60" i="68"/>
  <c r="C60" i="68"/>
  <c r="B60" i="68"/>
  <c r="G58" i="68"/>
  <c r="G57" i="68"/>
  <c r="G56" i="68"/>
  <c r="G55" i="68"/>
  <c r="G54" i="68"/>
  <c r="G53" i="68"/>
  <c r="G52" i="68"/>
  <c r="G51" i="68"/>
  <c r="G50" i="68"/>
  <c r="G49" i="68"/>
  <c r="G48" i="68"/>
  <c r="G47" i="68"/>
  <c r="G46" i="68"/>
  <c r="G45" i="68"/>
  <c r="G44" i="68"/>
  <c r="G43" i="68"/>
  <c r="G42" i="68"/>
  <c r="G41" i="68"/>
  <c r="G40" i="68"/>
  <c r="G39" i="68"/>
  <c r="G38" i="68"/>
  <c r="G37" i="68"/>
  <c r="G36" i="68"/>
  <c r="G35" i="68"/>
  <c r="G34" i="68"/>
  <c r="G33" i="68"/>
  <c r="G32" i="68"/>
  <c r="G31" i="68"/>
  <c r="G30" i="68"/>
  <c r="G29" i="68"/>
  <c r="G28" i="68"/>
  <c r="G27" i="68"/>
  <c r="J26" i="68"/>
  <c r="G26" i="68"/>
  <c r="G25" i="68"/>
  <c r="G24" i="68"/>
  <c r="G23" i="68"/>
  <c r="G22" i="68"/>
  <c r="G21" i="68"/>
  <c r="G20" i="68"/>
  <c r="G19" i="68"/>
  <c r="G18" i="68"/>
  <c r="G17" i="68"/>
  <c r="G16" i="68"/>
  <c r="G15" i="68"/>
  <c r="G14" i="68"/>
  <c r="G13" i="68"/>
  <c r="G12" i="68"/>
  <c r="G11" i="68"/>
  <c r="G10" i="68"/>
  <c r="G9" i="68"/>
  <c r="G8" i="68"/>
  <c r="G7" i="68"/>
  <c r="G6" i="68"/>
  <c r="V60" i="67"/>
  <c r="U60" i="67"/>
  <c r="S60" i="67"/>
  <c r="R60" i="67"/>
  <c r="P60" i="67"/>
  <c r="O60" i="67"/>
  <c r="M60" i="67"/>
  <c r="L60" i="67"/>
  <c r="F60" i="67"/>
  <c r="E60" i="67"/>
  <c r="D60" i="67"/>
  <c r="C60" i="67"/>
  <c r="B60" i="67"/>
  <c r="G58" i="67"/>
  <c r="G57" i="67"/>
  <c r="G56" i="67"/>
  <c r="G55" i="67"/>
  <c r="G54" i="67"/>
  <c r="G53" i="67"/>
  <c r="G52" i="67"/>
  <c r="G51" i="67"/>
  <c r="G50" i="67"/>
  <c r="G49" i="67"/>
  <c r="G48" i="67"/>
  <c r="G47" i="67"/>
  <c r="G46" i="67"/>
  <c r="G45" i="67"/>
  <c r="G44" i="67"/>
  <c r="G43" i="67"/>
  <c r="G42" i="67"/>
  <c r="G41" i="67"/>
  <c r="G40" i="67"/>
  <c r="G39" i="67"/>
  <c r="G38" i="67"/>
  <c r="G37" i="67"/>
  <c r="G36" i="67"/>
  <c r="G35" i="67"/>
  <c r="G34" i="67"/>
  <c r="G33" i="67"/>
  <c r="G32" i="67"/>
  <c r="G31" i="67"/>
  <c r="G30" i="67"/>
  <c r="G29" i="67"/>
  <c r="G28" i="67"/>
  <c r="G27" i="67"/>
  <c r="J26" i="67"/>
  <c r="G26" i="67"/>
  <c r="G25" i="67"/>
  <c r="G24" i="67"/>
  <c r="G23" i="67"/>
  <c r="G22" i="67"/>
  <c r="G21" i="67"/>
  <c r="G20" i="67"/>
  <c r="G19" i="67"/>
  <c r="G18" i="67"/>
  <c r="G17" i="67"/>
  <c r="G16" i="67"/>
  <c r="G15" i="67"/>
  <c r="G14" i="67"/>
  <c r="G13" i="67"/>
  <c r="G12" i="67"/>
  <c r="G11" i="67"/>
  <c r="G10" i="67"/>
  <c r="G9" i="67"/>
  <c r="G8" i="67"/>
  <c r="G7" i="67"/>
  <c r="G6" i="67"/>
  <c r="V60" i="66"/>
  <c r="U60" i="66"/>
  <c r="S60" i="66"/>
  <c r="R60" i="66"/>
  <c r="P60" i="66"/>
  <c r="O60" i="66"/>
  <c r="M60" i="66"/>
  <c r="L60" i="66"/>
  <c r="F60" i="66"/>
  <c r="E60" i="66"/>
  <c r="D60" i="66"/>
  <c r="C60" i="66"/>
  <c r="B60" i="66"/>
  <c r="G58" i="66"/>
  <c r="H58" i="102" s="1"/>
  <c r="G57" i="66"/>
  <c r="H57" i="102" s="1"/>
  <c r="G56" i="66"/>
  <c r="H56" i="102" s="1"/>
  <c r="G55" i="66"/>
  <c r="H55" i="102" s="1"/>
  <c r="G54" i="66"/>
  <c r="H54" i="102" s="1"/>
  <c r="G53" i="66"/>
  <c r="H53" i="102" s="1"/>
  <c r="G52" i="66"/>
  <c r="H52" i="102" s="1"/>
  <c r="G51" i="66"/>
  <c r="H51" i="102" s="1"/>
  <c r="G50" i="66"/>
  <c r="H50" i="102" s="1"/>
  <c r="G49" i="66"/>
  <c r="H49" i="102" s="1"/>
  <c r="G48" i="66"/>
  <c r="H48" i="102" s="1"/>
  <c r="G47" i="66"/>
  <c r="H47" i="102" s="1"/>
  <c r="G46" i="66"/>
  <c r="H46" i="102" s="1"/>
  <c r="G45" i="66"/>
  <c r="H45" i="102" s="1"/>
  <c r="G44" i="66"/>
  <c r="H44" i="102" s="1"/>
  <c r="G43" i="66"/>
  <c r="H43" i="102" s="1"/>
  <c r="G42" i="66"/>
  <c r="H42" i="102" s="1"/>
  <c r="G41" i="66"/>
  <c r="H41" i="102" s="1"/>
  <c r="G40" i="66"/>
  <c r="H40" i="102" s="1"/>
  <c r="G39" i="66"/>
  <c r="H39" i="102" s="1"/>
  <c r="G38" i="66"/>
  <c r="H38" i="102" s="1"/>
  <c r="G37" i="66"/>
  <c r="H37" i="102" s="1"/>
  <c r="G36" i="66"/>
  <c r="H36" i="102" s="1"/>
  <c r="G35" i="66"/>
  <c r="H35" i="102" s="1"/>
  <c r="G34" i="66"/>
  <c r="H34" i="102" s="1"/>
  <c r="G33" i="66"/>
  <c r="H33" i="102" s="1"/>
  <c r="G32" i="66"/>
  <c r="H32" i="102" s="1"/>
  <c r="G31" i="66"/>
  <c r="H31" i="102" s="1"/>
  <c r="G30" i="66"/>
  <c r="H30" i="102" s="1"/>
  <c r="G29" i="66"/>
  <c r="H29" i="102" s="1"/>
  <c r="G28" i="66"/>
  <c r="H28" i="102" s="1"/>
  <c r="G27" i="66"/>
  <c r="H27" i="102" s="1"/>
  <c r="J26" i="66"/>
  <c r="G26" i="66"/>
  <c r="H26" i="102" s="1"/>
  <c r="G25" i="66"/>
  <c r="H25" i="102" s="1"/>
  <c r="G24" i="66"/>
  <c r="H24" i="102" s="1"/>
  <c r="G23" i="66"/>
  <c r="H23" i="102" s="1"/>
  <c r="G22" i="66"/>
  <c r="H22" i="102" s="1"/>
  <c r="G21" i="66"/>
  <c r="H21" i="102" s="1"/>
  <c r="G20" i="66"/>
  <c r="H20" i="102" s="1"/>
  <c r="G19" i="66"/>
  <c r="H19" i="102" s="1"/>
  <c r="G18" i="66"/>
  <c r="H18" i="102" s="1"/>
  <c r="G17" i="66"/>
  <c r="H17" i="102" s="1"/>
  <c r="G16" i="66"/>
  <c r="H16" i="102" s="1"/>
  <c r="G15" i="66"/>
  <c r="H15" i="102" s="1"/>
  <c r="G14" i="66"/>
  <c r="H14" i="102" s="1"/>
  <c r="G13" i="66"/>
  <c r="H13" i="102" s="1"/>
  <c r="G12" i="66"/>
  <c r="H12" i="102" s="1"/>
  <c r="G11" i="66"/>
  <c r="H11" i="102" s="1"/>
  <c r="G10" i="66"/>
  <c r="H10" i="102" s="1"/>
  <c r="G9" i="66"/>
  <c r="H9" i="102" s="1"/>
  <c r="G8" i="66"/>
  <c r="H8" i="102" s="1"/>
  <c r="G7" i="66"/>
  <c r="H7" i="102" s="1"/>
  <c r="G6" i="66"/>
  <c r="V60" i="65"/>
  <c r="U60" i="65"/>
  <c r="S60" i="65"/>
  <c r="R60" i="65"/>
  <c r="P60" i="65"/>
  <c r="O60" i="65"/>
  <c r="M60" i="65"/>
  <c r="L60" i="65"/>
  <c r="F60" i="65"/>
  <c r="E60" i="65"/>
  <c r="D60" i="65"/>
  <c r="C60" i="65"/>
  <c r="B60" i="65"/>
  <c r="G58" i="65"/>
  <c r="G57" i="65"/>
  <c r="G56" i="65"/>
  <c r="G55" i="65"/>
  <c r="G54" i="65"/>
  <c r="G53" i="65"/>
  <c r="G52" i="65"/>
  <c r="G51" i="65"/>
  <c r="G50" i="65"/>
  <c r="G49" i="65"/>
  <c r="G48" i="65"/>
  <c r="G47" i="65"/>
  <c r="G46" i="65"/>
  <c r="G45" i="65"/>
  <c r="G44" i="65"/>
  <c r="G43" i="65"/>
  <c r="G42" i="65"/>
  <c r="G41" i="65"/>
  <c r="G40" i="65"/>
  <c r="G39" i="65"/>
  <c r="G38" i="65"/>
  <c r="G37" i="65"/>
  <c r="G36" i="65"/>
  <c r="G35" i="65"/>
  <c r="G34" i="65"/>
  <c r="G33" i="65"/>
  <c r="G32" i="65"/>
  <c r="G31" i="65"/>
  <c r="G30" i="65"/>
  <c r="G29" i="65"/>
  <c r="G28" i="65"/>
  <c r="G27" i="65"/>
  <c r="J26" i="65"/>
  <c r="G26" i="65"/>
  <c r="G25" i="65"/>
  <c r="G24" i="65"/>
  <c r="G23" i="65"/>
  <c r="G22" i="65"/>
  <c r="G21" i="65"/>
  <c r="G20" i="65"/>
  <c r="G19" i="65"/>
  <c r="G18" i="65"/>
  <c r="G17" i="65"/>
  <c r="G16" i="65"/>
  <c r="G15" i="65"/>
  <c r="G14" i="65"/>
  <c r="G13" i="65"/>
  <c r="G12" i="65"/>
  <c r="G11" i="65"/>
  <c r="G10" i="65"/>
  <c r="G9" i="65"/>
  <c r="G8" i="65"/>
  <c r="G7" i="65"/>
  <c r="G6" i="65"/>
  <c r="V60" i="64"/>
  <c r="U60" i="64"/>
  <c r="S60" i="64"/>
  <c r="R60" i="64"/>
  <c r="P60" i="64"/>
  <c r="O60" i="64"/>
  <c r="M60" i="64"/>
  <c r="L60" i="64"/>
  <c r="F60" i="64"/>
  <c r="E60" i="64"/>
  <c r="D60" i="64"/>
  <c r="C60" i="64"/>
  <c r="B60" i="64"/>
  <c r="G58" i="64"/>
  <c r="G57" i="64"/>
  <c r="G56" i="64"/>
  <c r="G55" i="64"/>
  <c r="G54" i="64"/>
  <c r="G53" i="64"/>
  <c r="G52" i="64"/>
  <c r="G51" i="64"/>
  <c r="G50" i="64"/>
  <c r="G49" i="64"/>
  <c r="G48" i="64"/>
  <c r="G47" i="64"/>
  <c r="G46" i="64"/>
  <c r="G45" i="64"/>
  <c r="G44" i="64"/>
  <c r="G43" i="64"/>
  <c r="G42" i="64"/>
  <c r="G41" i="64"/>
  <c r="G40" i="64"/>
  <c r="G39" i="64"/>
  <c r="G38" i="64"/>
  <c r="G37" i="64"/>
  <c r="G36" i="64"/>
  <c r="G35" i="64"/>
  <c r="G34" i="64"/>
  <c r="G33" i="64"/>
  <c r="G32" i="64"/>
  <c r="G31" i="64"/>
  <c r="G30" i="64"/>
  <c r="G29" i="64"/>
  <c r="G28" i="64"/>
  <c r="G27" i="64"/>
  <c r="J26" i="64"/>
  <c r="G26" i="64"/>
  <c r="G25" i="64"/>
  <c r="G24" i="64"/>
  <c r="G23" i="64"/>
  <c r="G22" i="64"/>
  <c r="G21" i="64"/>
  <c r="G20" i="64"/>
  <c r="G19" i="64"/>
  <c r="G18" i="64"/>
  <c r="G17" i="64"/>
  <c r="G16" i="64"/>
  <c r="G15" i="64"/>
  <c r="G14" i="64"/>
  <c r="G13" i="64"/>
  <c r="G12" i="64"/>
  <c r="G11" i="64"/>
  <c r="G10" i="64"/>
  <c r="G9" i="64"/>
  <c r="G8" i="64"/>
  <c r="G7" i="64"/>
  <c r="G6" i="64"/>
  <c r="V60" i="63"/>
  <c r="U60" i="63"/>
  <c r="S60" i="63"/>
  <c r="R60" i="63"/>
  <c r="P60" i="63"/>
  <c r="O60" i="63"/>
  <c r="M60" i="63"/>
  <c r="L60" i="63"/>
  <c r="F60" i="63"/>
  <c r="E60" i="63"/>
  <c r="D60" i="63"/>
  <c r="C60" i="63"/>
  <c r="B60" i="63"/>
  <c r="G58" i="63"/>
  <c r="G57" i="63"/>
  <c r="G56" i="63"/>
  <c r="G55" i="63"/>
  <c r="G54" i="63"/>
  <c r="G53" i="63"/>
  <c r="G52" i="63"/>
  <c r="G51" i="63"/>
  <c r="G50" i="63"/>
  <c r="G49" i="63"/>
  <c r="G48" i="63"/>
  <c r="G47" i="63"/>
  <c r="G46" i="63"/>
  <c r="G45" i="63"/>
  <c r="G44" i="63"/>
  <c r="G43" i="63"/>
  <c r="G42" i="63"/>
  <c r="G41" i="63"/>
  <c r="G40" i="63"/>
  <c r="G39" i="63"/>
  <c r="G38" i="63"/>
  <c r="G37" i="63"/>
  <c r="G36" i="63"/>
  <c r="G35" i="63"/>
  <c r="G34" i="63"/>
  <c r="G33" i="63"/>
  <c r="G32" i="63"/>
  <c r="G31" i="63"/>
  <c r="G30" i="63"/>
  <c r="G29" i="63"/>
  <c r="G28" i="63"/>
  <c r="G27" i="63"/>
  <c r="J26" i="63"/>
  <c r="G26" i="63"/>
  <c r="G25" i="63"/>
  <c r="G24" i="63"/>
  <c r="G23" i="63"/>
  <c r="G22" i="63"/>
  <c r="G21" i="63"/>
  <c r="G20" i="63"/>
  <c r="G19" i="63"/>
  <c r="G18" i="63"/>
  <c r="G17" i="63"/>
  <c r="G16" i="63"/>
  <c r="G15" i="63"/>
  <c r="G14" i="63"/>
  <c r="G13" i="63"/>
  <c r="G12" i="63"/>
  <c r="G11" i="63"/>
  <c r="G10" i="63"/>
  <c r="G9" i="63"/>
  <c r="G8" i="63"/>
  <c r="G7" i="63"/>
  <c r="G6" i="63"/>
  <c r="V60" i="62"/>
  <c r="U60" i="62"/>
  <c r="S60" i="62"/>
  <c r="R60" i="62"/>
  <c r="P60" i="62"/>
  <c r="O60" i="62"/>
  <c r="M60" i="62"/>
  <c r="L60" i="62"/>
  <c r="F60" i="62"/>
  <c r="E60" i="62"/>
  <c r="D60" i="62"/>
  <c r="C60" i="62"/>
  <c r="B60" i="62"/>
  <c r="G58" i="62"/>
  <c r="G57" i="62"/>
  <c r="G56" i="62"/>
  <c r="G55" i="62"/>
  <c r="G54" i="62"/>
  <c r="G53" i="62"/>
  <c r="G52" i="62"/>
  <c r="G51" i="62"/>
  <c r="G50" i="62"/>
  <c r="G49" i="62"/>
  <c r="G48" i="62"/>
  <c r="G47" i="62"/>
  <c r="G46" i="62"/>
  <c r="G45" i="62"/>
  <c r="G44" i="62"/>
  <c r="G43" i="62"/>
  <c r="G42" i="62"/>
  <c r="G41" i="62"/>
  <c r="G40" i="62"/>
  <c r="G39" i="62"/>
  <c r="G38" i="62"/>
  <c r="G37" i="62"/>
  <c r="G36" i="62"/>
  <c r="G35" i="62"/>
  <c r="G34" i="62"/>
  <c r="G33" i="62"/>
  <c r="G32" i="62"/>
  <c r="G31" i="62"/>
  <c r="G30" i="62"/>
  <c r="G29" i="62"/>
  <c r="G28" i="62"/>
  <c r="G27" i="62"/>
  <c r="J26" i="62"/>
  <c r="G26" i="62"/>
  <c r="G25" i="62"/>
  <c r="G24" i="62"/>
  <c r="G23" i="62"/>
  <c r="G22" i="62"/>
  <c r="G21" i="62"/>
  <c r="G20" i="62"/>
  <c r="G19" i="62"/>
  <c r="G18" i="62"/>
  <c r="G17" i="62"/>
  <c r="G16" i="62"/>
  <c r="G15" i="62"/>
  <c r="G14" i="62"/>
  <c r="G13" i="62"/>
  <c r="G12" i="62"/>
  <c r="G11" i="62"/>
  <c r="G10" i="62"/>
  <c r="G9" i="62"/>
  <c r="G8" i="62"/>
  <c r="G7" i="62"/>
  <c r="G6" i="62"/>
  <c r="V60" i="61"/>
  <c r="U60" i="61"/>
  <c r="S60" i="61"/>
  <c r="R60" i="61"/>
  <c r="P60" i="61"/>
  <c r="O60" i="61"/>
  <c r="M60" i="61"/>
  <c r="L60" i="61"/>
  <c r="F60" i="61"/>
  <c r="E60" i="61"/>
  <c r="D60" i="61"/>
  <c r="C60" i="61"/>
  <c r="B60" i="61"/>
  <c r="G58" i="61"/>
  <c r="G57" i="61"/>
  <c r="G56" i="61"/>
  <c r="G55" i="61"/>
  <c r="G54" i="61"/>
  <c r="G53" i="61"/>
  <c r="G52" i="61"/>
  <c r="G51" i="61"/>
  <c r="G50" i="61"/>
  <c r="G49" i="61"/>
  <c r="G48" i="61"/>
  <c r="G47" i="61"/>
  <c r="G46" i="61"/>
  <c r="G45" i="61"/>
  <c r="G44" i="61"/>
  <c r="G43" i="61"/>
  <c r="G42" i="61"/>
  <c r="G41" i="61"/>
  <c r="G40" i="61"/>
  <c r="G39" i="61"/>
  <c r="G38" i="61"/>
  <c r="G37" i="61"/>
  <c r="G36" i="61"/>
  <c r="G35" i="61"/>
  <c r="G34" i="61"/>
  <c r="G33" i="61"/>
  <c r="G32" i="61"/>
  <c r="G31" i="61"/>
  <c r="G30" i="61"/>
  <c r="G29" i="61"/>
  <c r="G28" i="61"/>
  <c r="G27" i="61"/>
  <c r="J26" i="61"/>
  <c r="G26" i="61"/>
  <c r="G25" i="61"/>
  <c r="G24" i="61"/>
  <c r="G23" i="61"/>
  <c r="G22" i="61"/>
  <c r="G21" i="61"/>
  <c r="G20" i="61"/>
  <c r="G19" i="61"/>
  <c r="G18" i="61"/>
  <c r="G17" i="61"/>
  <c r="G16" i="61"/>
  <c r="G15" i="61"/>
  <c r="G14" i="61"/>
  <c r="G13" i="61"/>
  <c r="G12" i="61"/>
  <c r="G11" i="61"/>
  <c r="G10" i="61"/>
  <c r="G9" i="61"/>
  <c r="G8" i="61"/>
  <c r="G7" i="61"/>
  <c r="G6" i="61"/>
  <c r="V60" i="60"/>
  <c r="U60" i="60"/>
  <c r="S60" i="60"/>
  <c r="R60" i="60"/>
  <c r="P60" i="60"/>
  <c r="O60" i="60"/>
  <c r="M60" i="60"/>
  <c r="L60" i="60"/>
  <c r="F60" i="60"/>
  <c r="E60" i="60"/>
  <c r="D60" i="60"/>
  <c r="C60" i="60"/>
  <c r="B60" i="60"/>
  <c r="G58" i="60"/>
  <c r="G57" i="60"/>
  <c r="G56" i="60"/>
  <c r="G55" i="60"/>
  <c r="G54" i="60"/>
  <c r="G53" i="60"/>
  <c r="G52" i="60"/>
  <c r="G51" i="60"/>
  <c r="G50" i="60"/>
  <c r="G49" i="60"/>
  <c r="G48" i="60"/>
  <c r="G47" i="60"/>
  <c r="G46" i="60"/>
  <c r="G45" i="60"/>
  <c r="G44" i="60"/>
  <c r="G43" i="60"/>
  <c r="G42" i="60"/>
  <c r="G41" i="60"/>
  <c r="G40" i="60"/>
  <c r="G39" i="60"/>
  <c r="G38" i="60"/>
  <c r="G37" i="60"/>
  <c r="G36" i="60"/>
  <c r="G35" i="60"/>
  <c r="G34" i="60"/>
  <c r="G33" i="60"/>
  <c r="G32" i="60"/>
  <c r="G31" i="60"/>
  <c r="G30" i="60"/>
  <c r="G29" i="60"/>
  <c r="G28" i="60"/>
  <c r="G27" i="60"/>
  <c r="J26" i="60"/>
  <c r="G26" i="60"/>
  <c r="G25" i="60"/>
  <c r="G24" i="60"/>
  <c r="G23" i="60"/>
  <c r="G22" i="60"/>
  <c r="G21" i="60"/>
  <c r="G20" i="60"/>
  <c r="G19" i="60"/>
  <c r="G18" i="60"/>
  <c r="G17" i="60"/>
  <c r="G16" i="60"/>
  <c r="G15" i="60"/>
  <c r="G14" i="60"/>
  <c r="G13" i="60"/>
  <c r="G12" i="60"/>
  <c r="G11" i="60"/>
  <c r="G10" i="60"/>
  <c r="G9" i="60"/>
  <c r="G8" i="60"/>
  <c r="G7" i="60"/>
  <c r="G6" i="60"/>
  <c r="V60" i="59"/>
  <c r="U60" i="59"/>
  <c r="S60" i="59"/>
  <c r="R60" i="59"/>
  <c r="P60" i="59"/>
  <c r="O60" i="59"/>
  <c r="M60" i="59"/>
  <c r="L60" i="59"/>
  <c r="F60" i="59"/>
  <c r="E60" i="59"/>
  <c r="D60" i="59"/>
  <c r="C60" i="59"/>
  <c r="B60" i="59"/>
  <c r="G58" i="59"/>
  <c r="G57" i="59"/>
  <c r="G56" i="59"/>
  <c r="G55" i="59"/>
  <c r="G54" i="59"/>
  <c r="G53" i="59"/>
  <c r="G52" i="59"/>
  <c r="G51" i="59"/>
  <c r="G50" i="59"/>
  <c r="G49" i="59"/>
  <c r="G48" i="59"/>
  <c r="G47" i="59"/>
  <c r="G46" i="59"/>
  <c r="G45" i="59"/>
  <c r="G44" i="59"/>
  <c r="G43" i="59"/>
  <c r="G42" i="59"/>
  <c r="G41" i="59"/>
  <c r="G40" i="59"/>
  <c r="G39" i="59"/>
  <c r="G38" i="59"/>
  <c r="G37" i="59"/>
  <c r="G36" i="59"/>
  <c r="G35" i="59"/>
  <c r="G34" i="59"/>
  <c r="G33" i="59"/>
  <c r="G32" i="59"/>
  <c r="G31" i="59"/>
  <c r="G30" i="59"/>
  <c r="G29" i="59"/>
  <c r="G28" i="59"/>
  <c r="G27" i="59"/>
  <c r="J26" i="59"/>
  <c r="G26" i="59"/>
  <c r="G25" i="59"/>
  <c r="G24" i="59"/>
  <c r="G23" i="59"/>
  <c r="G22" i="59"/>
  <c r="G21" i="59"/>
  <c r="G20" i="59"/>
  <c r="G19" i="59"/>
  <c r="G18" i="59"/>
  <c r="G17" i="59"/>
  <c r="G16" i="59"/>
  <c r="G15" i="59"/>
  <c r="G14" i="59"/>
  <c r="G13" i="59"/>
  <c r="G12" i="59"/>
  <c r="G11" i="59"/>
  <c r="G10" i="59"/>
  <c r="G9" i="59"/>
  <c r="G8" i="59"/>
  <c r="G7" i="59"/>
  <c r="G6" i="59"/>
  <c r="V60" i="58"/>
  <c r="U60" i="58"/>
  <c r="S60" i="58"/>
  <c r="R60" i="58"/>
  <c r="P60" i="58"/>
  <c r="O60" i="58"/>
  <c r="M60" i="58"/>
  <c r="L60" i="58"/>
  <c r="F60" i="58"/>
  <c r="E60" i="58"/>
  <c r="D60" i="58"/>
  <c r="C60" i="58"/>
  <c r="B60" i="58"/>
  <c r="G58" i="58"/>
  <c r="G57" i="58"/>
  <c r="G56" i="58"/>
  <c r="G55" i="58"/>
  <c r="G54" i="58"/>
  <c r="G53" i="58"/>
  <c r="G52" i="58"/>
  <c r="G51" i="58"/>
  <c r="G50" i="58"/>
  <c r="G49" i="58"/>
  <c r="G48" i="58"/>
  <c r="G47" i="58"/>
  <c r="G46" i="58"/>
  <c r="G45" i="58"/>
  <c r="G44" i="58"/>
  <c r="G43" i="58"/>
  <c r="G42" i="58"/>
  <c r="G41" i="58"/>
  <c r="G40" i="58"/>
  <c r="G39" i="58"/>
  <c r="G38" i="58"/>
  <c r="G37" i="58"/>
  <c r="G36" i="58"/>
  <c r="G35" i="58"/>
  <c r="G34" i="58"/>
  <c r="G33" i="58"/>
  <c r="G32" i="58"/>
  <c r="G31" i="58"/>
  <c r="G30" i="58"/>
  <c r="G29" i="58"/>
  <c r="G28" i="58"/>
  <c r="G27" i="58"/>
  <c r="J26" i="58"/>
  <c r="G26" i="58"/>
  <c r="G25" i="58"/>
  <c r="G24" i="58"/>
  <c r="G23" i="58"/>
  <c r="G22" i="58"/>
  <c r="G21" i="58"/>
  <c r="G20" i="58"/>
  <c r="G19" i="58"/>
  <c r="G18" i="58"/>
  <c r="G17" i="58"/>
  <c r="G16" i="58"/>
  <c r="G15" i="58"/>
  <c r="G14" i="58"/>
  <c r="G13" i="58"/>
  <c r="G12" i="58"/>
  <c r="G11" i="58"/>
  <c r="G10" i="58"/>
  <c r="G9" i="58"/>
  <c r="G8" i="58"/>
  <c r="G7" i="58"/>
  <c r="G6" i="58"/>
  <c r="V60" i="57"/>
  <c r="U60" i="57"/>
  <c r="S60" i="57"/>
  <c r="R60" i="57"/>
  <c r="P60" i="57"/>
  <c r="O60" i="57"/>
  <c r="M60" i="57"/>
  <c r="L60" i="57"/>
  <c r="F60" i="57"/>
  <c r="E60" i="57"/>
  <c r="D60" i="57"/>
  <c r="C60" i="57"/>
  <c r="B60" i="57"/>
  <c r="G58" i="57"/>
  <c r="G57" i="57"/>
  <c r="G56" i="57"/>
  <c r="G55" i="57"/>
  <c r="G54" i="57"/>
  <c r="G53" i="57"/>
  <c r="G52" i="57"/>
  <c r="G51" i="57"/>
  <c r="G50" i="57"/>
  <c r="G49" i="57"/>
  <c r="G48" i="57"/>
  <c r="G47" i="57"/>
  <c r="G46" i="57"/>
  <c r="G45" i="57"/>
  <c r="G44" i="57"/>
  <c r="G43" i="57"/>
  <c r="G42" i="57"/>
  <c r="G41" i="57"/>
  <c r="G40" i="57"/>
  <c r="G39" i="57"/>
  <c r="G38" i="57"/>
  <c r="G37" i="57"/>
  <c r="G36" i="57"/>
  <c r="G35" i="57"/>
  <c r="G34" i="57"/>
  <c r="G33" i="57"/>
  <c r="G32" i="57"/>
  <c r="G31" i="57"/>
  <c r="G30" i="57"/>
  <c r="G29" i="57"/>
  <c r="G28" i="57"/>
  <c r="G27" i="57"/>
  <c r="J26" i="57"/>
  <c r="G26" i="57"/>
  <c r="G25" i="57"/>
  <c r="G24" i="57"/>
  <c r="G23" i="57"/>
  <c r="G22" i="57"/>
  <c r="G21" i="57"/>
  <c r="G20" i="57"/>
  <c r="G19" i="57"/>
  <c r="G18" i="57"/>
  <c r="G17" i="57"/>
  <c r="G16" i="57"/>
  <c r="G15" i="57"/>
  <c r="G14" i="57"/>
  <c r="G13" i="57"/>
  <c r="G12" i="57"/>
  <c r="G11" i="57"/>
  <c r="G10" i="57"/>
  <c r="G9" i="57"/>
  <c r="G8" i="57"/>
  <c r="G7" i="57"/>
  <c r="G6" i="57"/>
  <c r="V60" i="56"/>
  <c r="U60" i="56"/>
  <c r="S60" i="56"/>
  <c r="R60" i="56"/>
  <c r="P60" i="56"/>
  <c r="O60" i="56"/>
  <c r="M60" i="56"/>
  <c r="L60" i="56"/>
  <c r="F60" i="56"/>
  <c r="E60" i="56"/>
  <c r="D60" i="56"/>
  <c r="C60" i="56"/>
  <c r="B60" i="56"/>
  <c r="G58" i="56"/>
  <c r="G57" i="56"/>
  <c r="G56" i="56"/>
  <c r="G55" i="56"/>
  <c r="G54" i="56"/>
  <c r="G53" i="56"/>
  <c r="G52" i="56"/>
  <c r="G51" i="56"/>
  <c r="G50" i="56"/>
  <c r="G49" i="56"/>
  <c r="G48" i="56"/>
  <c r="G47" i="56"/>
  <c r="G46" i="56"/>
  <c r="G45" i="56"/>
  <c r="G44" i="56"/>
  <c r="G43" i="56"/>
  <c r="G42" i="56"/>
  <c r="G41" i="56"/>
  <c r="G40" i="56"/>
  <c r="G39" i="56"/>
  <c r="G38" i="56"/>
  <c r="G37" i="56"/>
  <c r="G36" i="56"/>
  <c r="G35" i="56"/>
  <c r="G34" i="56"/>
  <c r="G33" i="56"/>
  <c r="G32" i="56"/>
  <c r="G31" i="56"/>
  <c r="G30" i="56"/>
  <c r="G29" i="56"/>
  <c r="G28" i="56"/>
  <c r="G27" i="56"/>
  <c r="J26" i="56"/>
  <c r="G26" i="56"/>
  <c r="G25" i="56"/>
  <c r="G24" i="56"/>
  <c r="G23" i="56"/>
  <c r="G22" i="56"/>
  <c r="G21" i="56"/>
  <c r="G20" i="56"/>
  <c r="G19" i="56"/>
  <c r="G18" i="56"/>
  <c r="G17" i="56"/>
  <c r="G16" i="56"/>
  <c r="G15" i="56"/>
  <c r="G14" i="56"/>
  <c r="G13" i="56"/>
  <c r="G12" i="56"/>
  <c r="G11" i="56"/>
  <c r="G10" i="56"/>
  <c r="G9" i="56"/>
  <c r="G8" i="56"/>
  <c r="G7" i="56"/>
  <c r="G6" i="56"/>
  <c r="V60" i="55"/>
  <c r="U60" i="55"/>
  <c r="S60" i="55"/>
  <c r="R60" i="55"/>
  <c r="P60" i="55"/>
  <c r="O60" i="55"/>
  <c r="M60" i="55"/>
  <c r="L60" i="55"/>
  <c r="F60" i="55"/>
  <c r="E60" i="55"/>
  <c r="D60" i="55"/>
  <c r="C60" i="55"/>
  <c r="B60" i="55"/>
  <c r="G58" i="55"/>
  <c r="G57" i="55"/>
  <c r="G56" i="55"/>
  <c r="G55" i="55"/>
  <c r="G54" i="55"/>
  <c r="G53" i="55"/>
  <c r="G52" i="55"/>
  <c r="G51" i="55"/>
  <c r="G50" i="55"/>
  <c r="G49" i="55"/>
  <c r="G48" i="55"/>
  <c r="G47" i="55"/>
  <c r="G46" i="55"/>
  <c r="G45" i="55"/>
  <c r="G44" i="55"/>
  <c r="G43" i="55"/>
  <c r="G42" i="55"/>
  <c r="G41" i="55"/>
  <c r="G40" i="55"/>
  <c r="G39" i="55"/>
  <c r="G38" i="55"/>
  <c r="G37" i="55"/>
  <c r="G36" i="55"/>
  <c r="G35" i="55"/>
  <c r="G34" i="55"/>
  <c r="G33" i="55"/>
  <c r="G32" i="55"/>
  <c r="G31" i="55"/>
  <c r="G30" i="55"/>
  <c r="G29" i="55"/>
  <c r="G28" i="55"/>
  <c r="G27" i="55"/>
  <c r="J26" i="55"/>
  <c r="G26" i="55"/>
  <c r="G25" i="55"/>
  <c r="G24" i="55"/>
  <c r="G23" i="55"/>
  <c r="G22" i="55"/>
  <c r="G21" i="55"/>
  <c r="G20" i="55"/>
  <c r="G19" i="55"/>
  <c r="G18" i="55"/>
  <c r="G17" i="55"/>
  <c r="G16" i="55"/>
  <c r="G15" i="55"/>
  <c r="G14" i="55"/>
  <c r="G13" i="55"/>
  <c r="G12" i="55"/>
  <c r="G11" i="55"/>
  <c r="G10" i="55"/>
  <c r="G9" i="55"/>
  <c r="G8" i="55"/>
  <c r="G7" i="55"/>
  <c r="G6" i="55"/>
  <c r="V60" i="54"/>
  <c r="U60" i="54"/>
  <c r="S60" i="54"/>
  <c r="R60" i="54"/>
  <c r="P60" i="54"/>
  <c r="O60" i="54"/>
  <c r="M60" i="54"/>
  <c r="L60" i="54"/>
  <c r="F60" i="54"/>
  <c r="E60" i="54"/>
  <c r="D60" i="54"/>
  <c r="C60" i="54"/>
  <c r="B60" i="54"/>
  <c r="G58" i="54"/>
  <c r="G57" i="54"/>
  <c r="G56" i="54"/>
  <c r="G55" i="54"/>
  <c r="G54" i="54"/>
  <c r="G53" i="54"/>
  <c r="G52" i="54"/>
  <c r="G51" i="54"/>
  <c r="G50" i="54"/>
  <c r="G49" i="54"/>
  <c r="G48" i="54"/>
  <c r="G47" i="54"/>
  <c r="G46" i="54"/>
  <c r="G45" i="54"/>
  <c r="G44" i="54"/>
  <c r="G43" i="54"/>
  <c r="G42" i="54"/>
  <c r="G41" i="54"/>
  <c r="G40" i="54"/>
  <c r="G39" i="54"/>
  <c r="G38" i="54"/>
  <c r="G37" i="54"/>
  <c r="G36" i="54"/>
  <c r="G35" i="54"/>
  <c r="G34" i="54"/>
  <c r="G33" i="54"/>
  <c r="G32" i="54"/>
  <c r="G31" i="54"/>
  <c r="G30" i="54"/>
  <c r="G29" i="54"/>
  <c r="G28" i="54"/>
  <c r="G27" i="54"/>
  <c r="J26" i="54"/>
  <c r="G26" i="54"/>
  <c r="G25" i="54"/>
  <c r="G24" i="54"/>
  <c r="G23" i="54"/>
  <c r="G22" i="54"/>
  <c r="G21" i="54"/>
  <c r="G20" i="54"/>
  <c r="G19" i="54"/>
  <c r="G18" i="54"/>
  <c r="G17" i="54"/>
  <c r="G16" i="54"/>
  <c r="G15" i="54"/>
  <c r="G14" i="54"/>
  <c r="G13" i="54"/>
  <c r="G12" i="54"/>
  <c r="G11" i="54"/>
  <c r="G10" i="54"/>
  <c r="G9" i="54"/>
  <c r="G8" i="54"/>
  <c r="G7" i="54"/>
  <c r="G6" i="54"/>
  <c r="V60" i="53"/>
  <c r="U60" i="53"/>
  <c r="S60" i="53"/>
  <c r="R60" i="53"/>
  <c r="P60" i="53"/>
  <c r="O60" i="53"/>
  <c r="M60" i="53"/>
  <c r="L60" i="53"/>
  <c r="F60" i="53"/>
  <c r="E60" i="53"/>
  <c r="D60" i="53"/>
  <c r="C60" i="53"/>
  <c r="B60" i="53"/>
  <c r="G58" i="53"/>
  <c r="G57" i="53"/>
  <c r="G56" i="53"/>
  <c r="G55" i="53"/>
  <c r="G54" i="53"/>
  <c r="G53" i="53"/>
  <c r="G52" i="53"/>
  <c r="G51" i="53"/>
  <c r="G50" i="53"/>
  <c r="G49" i="53"/>
  <c r="G48" i="53"/>
  <c r="G47" i="53"/>
  <c r="G46" i="53"/>
  <c r="G45" i="53"/>
  <c r="G44" i="53"/>
  <c r="G43" i="53"/>
  <c r="G42" i="53"/>
  <c r="G41" i="53"/>
  <c r="G40" i="53"/>
  <c r="G39" i="53"/>
  <c r="G38" i="53"/>
  <c r="G37" i="53"/>
  <c r="G36" i="53"/>
  <c r="G35" i="53"/>
  <c r="G34" i="53"/>
  <c r="G33" i="53"/>
  <c r="G32" i="53"/>
  <c r="G31" i="53"/>
  <c r="G30" i="53"/>
  <c r="G29" i="53"/>
  <c r="G28" i="53"/>
  <c r="G27" i="53"/>
  <c r="J26" i="53"/>
  <c r="G26" i="53"/>
  <c r="G25" i="53"/>
  <c r="G24" i="53"/>
  <c r="G23" i="53"/>
  <c r="G22" i="53"/>
  <c r="G21" i="53"/>
  <c r="G20" i="53"/>
  <c r="G19" i="53"/>
  <c r="G18" i="53"/>
  <c r="G17" i="53"/>
  <c r="G16" i="53"/>
  <c r="G15" i="53"/>
  <c r="G14" i="53"/>
  <c r="G13" i="53"/>
  <c r="G12" i="53"/>
  <c r="G11" i="53"/>
  <c r="G10" i="53"/>
  <c r="G9" i="53"/>
  <c r="G8" i="53"/>
  <c r="G7" i="53"/>
  <c r="G6" i="53"/>
  <c r="V60" i="52"/>
  <c r="U60" i="52"/>
  <c r="S60" i="52"/>
  <c r="R60" i="52"/>
  <c r="P60" i="52"/>
  <c r="O60" i="52"/>
  <c r="M60" i="52"/>
  <c r="L60" i="52"/>
  <c r="F60" i="52"/>
  <c r="E60" i="52"/>
  <c r="D60" i="52"/>
  <c r="C60" i="52"/>
  <c r="B60" i="52"/>
  <c r="G58" i="52"/>
  <c r="G57" i="52"/>
  <c r="G56" i="52"/>
  <c r="G55" i="52"/>
  <c r="G54" i="52"/>
  <c r="G53" i="52"/>
  <c r="G52" i="52"/>
  <c r="G51" i="52"/>
  <c r="G50" i="52"/>
  <c r="G49" i="52"/>
  <c r="G48" i="52"/>
  <c r="G47" i="52"/>
  <c r="G46" i="52"/>
  <c r="G45" i="52"/>
  <c r="G44" i="52"/>
  <c r="G43" i="52"/>
  <c r="G42" i="52"/>
  <c r="G41" i="52"/>
  <c r="G40" i="52"/>
  <c r="G39" i="52"/>
  <c r="G38" i="52"/>
  <c r="G37" i="52"/>
  <c r="G36" i="52"/>
  <c r="G35" i="52"/>
  <c r="G34" i="52"/>
  <c r="G33" i="52"/>
  <c r="G32" i="52"/>
  <c r="G31" i="52"/>
  <c r="G30" i="52"/>
  <c r="G29" i="52"/>
  <c r="G28" i="52"/>
  <c r="G27" i="52"/>
  <c r="J26" i="52"/>
  <c r="G26" i="52"/>
  <c r="G25" i="52"/>
  <c r="G24" i="52"/>
  <c r="G23" i="52"/>
  <c r="G22" i="52"/>
  <c r="G21" i="52"/>
  <c r="G20" i="52"/>
  <c r="G19" i="52"/>
  <c r="G18" i="52"/>
  <c r="G17" i="52"/>
  <c r="G16" i="52"/>
  <c r="G15" i="52"/>
  <c r="G14" i="52"/>
  <c r="G13" i="52"/>
  <c r="G12" i="52"/>
  <c r="G11" i="52"/>
  <c r="G10" i="52"/>
  <c r="G9" i="52"/>
  <c r="G8" i="52"/>
  <c r="G7" i="52"/>
  <c r="G6" i="52"/>
  <c r="V60" i="51"/>
  <c r="U60" i="51"/>
  <c r="S60" i="51"/>
  <c r="R60" i="51"/>
  <c r="P60" i="51"/>
  <c r="O60" i="51"/>
  <c r="M60" i="51"/>
  <c r="L60" i="51"/>
  <c r="F60" i="51"/>
  <c r="E60" i="51"/>
  <c r="D60" i="51"/>
  <c r="C60" i="51"/>
  <c r="B60" i="51"/>
  <c r="G58" i="51"/>
  <c r="G57" i="51"/>
  <c r="G56" i="51"/>
  <c r="G55" i="51"/>
  <c r="G54" i="51"/>
  <c r="G53" i="51"/>
  <c r="G52" i="51"/>
  <c r="G51" i="51"/>
  <c r="G50" i="51"/>
  <c r="G49" i="51"/>
  <c r="G48" i="51"/>
  <c r="G47" i="51"/>
  <c r="G46" i="51"/>
  <c r="G45" i="51"/>
  <c r="G44" i="51"/>
  <c r="G43" i="51"/>
  <c r="G42" i="51"/>
  <c r="G41" i="51"/>
  <c r="G40" i="51"/>
  <c r="G39" i="51"/>
  <c r="G38" i="51"/>
  <c r="G37" i="51"/>
  <c r="G36" i="51"/>
  <c r="G35" i="51"/>
  <c r="G34" i="51"/>
  <c r="G33" i="51"/>
  <c r="G32" i="51"/>
  <c r="G31" i="51"/>
  <c r="G30" i="51"/>
  <c r="G29" i="51"/>
  <c r="G28" i="51"/>
  <c r="G27" i="51"/>
  <c r="J26" i="51"/>
  <c r="G26" i="51"/>
  <c r="G25" i="51"/>
  <c r="G24" i="51"/>
  <c r="G23" i="51"/>
  <c r="G22" i="51"/>
  <c r="G21" i="51"/>
  <c r="G20" i="51"/>
  <c r="G19" i="51"/>
  <c r="G18" i="51"/>
  <c r="G17" i="51"/>
  <c r="G16" i="51"/>
  <c r="G15" i="51"/>
  <c r="G14" i="51"/>
  <c r="G13" i="51"/>
  <c r="G12" i="51"/>
  <c r="G11" i="51"/>
  <c r="G10" i="51"/>
  <c r="G9" i="51"/>
  <c r="G8" i="51"/>
  <c r="G7" i="51"/>
  <c r="G6" i="51"/>
  <c r="V60" i="50"/>
  <c r="U60" i="50"/>
  <c r="S60" i="50"/>
  <c r="R60" i="50"/>
  <c r="P60" i="50"/>
  <c r="O60" i="50"/>
  <c r="M60" i="50"/>
  <c r="L60" i="50"/>
  <c r="F60" i="50"/>
  <c r="E60" i="50"/>
  <c r="D60" i="50"/>
  <c r="C60" i="50"/>
  <c r="B60" i="50"/>
  <c r="G58" i="50"/>
  <c r="G57" i="50"/>
  <c r="G56" i="50"/>
  <c r="G55" i="50"/>
  <c r="G54" i="50"/>
  <c r="G53" i="50"/>
  <c r="G52" i="50"/>
  <c r="G51" i="50"/>
  <c r="G50" i="50"/>
  <c r="G49" i="50"/>
  <c r="G48" i="50"/>
  <c r="G47" i="50"/>
  <c r="G46" i="50"/>
  <c r="G45" i="50"/>
  <c r="G44" i="50"/>
  <c r="G43" i="50"/>
  <c r="G42" i="50"/>
  <c r="G41" i="50"/>
  <c r="G40" i="50"/>
  <c r="G39" i="50"/>
  <c r="G38" i="50"/>
  <c r="G37" i="50"/>
  <c r="G36" i="50"/>
  <c r="G35" i="50"/>
  <c r="G34" i="50"/>
  <c r="G33" i="50"/>
  <c r="G32" i="50"/>
  <c r="G31" i="50"/>
  <c r="G30" i="50"/>
  <c r="G29" i="50"/>
  <c r="G28" i="50"/>
  <c r="G27" i="50"/>
  <c r="J26" i="50"/>
  <c r="G26" i="50"/>
  <c r="G25" i="50"/>
  <c r="G24" i="50"/>
  <c r="G23" i="50"/>
  <c r="G22" i="50"/>
  <c r="G21" i="50"/>
  <c r="G20" i="50"/>
  <c r="G19" i="50"/>
  <c r="G18" i="50"/>
  <c r="G17" i="50"/>
  <c r="G16" i="50"/>
  <c r="G15" i="50"/>
  <c r="G14" i="50"/>
  <c r="G13" i="50"/>
  <c r="G12" i="50"/>
  <c r="G11" i="50"/>
  <c r="G10" i="50"/>
  <c r="G9" i="50"/>
  <c r="G8" i="50"/>
  <c r="G7" i="50"/>
  <c r="G6" i="50"/>
  <c r="V60" i="49"/>
  <c r="U60" i="49"/>
  <c r="S60" i="49"/>
  <c r="R60" i="49"/>
  <c r="P60" i="49"/>
  <c r="O60" i="49"/>
  <c r="M60" i="49"/>
  <c r="L60" i="49"/>
  <c r="F60" i="49"/>
  <c r="E60" i="49"/>
  <c r="D60" i="49"/>
  <c r="C60" i="49"/>
  <c r="B60" i="49"/>
  <c r="G58" i="49"/>
  <c r="G57" i="49"/>
  <c r="G56" i="49"/>
  <c r="G55" i="49"/>
  <c r="G54" i="49"/>
  <c r="G53" i="49"/>
  <c r="G52" i="49"/>
  <c r="G51" i="49"/>
  <c r="G50" i="49"/>
  <c r="G49" i="49"/>
  <c r="G48" i="49"/>
  <c r="G47" i="49"/>
  <c r="G46" i="49"/>
  <c r="G45" i="49"/>
  <c r="G44" i="49"/>
  <c r="G43" i="49"/>
  <c r="G42" i="49"/>
  <c r="G41" i="49"/>
  <c r="G40" i="49"/>
  <c r="G39" i="49"/>
  <c r="G38" i="49"/>
  <c r="G37" i="49"/>
  <c r="G36" i="49"/>
  <c r="G35" i="49"/>
  <c r="G34" i="49"/>
  <c r="G33" i="49"/>
  <c r="G32" i="49"/>
  <c r="G31" i="49"/>
  <c r="G30" i="49"/>
  <c r="G29" i="49"/>
  <c r="G28" i="49"/>
  <c r="G27" i="49"/>
  <c r="J26" i="49"/>
  <c r="G26" i="49"/>
  <c r="G25" i="49"/>
  <c r="G24" i="49"/>
  <c r="G23" i="49"/>
  <c r="G22" i="49"/>
  <c r="G21" i="49"/>
  <c r="G20" i="49"/>
  <c r="G19" i="49"/>
  <c r="G18" i="49"/>
  <c r="G17" i="49"/>
  <c r="G16" i="49"/>
  <c r="G15" i="49"/>
  <c r="G14" i="49"/>
  <c r="G13" i="49"/>
  <c r="G12" i="49"/>
  <c r="G11" i="49"/>
  <c r="G10" i="49"/>
  <c r="G9" i="49"/>
  <c r="G8" i="49"/>
  <c r="G7" i="49"/>
  <c r="G6" i="49"/>
  <c r="V60" i="48"/>
  <c r="U60" i="48"/>
  <c r="S60" i="48"/>
  <c r="R60" i="48"/>
  <c r="P60" i="48"/>
  <c r="O60" i="48"/>
  <c r="M60" i="48"/>
  <c r="L60" i="48"/>
  <c r="F60" i="48"/>
  <c r="E60" i="48"/>
  <c r="D60" i="48"/>
  <c r="C60" i="48"/>
  <c r="B60" i="48"/>
  <c r="G58" i="48"/>
  <c r="G57" i="48"/>
  <c r="G56" i="48"/>
  <c r="G55" i="48"/>
  <c r="G54" i="48"/>
  <c r="G53" i="48"/>
  <c r="G52" i="48"/>
  <c r="G51" i="48"/>
  <c r="G50" i="48"/>
  <c r="G49" i="48"/>
  <c r="G48" i="48"/>
  <c r="G47" i="48"/>
  <c r="G46" i="48"/>
  <c r="G45" i="48"/>
  <c r="G44" i="48"/>
  <c r="G43" i="48"/>
  <c r="G42" i="48"/>
  <c r="G41" i="48"/>
  <c r="G40" i="48"/>
  <c r="G39" i="48"/>
  <c r="G38" i="48"/>
  <c r="G37" i="48"/>
  <c r="G36" i="48"/>
  <c r="G35" i="48"/>
  <c r="G34" i="48"/>
  <c r="G33" i="48"/>
  <c r="G32" i="48"/>
  <c r="G31" i="48"/>
  <c r="G30" i="48"/>
  <c r="G29" i="48"/>
  <c r="G28" i="48"/>
  <c r="G27" i="48"/>
  <c r="J26" i="48"/>
  <c r="G26" i="48"/>
  <c r="G25" i="48"/>
  <c r="G24" i="48"/>
  <c r="G23" i="48"/>
  <c r="G22" i="48"/>
  <c r="G21" i="48"/>
  <c r="G20" i="48"/>
  <c r="G19" i="48"/>
  <c r="G18" i="48"/>
  <c r="G17" i="48"/>
  <c r="G16" i="48"/>
  <c r="G15" i="48"/>
  <c r="G14" i="48"/>
  <c r="G13" i="48"/>
  <c r="G12" i="48"/>
  <c r="G11" i="48"/>
  <c r="G10" i="48"/>
  <c r="G9" i="48"/>
  <c r="G8" i="48"/>
  <c r="G7" i="48"/>
  <c r="G6" i="48"/>
  <c r="V60" i="47"/>
  <c r="U60" i="47"/>
  <c r="S60" i="47"/>
  <c r="R60" i="47"/>
  <c r="P60" i="47"/>
  <c r="O60" i="47"/>
  <c r="M60" i="47"/>
  <c r="L60" i="47"/>
  <c r="F60" i="47"/>
  <c r="E60" i="47"/>
  <c r="D60" i="47"/>
  <c r="C60" i="47"/>
  <c r="B60" i="47"/>
  <c r="G58" i="47"/>
  <c r="G57" i="47"/>
  <c r="G56" i="47"/>
  <c r="G55" i="47"/>
  <c r="G54" i="47"/>
  <c r="G53" i="47"/>
  <c r="G52" i="47"/>
  <c r="G51" i="47"/>
  <c r="G50" i="47"/>
  <c r="G49" i="47"/>
  <c r="G48" i="47"/>
  <c r="G47" i="47"/>
  <c r="G46" i="47"/>
  <c r="G45" i="47"/>
  <c r="G44" i="47"/>
  <c r="G43" i="47"/>
  <c r="G42" i="47"/>
  <c r="G41" i="47"/>
  <c r="G40" i="47"/>
  <c r="G39" i="47"/>
  <c r="G38" i="47"/>
  <c r="G37" i="47"/>
  <c r="G36" i="47"/>
  <c r="G35" i="47"/>
  <c r="G34" i="47"/>
  <c r="G33" i="47"/>
  <c r="G32" i="47"/>
  <c r="G31" i="47"/>
  <c r="G30" i="47"/>
  <c r="G29" i="47"/>
  <c r="G28" i="47"/>
  <c r="G27" i="47"/>
  <c r="J26" i="47"/>
  <c r="G26" i="47"/>
  <c r="G25" i="47"/>
  <c r="G24" i="47"/>
  <c r="G23" i="47"/>
  <c r="G22" i="47"/>
  <c r="G21" i="47"/>
  <c r="G20" i="47"/>
  <c r="G19" i="47"/>
  <c r="G18" i="47"/>
  <c r="G17" i="47"/>
  <c r="G16" i="47"/>
  <c r="G15" i="47"/>
  <c r="G14" i="47"/>
  <c r="G13" i="47"/>
  <c r="G12" i="47"/>
  <c r="G11" i="47"/>
  <c r="G10" i="47"/>
  <c r="G9" i="47"/>
  <c r="G8" i="47"/>
  <c r="G7" i="47"/>
  <c r="G6" i="47"/>
  <c r="V60" i="46"/>
  <c r="U60" i="46"/>
  <c r="S60" i="46"/>
  <c r="R60" i="46"/>
  <c r="P60" i="46"/>
  <c r="O60" i="46"/>
  <c r="M60" i="46"/>
  <c r="L60" i="46"/>
  <c r="F60" i="46"/>
  <c r="E60" i="46"/>
  <c r="D60" i="46"/>
  <c r="C60" i="46"/>
  <c r="B60" i="46"/>
  <c r="G58" i="46"/>
  <c r="G57" i="46"/>
  <c r="G56" i="46"/>
  <c r="G55" i="46"/>
  <c r="G54" i="46"/>
  <c r="G53" i="46"/>
  <c r="G52" i="46"/>
  <c r="G51" i="46"/>
  <c r="G50" i="46"/>
  <c r="G49" i="46"/>
  <c r="G48" i="46"/>
  <c r="G47" i="46"/>
  <c r="G46" i="46"/>
  <c r="G45" i="46"/>
  <c r="G44" i="46"/>
  <c r="G43" i="46"/>
  <c r="G42" i="46"/>
  <c r="G41" i="46"/>
  <c r="G40" i="46"/>
  <c r="G39" i="46"/>
  <c r="G38" i="46"/>
  <c r="G37" i="46"/>
  <c r="G36" i="46"/>
  <c r="G35" i="46"/>
  <c r="G34" i="46"/>
  <c r="G33" i="46"/>
  <c r="G32" i="46"/>
  <c r="G31" i="46"/>
  <c r="G30" i="46"/>
  <c r="G29" i="46"/>
  <c r="G28" i="46"/>
  <c r="G27" i="46"/>
  <c r="J26" i="46"/>
  <c r="G26" i="46"/>
  <c r="G25" i="46"/>
  <c r="G24" i="46"/>
  <c r="G23" i="46"/>
  <c r="G22" i="46"/>
  <c r="G21" i="46"/>
  <c r="G20" i="46"/>
  <c r="G19" i="46"/>
  <c r="G18" i="46"/>
  <c r="G17" i="46"/>
  <c r="G16" i="46"/>
  <c r="G15" i="46"/>
  <c r="G14" i="46"/>
  <c r="G13" i="46"/>
  <c r="G12" i="46"/>
  <c r="G11" i="46"/>
  <c r="G10" i="46"/>
  <c r="G9" i="46"/>
  <c r="G8" i="46"/>
  <c r="G7" i="46"/>
  <c r="G6" i="46"/>
  <c r="V60" i="45"/>
  <c r="U60" i="45"/>
  <c r="S60" i="45"/>
  <c r="R60" i="45"/>
  <c r="P60" i="45"/>
  <c r="O60" i="45"/>
  <c r="M60" i="45"/>
  <c r="L60" i="45"/>
  <c r="F60" i="45"/>
  <c r="E60" i="45"/>
  <c r="D60" i="45"/>
  <c r="C60" i="45"/>
  <c r="B60" i="45"/>
  <c r="G58" i="45"/>
  <c r="G57" i="45"/>
  <c r="G56" i="45"/>
  <c r="G55" i="45"/>
  <c r="G54" i="45"/>
  <c r="G53" i="45"/>
  <c r="G52" i="45"/>
  <c r="G51" i="45"/>
  <c r="G50" i="45"/>
  <c r="G49" i="45"/>
  <c r="G48" i="45"/>
  <c r="G47" i="45"/>
  <c r="G46" i="45"/>
  <c r="G45" i="45"/>
  <c r="G44" i="45"/>
  <c r="G43" i="45"/>
  <c r="G42" i="45"/>
  <c r="G41" i="45"/>
  <c r="G40" i="45"/>
  <c r="G39" i="45"/>
  <c r="G38" i="45"/>
  <c r="G37" i="45"/>
  <c r="G36" i="45"/>
  <c r="G35" i="45"/>
  <c r="G34" i="45"/>
  <c r="G33" i="45"/>
  <c r="G32" i="45"/>
  <c r="G31" i="45"/>
  <c r="G30" i="45"/>
  <c r="G29" i="45"/>
  <c r="G28" i="45"/>
  <c r="G27" i="45"/>
  <c r="J26" i="45"/>
  <c r="G26" i="45"/>
  <c r="G25" i="45"/>
  <c r="G24" i="45"/>
  <c r="G23" i="45"/>
  <c r="G22" i="45"/>
  <c r="G21" i="45"/>
  <c r="G20" i="45"/>
  <c r="G19" i="45"/>
  <c r="G18" i="45"/>
  <c r="G17" i="45"/>
  <c r="G16" i="45"/>
  <c r="G15" i="45"/>
  <c r="G14" i="45"/>
  <c r="G13" i="45"/>
  <c r="G12" i="45"/>
  <c r="G11" i="45"/>
  <c r="G10" i="45"/>
  <c r="G9" i="45"/>
  <c r="G8" i="45"/>
  <c r="G7" i="45"/>
  <c r="G6" i="45"/>
  <c r="V60" i="44"/>
  <c r="U60" i="44"/>
  <c r="S60" i="44"/>
  <c r="R60" i="44"/>
  <c r="P60" i="44"/>
  <c r="O60" i="44"/>
  <c r="M60" i="44"/>
  <c r="L60" i="44"/>
  <c r="F60" i="44"/>
  <c r="E60" i="44"/>
  <c r="D60" i="44"/>
  <c r="C60" i="44"/>
  <c r="B60" i="44"/>
  <c r="G58" i="44"/>
  <c r="G57" i="44"/>
  <c r="G56" i="44"/>
  <c r="G55" i="44"/>
  <c r="G54" i="44"/>
  <c r="G53" i="44"/>
  <c r="G52" i="44"/>
  <c r="G51" i="44"/>
  <c r="G50" i="44"/>
  <c r="G49" i="44"/>
  <c r="G48" i="44"/>
  <c r="G47" i="44"/>
  <c r="G46" i="44"/>
  <c r="G45" i="44"/>
  <c r="G44" i="44"/>
  <c r="G43" i="44"/>
  <c r="G42" i="44"/>
  <c r="G41" i="44"/>
  <c r="G40" i="44"/>
  <c r="G39" i="44"/>
  <c r="G38" i="44"/>
  <c r="G37" i="44"/>
  <c r="G36" i="44"/>
  <c r="G35" i="44"/>
  <c r="G34" i="44"/>
  <c r="G33" i="44"/>
  <c r="G32" i="44"/>
  <c r="G31" i="44"/>
  <c r="G30" i="44"/>
  <c r="G29" i="44"/>
  <c r="G28" i="44"/>
  <c r="G27" i="44"/>
  <c r="J26" i="44"/>
  <c r="G26" i="44"/>
  <c r="G25" i="44"/>
  <c r="G24" i="44"/>
  <c r="G23" i="44"/>
  <c r="G22" i="44"/>
  <c r="G21" i="44"/>
  <c r="G20" i="44"/>
  <c r="G19" i="44"/>
  <c r="G18" i="44"/>
  <c r="G17" i="44"/>
  <c r="G16" i="44"/>
  <c r="G15" i="44"/>
  <c r="G14" i="44"/>
  <c r="G13" i="44"/>
  <c r="G12" i="44"/>
  <c r="G11" i="44"/>
  <c r="G10" i="44"/>
  <c r="G9" i="44"/>
  <c r="G8" i="44"/>
  <c r="G7" i="44"/>
  <c r="G6" i="44"/>
  <c r="V60" i="43"/>
  <c r="U60" i="43"/>
  <c r="S60" i="43"/>
  <c r="R60" i="43"/>
  <c r="P60" i="43"/>
  <c r="O60" i="43"/>
  <c r="M60" i="43"/>
  <c r="L60" i="43"/>
  <c r="F60" i="43"/>
  <c r="E60" i="43"/>
  <c r="D60" i="43"/>
  <c r="C60" i="43"/>
  <c r="B60" i="43"/>
  <c r="G58" i="43"/>
  <c r="G57" i="43"/>
  <c r="G56" i="43"/>
  <c r="G55" i="43"/>
  <c r="G54" i="43"/>
  <c r="G53" i="43"/>
  <c r="G52" i="43"/>
  <c r="G51" i="43"/>
  <c r="G50" i="43"/>
  <c r="G49" i="43"/>
  <c r="G48" i="43"/>
  <c r="G47" i="43"/>
  <c r="G46" i="43"/>
  <c r="G45" i="43"/>
  <c r="G44" i="43"/>
  <c r="G43" i="43"/>
  <c r="G42" i="43"/>
  <c r="G41" i="43"/>
  <c r="G40" i="43"/>
  <c r="G39" i="43"/>
  <c r="G38" i="43"/>
  <c r="G37" i="43"/>
  <c r="G36" i="43"/>
  <c r="G35" i="43"/>
  <c r="G34" i="43"/>
  <c r="G33" i="43"/>
  <c r="G32" i="43"/>
  <c r="G31" i="43"/>
  <c r="G30" i="43"/>
  <c r="G29" i="43"/>
  <c r="G28" i="43"/>
  <c r="G27" i="43"/>
  <c r="J26" i="43"/>
  <c r="G26" i="43"/>
  <c r="G25" i="43"/>
  <c r="G24" i="43"/>
  <c r="G23" i="43"/>
  <c r="G22" i="43"/>
  <c r="G21" i="43"/>
  <c r="G20" i="43"/>
  <c r="G19" i="43"/>
  <c r="G18" i="43"/>
  <c r="G17" i="43"/>
  <c r="G16" i="43"/>
  <c r="G15" i="43"/>
  <c r="G14" i="43"/>
  <c r="G13" i="43"/>
  <c r="G12" i="43"/>
  <c r="G11" i="43"/>
  <c r="G10" i="43"/>
  <c r="G9" i="43"/>
  <c r="G8" i="43"/>
  <c r="G7" i="43"/>
  <c r="G6" i="43"/>
  <c r="V60" i="42"/>
  <c r="U60" i="42"/>
  <c r="S60" i="42"/>
  <c r="R60" i="42"/>
  <c r="P60" i="42"/>
  <c r="O60" i="42"/>
  <c r="M60" i="42"/>
  <c r="L60" i="42"/>
  <c r="F60" i="42"/>
  <c r="E60" i="42"/>
  <c r="D60" i="42"/>
  <c r="C60" i="42"/>
  <c r="B60" i="42"/>
  <c r="G58" i="42"/>
  <c r="G57" i="42"/>
  <c r="G56" i="42"/>
  <c r="G55" i="42"/>
  <c r="G54" i="42"/>
  <c r="G53" i="42"/>
  <c r="G52" i="42"/>
  <c r="G51" i="42"/>
  <c r="G50" i="42"/>
  <c r="G49" i="42"/>
  <c r="G48" i="42"/>
  <c r="G47" i="42"/>
  <c r="G46" i="42"/>
  <c r="G45" i="42"/>
  <c r="G44" i="42"/>
  <c r="G43" i="42"/>
  <c r="G42" i="42"/>
  <c r="G41" i="42"/>
  <c r="G40" i="42"/>
  <c r="G39" i="42"/>
  <c r="G38" i="42"/>
  <c r="G37" i="42"/>
  <c r="G36" i="42"/>
  <c r="G35" i="42"/>
  <c r="G34" i="42"/>
  <c r="G33" i="42"/>
  <c r="G32" i="42"/>
  <c r="G31" i="42"/>
  <c r="G30" i="42"/>
  <c r="G29" i="42"/>
  <c r="G28" i="42"/>
  <c r="G27" i="42"/>
  <c r="J26" i="42"/>
  <c r="G26" i="42"/>
  <c r="G25" i="42"/>
  <c r="G24" i="42"/>
  <c r="G23" i="42"/>
  <c r="G22" i="42"/>
  <c r="G21" i="42"/>
  <c r="G20" i="42"/>
  <c r="G19" i="42"/>
  <c r="G18" i="42"/>
  <c r="G17" i="42"/>
  <c r="G16" i="42"/>
  <c r="G15" i="42"/>
  <c r="G14" i="42"/>
  <c r="G13" i="42"/>
  <c r="G12" i="42"/>
  <c r="G11" i="42"/>
  <c r="G10" i="42"/>
  <c r="G9" i="42"/>
  <c r="G8" i="42"/>
  <c r="G7" i="42"/>
  <c r="G6" i="42"/>
  <c r="V60" i="41"/>
  <c r="U60" i="41"/>
  <c r="S60" i="41"/>
  <c r="R60" i="41"/>
  <c r="P60" i="41"/>
  <c r="O60" i="41"/>
  <c r="M60" i="41"/>
  <c r="L60" i="41"/>
  <c r="F60" i="41"/>
  <c r="E60" i="41"/>
  <c r="D60" i="41"/>
  <c r="C60" i="41"/>
  <c r="B60" i="41"/>
  <c r="G58" i="41"/>
  <c r="G57" i="41"/>
  <c r="G56" i="41"/>
  <c r="G55" i="41"/>
  <c r="G54" i="41"/>
  <c r="G53" i="41"/>
  <c r="G52" i="41"/>
  <c r="G51" i="41"/>
  <c r="G50" i="41"/>
  <c r="G49" i="41"/>
  <c r="G48" i="41"/>
  <c r="G47" i="41"/>
  <c r="G46" i="41"/>
  <c r="G45" i="41"/>
  <c r="G44" i="41"/>
  <c r="G43" i="41"/>
  <c r="G42" i="41"/>
  <c r="G41" i="41"/>
  <c r="G40" i="41"/>
  <c r="G39" i="41"/>
  <c r="G38" i="41"/>
  <c r="G37" i="41"/>
  <c r="G36" i="41"/>
  <c r="G35" i="41"/>
  <c r="G34" i="41"/>
  <c r="G33" i="41"/>
  <c r="G32" i="41"/>
  <c r="G31" i="41"/>
  <c r="G30" i="41"/>
  <c r="G29" i="41"/>
  <c r="G28" i="41"/>
  <c r="G27" i="41"/>
  <c r="J26" i="41"/>
  <c r="G26" i="41"/>
  <c r="G25" i="41"/>
  <c r="G24" i="41"/>
  <c r="G23" i="41"/>
  <c r="G22" i="41"/>
  <c r="G21" i="41"/>
  <c r="G20" i="41"/>
  <c r="G19" i="41"/>
  <c r="G18" i="41"/>
  <c r="G17" i="41"/>
  <c r="G16" i="41"/>
  <c r="G15" i="41"/>
  <c r="G14" i="41"/>
  <c r="G13" i="41"/>
  <c r="G12" i="41"/>
  <c r="G11" i="41"/>
  <c r="G10" i="41"/>
  <c r="G9" i="41"/>
  <c r="G8" i="41"/>
  <c r="G7" i="41"/>
  <c r="G6" i="41"/>
  <c r="V60" i="40"/>
  <c r="U60" i="40"/>
  <c r="S60" i="40"/>
  <c r="R60" i="40"/>
  <c r="P60" i="40"/>
  <c r="O60" i="40"/>
  <c r="M60" i="40"/>
  <c r="L60" i="40"/>
  <c r="F60" i="40"/>
  <c r="E60" i="40"/>
  <c r="D60" i="40"/>
  <c r="C60" i="40"/>
  <c r="B60" i="40"/>
  <c r="G58" i="40"/>
  <c r="G57" i="40"/>
  <c r="G56" i="40"/>
  <c r="G55" i="40"/>
  <c r="G54" i="40"/>
  <c r="G53" i="40"/>
  <c r="G52" i="40"/>
  <c r="G51" i="40"/>
  <c r="G50" i="40"/>
  <c r="G49" i="40"/>
  <c r="G48" i="40"/>
  <c r="G47" i="40"/>
  <c r="G46" i="40"/>
  <c r="G45" i="40"/>
  <c r="G44" i="40"/>
  <c r="G43" i="40"/>
  <c r="G42" i="40"/>
  <c r="G41" i="40"/>
  <c r="G40" i="40"/>
  <c r="G39" i="40"/>
  <c r="G38" i="40"/>
  <c r="G37" i="40"/>
  <c r="G36" i="40"/>
  <c r="G35" i="40"/>
  <c r="G34" i="40"/>
  <c r="G33" i="40"/>
  <c r="G32" i="40"/>
  <c r="G31" i="40"/>
  <c r="G30" i="40"/>
  <c r="G29" i="40"/>
  <c r="G28" i="40"/>
  <c r="G27" i="40"/>
  <c r="J26" i="40"/>
  <c r="G26" i="40"/>
  <c r="G25" i="40"/>
  <c r="G24" i="40"/>
  <c r="G23" i="40"/>
  <c r="G22" i="40"/>
  <c r="G21" i="40"/>
  <c r="G20" i="40"/>
  <c r="G19" i="40"/>
  <c r="G18" i="40"/>
  <c r="G17" i="40"/>
  <c r="G16" i="40"/>
  <c r="G15" i="40"/>
  <c r="G14" i="40"/>
  <c r="G13" i="40"/>
  <c r="G12" i="40"/>
  <c r="G11" i="40"/>
  <c r="G10" i="40"/>
  <c r="G9" i="40"/>
  <c r="G8" i="40"/>
  <c r="G7" i="40"/>
  <c r="G6" i="40"/>
  <c r="V60" i="39"/>
  <c r="U60" i="39"/>
  <c r="S60" i="39"/>
  <c r="R60" i="39"/>
  <c r="P60" i="39"/>
  <c r="O60" i="39"/>
  <c r="M60" i="39"/>
  <c r="L60" i="39"/>
  <c r="F60" i="39"/>
  <c r="E60" i="39"/>
  <c r="D60" i="39"/>
  <c r="C60" i="39"/>
  <c r="B60" i="39"/>
  <c r="G58" i="39"/>
  <c r="G57" i="39"/>
  <c r="G56" i="39"/>
  <c r="G55" i="39"/>
  <c r="G54" i="39"/>
  <c r="G53" i="39"/>
  <c r="G52" i="39"/>
  <c r="G51" i="39"/>
  <c r="G50" i="39"/>
  <c r="G49" i="39"/>
  <c r="G48" i="39"/>
  <c r="G47" i="39"/>
  <c r="G46" i="39"/>
  <c r="G45" i="39"/>
  <c r="G44" i="39"/>
  <c r="G43" i="39"/>
  <c r="G42" i="39"/>
  <c r="G41" i="39"/>
  <c r="G40" i="39"/>
  <c r="G39" i="39"/>
  <c r="G38" i="39"/>
  <c r="G37" i="39"/>
  <c r="G36" i="39"/>
  <c r="G35" i="39"/>
  <c r="G34" i="39"/>
  <c r="G33" i="39"/>
  <c r="G32" i="39"/>
  <c r="G31" i="39"/>
  <c r="G30" i="39"/>
  <c r="G29" i="39"/>
  <c r="G28" i="39"/>
  <c r="G27" i="39"/>
  <c r="J26" i="39"/>
  <c r="G26" i="39"/>
  <c r="G25" i="39"/>
  <c r="G24" i="39"/>
  <c r="G23" i="39"/>
  <c r="G22" i="39"/>
  <c r="G21" i="39"/>
  <c r="G20" i="39"/>
  <c r="G19" i="39"/>
  <c r="G18" i="39"/>
  <c r="G17" i="39"/>
  <c r="G16" i="39"/>
  <c r="G15" i="39"/>
  <c r="G14" i="39"/>
  <c r="G13" i="39"/>
  <c r="G12" i="39"/>
  <c r="G11" i="39"/>
  <c r="G10" i="39"/>
  <c r="G9" i="39"/>
  <c r="G8" i="39"/>
  <c r="G7" i="39"/>
  <c r="G6" i="39"/>
  <c r="V60" i="38"/>
  <c r="U60" i="38"/>
  <c r="S60" i="38"/>
  <c r="R60" i="38"/>
  <c r="P60" i="38"/>
  <c r="O60" i="38"/>
  <c r="M60" i="38"/>
  <c r="L60" i="38"/>
  <c r="F60" i="38"/>
  <c r="E60" i="38"/>
  <c r="D60" i="38"/>
  <c r="C60" i="38"/>
  <c r="B60" i="38"/>
  <c r="G58" i="38"/>
  <c r="G57" i="38"/>
  <c r="G56" i="38"/>
  <c r="G55" i="38"/>
  <c r="G54" i="38"/>
  <c r="G53" i="38"/>
  <c r="G52" i="38"/>
  <c r="G51" i="38"/>
  <c r="G50" i="38"/>
  <c r="G49" i="38"/>
  <c r="G48" i="38"/>
  <c r="G47" i="38"/>
  <c r="G46" i="38"/>
  <c r="G45" i="38"/>
  <c r="G44" i="38"/>
  <c r="G43" i="38"/>
  <c r="G42" i="38"/>
  <c r="G41" i="38"/>
  <c r="G40" i="38"/>
  <c r="G39" i="38"/>
  <c r="G38" i="38"/>
  <c r="G37" i="38"/>
  <c r="G36" i="38"/>
  <c r="G35" i="38"/>
  <c r="G34" i="38"/>
  <c r="G33" i="38"/>
  <c r="G32" i="38"/>
  <c r="G31" i="38"/>
  <c r="G30" i="38"/>
  <c r="G29" i="38"/>
  <c r="G28" i="38"/>
  <c r="G27" i="38"/>
  <c r="J26" i="38"/>
  <c r="G26" i="38"/>
  <c r="G25" i="38"/>
  <c r="G24" i="38"/>
  <c r="G23" i="38"/>
  <c r="G22" i="38"/>
  <c r="G21" i="38"/>
  <c r="G20" i="38"/>
  <c r="G19" i="38"/>
  <c r="G18" i="38"/>
  <c r="G17" i="38"/>
  <c r="G16" i="38"/>
  <c r="G15" i="38"/>
  <c r="G14" i="38"/>
  <c r="G13" i="38"/>
  <c r="G12" i="38"/>
  <c r="G11" i="38"/>
  <c r="G10" i="38"/>
  <c r="G9" i="38"/>
  <c r="G8" i="38"/>
  <c r="G7" i="38"/>
  <c r="G6" i="38"/>
  <c r="V60" i="37"/>
  <c r="U60" i="37"/>
  <c r="S60" i="37"/>
  <c r="R60" i="37"/>
  <c r="P60" i="37"/>
  <c r="O60" i="37"/>
  <c r="M60" i="37"/>
  <c r="L60" i="37"/>
  <c r="F60" i="37"/>
  <c r="E60" i="37"/>
  <c r="D60" i="37"/>
  <c r="C60" i="37"/>
  <c r="B60" i="37"/>
  <c r="G58" i="37"/>
  <c r="G57" i="37"/>
  <c r="G56" i="37"/>
  <c r="G55" i="37"/>
  <c r="G54" i="37"/>
  <c r="G53" i="37"/>
  <c r="G52" i="37"/>
  <c r="G51" i="37"/>
  <c r="G50" i="37"/>
  <c r="G49" i="37"/>
  <c r="G48" i="37"/>
  <c r="G47" i="37"/>
  <c r="G46" i="37"/>
  <c r="G45" i="37"/>
  <c r="G44" i="37"/>
  <c r="G43" i="37"/>
  <c r="G42" i="37"/>
  <c r="G41" i="37"/>
  <c r="G40" i="37"/>
  <c r="G39" i="37"/>
  <c r="G38" i="37"/>
  <c r="G37" i="37"/>
  <c r="G36" i="37"/>
  <c r="G35" i="37"/>
  <c r="G34" i="37"/>
  <c r="G33" i="37"/>
  <c r="G32" i="37"/>
  <c r="G31" i="37"/>
  <c r="G30" i="37"/>
  <c r="G29" i="37"/>
  <c r="G28" i="37"/>
  <c r="G27" i="37"/>
  <c r="J26" i="37"/>
  <c r="G26" i="37"/>
  <c r="G25" i="37"/>
  <c r="G24" i="37"/>
  <c r="G23" i="37"/>
  <c r="G22" i="37"/>
  <c r="G21" i="37"/>
  <c r="G20" i="37"/>
  <c r="G19" i="37"/>
  <c r="G18" i="37"/>
  <c r="G17" i="37"/>
  <c r="G16" i="37"/>
  <c r="G15" i="37"/>
  <c r="G14" i="37"/>
  <c r="G13" i="37"/>
  <c r="G12" i="37"/>
  <c r="G11" i="37"/>
  <c r="G10" i="37"/>
  <c r="G9" i="37"/>
  <c r="G8" i="37"/>
  <c r="G7" i="37"/>
  <c r="G6" i="37"/>
  <c r="V60" i="36"/>
  <c r="U60" i="36"/>
  <c r="S60" i="36"/>
  <c r="R60" i="36"/>
  <c r="P60" i="36"/>
  <c r="O60" i="36"/>
  <c r="M60" i="36"/>
  <c r="L60" i="36"/>
  <c r="F60" i="36"/>
  <c r="E60" i="36"/>
  <c r="D60" i="36"/>
  <c r="C60" i="36"/>
  <c r="B60" i="36"/>
  <c r="G58" i="36"/>
  <c r="G57" i="36"/>
  <c r="G56" i="36"/>
  <c r="G55" i="36"/>
  <c r="G54" i="36"/>
  <c r="G53" i="36"/>
  <c r="G52" i="36"/>
  <c r="G51" i="36"/>
  <c r="G50" i="36"/>
  <c r="G49" i="36"/>
  <c r="G48" i="36"/>
  <c r="G47" i="36"/>
  <c r="G46" i="36"/>
  <c r="G45" i="36"/>
  <c r="G44" i="36"/>
  <c r="G43" i="36"/>
  <c r="G42" i="36"/>
  <c r="G41" i="36"/>
  <c r="G40" i="36"/>
  <c r="G39" i="36"/>
  <c r="G38" i="36"/>
  <c r="G37" i="36"/>
  <c r="G36" i="36"/>
  <c r="G35" i="36"/>
  <c r="G34" i="36"/>
  <c r="G33" i="36"/>
  <c r="G32" i="36"/>
  <c r="G31" i="36"/>
  <c r="G30" i="36"/>
  <c r="G29" i="36"/>
  <c r="G28" i="36"/>
  <c r="G27" i="36"/>
  <c r="J26" i="36"/>
  <c r="G26" i="36"/>
  <c r="G25" i="36"/>
  <c r="G24" i="36"/>
  <c r="G23" i="36"/>
  <c r="G22" i="36"/>
  <c r="G21" i="36"/>
  <c r="G20" i="36"/>
  <c r="G19" i="36"/>
  <c r="G18" i="36"/>
  <c r="G17" i="36"/>
  <c r="G16" i="36"/>
  <c r="G15" i="36"/>
  <c r="G14" i="36"/>
  <c r="G13" i="36"/>
  <c r="G12" i="36"/>
  <c r="G11" i="36"/>
  <c r="G10" i="36"/>
  <c r="G9" i="36"/>
  <c r="G8" i="36"/>
  <c r="G7" i="36"/>
  <c r="G6" i="36"/>
  <c r="V60" i="35"/>
  <c r="U60" i="35"/>
  <c r="S60" i="35"/>
  <c r="R60" i="35"/>
  <c r="P60" i="35"/>
  <c r="O60" i="35"/>
  <c r="M60" i="35"/>
  <c r="L60" i="35"/>
  <c r="F60" i="35"/>
  <c r="E60" i="35"/>
  <c r="D60" i="35"/>
  <c r="C60" i="35"/>
  <c r="B60" i="35"/>
  <c r="G58" i="35"/>
  <c r="G57" i="35"/>
  <c r="G56" i="35"/>
  <c r="G55" i="35"/>
  <c r="G54" i="35"/>
  <c r="G53" i="35"/>
  <c r="G52" i="35"/>
  <c r="G51" i="35"/>
  <c r="G50" i="35"/>
  <c r="G49" i="35"/>
  <c r="G48" i="35"/>
  <c r="G47" i="35"/>
  <c r="G46" i="35"/>
  <c r="G45" i="35"/>
  <c r="G44" i="35"/>
  <c r="G43" i="35"/>
  <c r="G42" i="35"/>
  <c r="G41" i="35"/>
  <c r="G40" i="35"/>
  <c r="G39" i="35"/>
  <c r="G38" i="35"/>
  <c r="G37" i="35"/>
  <c r="G36" i="35"/>
  <c r="G35" i="35"/>
  <c r="G34" i="35"/>
  <c r="G33" i="35"/>
  <c r="G32" i="35"/>
  <c r="G31" i="35"/>
  <c r="G30" i="35"/>
  <c r="G29" i="35"/>
  <c r="G28" i="35"/>
  <c r="G27" i="35"/>
  <c r="J26" i="35"/>
  <c r="G26" i="35"/>
  <c r="G25" i="35"/>
  <c r="G24" i="35"/>
  <c r="G23" i="35"/>
  <c r="G22" i="35"/>
  <c r="G21" i="35"/>
  <c r="G20" i="35"/>
  <c r="G19" i="35"/>
  <c r="G18" i="35"/>
  <c r="G17" i="35"/>
  <c r="G16" i="35"/>
  <c r="G15" i="35"/>
  <c r="G14" i="35"/>
  <c r="G13" i="35"/>
  <c r="G12" i="35"/>
  <c r="G11" i="35"/>
  <c r="G10" i="35"/>
  <c r="G9" i="35"/>
  <c r="G8" i="35"/>
  <c r="G7" i="35"/>
  <c r="G6" i="35"/>
  <c r="V60" i="34"/>
  <c r="U60" i="34"/>
  <c r="S60" i="34"/>
  <c r="R60" i="34"/>
  <c r="P60" i="34"/>
  <c r="O60" i="34"/>
  <c r="M60" i="34"/>
  <c r="L60" i="34"/>
  <c r="F60" i="34"/>
  <c r="E60" i="34"/>
  <c r="D60" i="34"/>
  <c r="C60" i="34"/>
  <c r="B60" i="34"/>
  <c r="G58" i="34"/>
  <c r="G57" i="34"/>
  <c r="G56" i="34"/>
  <c r="G55" i="34"/>
  <c r="G54" i="34"/>
  <c r="G53" i="34"/>
  <c r="G52" i="34"/>
  <c r="G51" i="34"/>
  <c r="G50" i="34"/>
  <c r="G49" i="34"/>
  <c r="G48" i="34"/>
  <c r="G47" i="34"/>
  <c r="G46" i="34"/>
  <c r="G45" i="34"/>
  <c r="G44" i="34"/>
  <c r="G43" i="34"/>
  <c r="G42" i="34"/>
  <c r="G41" i="34"/>
  <c r="G40" i="34"/>
  <c r="G39" i="34"/>
  <c r="G38" i="34"/>
  <c r="G37" i="34"/>
  <c r="G36" i="34"/>
  <c r="G35" i="34"/>
  <c r="G34" i="34"/>
  <c r="G33" i="34"/>
  <c r="G32" i="34"/>
  <c r="G31" i="34"/>
  <c r="G30" i="34"/>
  <c r="G29" i="34"/>
  <c r="G28" i="34"/>
  <c r="G27" i="34"/>
  <c r="J26" i="34"/>
  <c r="G26" i="34"/>
  <c r="G25" i="34"/>
  <c r="G24" i="34"/>
  <c r="G23" i="34"/>
  <c r="G22" i="34"/>
  <c r="G21" i="34"/>
  <c r="G20" i="34"/>
  <c r="G19" i="34"/>
  <c r="G18" i="34"/>
  <c r="G17" i="34"/>
  <c r="G16" i="34"/>
  <c r="G15" i="34"/>
  <c r="G14" i="34"/>
  <c r="G13" i="34"/>
  <c r="G12" i="34"/>
  <c r="G11" i="34"/>
  <c r="G10" i="34"/>
  <c r="G9" i="34"/>
  <c r="G8" i="34"/>
  <c r="G7" i="34"/>
  <c r="G6" i="34"/>
  <c r="V60" i="33"/>
  <c r="U60" i="33"/>
  <c r="S60" i="33"/>
  <c r="R60" i="33"/>
  <c r="P60" i="33"/>
  <c r="O60" i="33"/>
  <c r="M60" i="33"/>
  <c r="L60" i="33"/>
  <c r="F60" i="33"/>
  <c r="E60" i="33"/>
  <c r="D60" i="33"/>
  <c r="C60" i="33"/>
  <c r="B60" i="33"/>
  <c r="G58" i="33"/>
  <c r="G57" i="33"/>
  <c r="G56" i="33"/>
  <c r="G55" i="33"/>
  <c r="G54" i="33"/>
  <c r="G53" i="33"/>
  <c r="G52" i="33"/>
  <c r="G51" i="33"/>
  <c r="G50" i="33"/>
  <c r="G49" i="33"/>
  <c r="G48" i="33"/>
  <c r="G47" i="33"/>
  <c r="G46" i="33"/>
  <c r="G45" i="33"/>
  <c r="G44" i="33"/>
  <c r="G43" i="33"/>
  <c r="G42" i="33"/>
  <c r="G41" i="33"/>
  <c r="G40" i="33"/>
  <c r="G39" i="33"/>
  <c r="G38" i="33"/>
  <c r="G37" i="33"/>
  <c r="G36" i="33"/>
  <c r="G35" i="33"/>
  <c r="G34" i="33"/>
  <c r="G33" i="33"/>
  <c r="G32" i="33"/>
  <c r="G31" i="33"/>
  <c r="G30" i="33"/>
  <c r="G29" i="33"/>
  <c r="G28" i="33"/>
  <c r="G27" i="33"/>
  <c r="J26" i="33"/>
  <c r="G26" i="33"/>
  <c r="G25" i="33"/>
  <c r="G24" i="33"/>
  <c r="G23" i="33"/>
  <c r="G22" i="33"/>
  <c r="G21" i="33"/>
  <c r="G20" i="33"/>
  <c r="G19" i="33"/>
  <c r="G18" i="33"/>
  <c r="G17" i="33"/>
  <c r="G16" i="33"/>
  <c r="G15" i="33"/>
  <c r="G14" i="33"/>
  <c r="G13" i="33"/>
  <c r="G12" i="33"/>
  <c r="G11" i="33"/>
  <c r="G10" i="33"/>
  <c r="G9" i="33"/>
  <c r="G8" i="33"/>
  <c r="G7" i="33"/>
  <c r="G6" i="33"/>
  <c r="V60" i="32"/>
  <c r="U60" i="32"/>
  <c r="S60" i="32"/>
  <c r="R60" i="32"/>
  <c r="P60" i="32"/>
  <c r="O60" i="32"/>
  <c r="M60" i="32"/>
  <c r="L60" i="32"/>
  <c r="F60" i="32"/>
  <c r="E60" i="32"/>
  <c r="D60" i="32"/>
  <c r="C60" i="32"/>
  <c r="B60" i="32"/>
  <c r="G58" i="32"/>
  <c r="G57" i="32"/>
  <c r="G56" i="32"/>
  <c r="G55" i="32"/>
  <c r="G54" i="32"/>
  <c r="G53" i="32"/>
  <c r="G52" i="32"/>
  <c r="G51" i="32"/>
  <c r="G50" i="32"/>
  <c r="G49" i="32"/>
  <c r="G48" i="32"/>
  <c r="G47" i="32"/>
  <c r="G46" i="32"/>
  <c r="G45" i="32"/>
  <c r="G44" i="32"/>
  <c r="G43" i="32"/>
  <c r="G42" i="32"/>
  <c r="G41" i="32"/>
  <c r="G40" i="32"/>
  <c r="G39" i="32"/>
  <c r="G38" i="32"/>
  <c r="G37" i="32"/>
  <c r="G36" i="32"/>
  <c r="G35" i="32"/>
  <c r="G34" i="32"/>
  <c r="G33" i="32"/>
  <c r="G32" i="32"/>
  <c r="G31" i="32"/>
  <c r="G30" i="32"/>
  <c r="G29" i="32"/>
  <c r="G28" i="32"/>
  <c r="G27" i="32"/>
  <c r="J26" i="32"/>
  <c r="G26" i="32"/>
  <c r="G25" i="32"/>
  <c r="G24" i="32"/>
  <c r="G23" i="32"/>
  <c r="G22" i="32"/>
  <c r="G21" i="32"/>
  <c r="G20" i="32"/>
  <c r="G19" i="32"/>
  <c r="G18" i="32"/>
  <c r="G17" i="32"/>
  <c r="G16" i="32"/>
  <c r="G15" i="32"/>
  <c r="G14" i="32"/>
  <c r="G13" i="32"/>
  <c r="G12" i="32"/>
  <c r="G11" i="32"/>
  <c r="G10" i="32"/>
  <c r="G9" i="32"/>
  <c r="G8" i="32"/>
  <c r="G7" i="32"/>
  <c r="G6" i="32"/>
  <c r="V60" i="31"/>
  <c r="U60" i="31"/>
  <c r="S60" i="31"/>
  <c r="R60" i="31"/>
  <c r="P60" i="31"/>
  <c r="O60" i="31"/>
  <c r="M60" i="31"/>
  <c r="L60" i="31"/>
  <c r="F60" i="31"/>
  <c r="E60" i="31"/>
  <c r="D60" i="31"/>
  <c r="C60" i="31"/>
  <c r="B60" i="31"/>
  <c r="G58" i="31"/>
  <c r="G57" i="31"/>
  <c r="G56" i="31"/>
  <c r="G55" i="31"/>
  <c r="G54" i="31"/>
  <c r="G53" i="31"/>
  <c r="G52" i="31"/>
  <c r="G51" i="31"/>
  <c r="G50" i="31"/>
  <c r="G49" i="31"/>
  <c r="G48" i="31"/>
  <c r="G47" i="31"/>
  <c r="G46" i="31"/>
  <c r="G45" i="31"/>
  <c r="G44" i="31"/>
  <c r="G43" i="31"/>
  <c r="G42" i="31"/>
  <c r="G41" i="31"/>
  <c r="G40" i="31"/>
  <c r="G39" i="31"/>
  <c r="G38" i="31"/>
  <c r="G37" i="31"/>
  <c r="G36" i="31"/>
  <c r="G35" i="31"/>
  <c r="G34" i="31"/>
  <c r="G33" i="31"/>
  <c r="G32" i="31"/>
  <c r="G31" i="31"/>
  <c r="G30" i="31"/>
  <c r="G29" i="31"/>
  <c r="G28" i="31"/>
  <c r="G27" i="31"/>
  <c r="J26" i="31"/>
  <c r="G26" i="31"/>
  <c r="G25" i="31"/>
  <c r="G24" i="31"/>
  <c r="G23" i="31"/>
  <c r="G22" i="31"/>
  <c r="G21" i="31"/>
  <c r="G20" i="31"/>
  <c r="G19" i="31"/>
  <c r="G18" i="31"/>
  <c r="G17" i="31"/>
  <c r="G16" i="31"/>
  <c r="G15" i="31"/>
  <c r="G14" i="31"/>
  <c r="G13" i="31"/>
  <c r="G12" i="31"/>
  <c r="G11" i="31"/>
  <c r="G10" i="31"/>
  <c r="G9" i="31"/>
  <c r="G8" i="31"/>
  <c r="G7" i="31"/>
  <c r="G6" i="31"/>
  <c r="V60" i="30"/>
  <c r="U60" i="30"/>
  <c r="S60" i="30"/>
  <c r="R60" i="30"/>
  <c r="P60" i="30"/>
  <c r="O60" i="30"/>
  <c r="M60" i="30"/>
  <c r="L60" i="30"/>
  <c r="F60" i="30"/>
  <c r="E60" i="30"/>
  <c r="D60" i="30"/>
  <c r="C60" i="30"/>
  <c r="B60" i="30"/>
  <c r="G58" i="30"/>
  <c r="G57" i="30"/>
  <c r="G56" i="30"/>
  <c r="G55" i="30"/>
  <c r="G54" i="30"/>
  <c r="G53" i="30"/>
  <c r="G52" i="30"/>
  <c r="G51" i="30"/>
  <c r="G50" i="30"/>
  <c r="G49" i="30"/>
  <c r="G48" i="30"/>
  <c r="G47" i="30"/>
  <c r="G46" i="30"/>
  <c r="G45" i="30"/>
  <c r="G44" i="30"/>
  <c r="G43" i="30"/>
  <c r="G42" i="30"/>
  <c r="G41" i="30"/>
  <c r="G40" i="30"/>
  <c r="G39" i="30"/>
  <c r="G38" i="30"/>
  <c r="G37" i="30"/>
  <c r="G36" i="30"/>
  <c r="G35" i="30"/>
  <c r="G34" i="30"/>
  <c r="G33" i="30"/>
  <c r="G32" i="30"/>
  <c r="G31" i="30"/>
  <c r="G30" i="30"/>
  <c r="G29" i="30"/>
  <c r="G28" i="30"/>
  <c r="G27" i="30"/>
  <c r="J26" i="30"/>
  <c r="G26" i="30"/>
  <c r="G25" i="30"/>
  <c r="G24" i="30"/>
  <c r="G23" i="30"/>
  <c r="G22" i="30"/>
  <c r="G21" i="30"/>
  <c r="G20" i="30"/>
  <c r="G19" i="30"/>
  <c r="G18" i="30"/>
  <c r="G17" i="30"/>
  <c r="G16" i="30"/>
  <c r="G15" i="30"/>
  <c r="G14" i="30"/>
  <c r="G13" i="30"/>
  <c r="G12" i="30"/>
  <c r="G11" i="30"/>
  <c r="G10" i="30"/>
  <c r="G9" i="30"/>
  <c r="G8" i="30"/>
  <c r="G7" i="30"/>
  <c r="G6" i="30"/>
  <c r="V60" i="29"/>
  <c r="U60" i="29"/>
  <c r="S60" i="29"/>
  <c r="R60" i="29"/>
  <c r="P60" i="29"/>
  <c r="O60" i="29"/>
  <c r="M60" i="29"/>
  <c r="L60" i="29"/>
  <c r="F60" i="29"/>
  <c r="E60" i="29"/>
  <c r="D60" i="29"/>
  <c r="C60" i="29"/>
  <c r="B60" i="29"/>
  <c r="G58" i="29"/>
  <c r="G57" i="29"/>
  <c r="G56" i="29"/>
  <c r="G55" i="29"/>
  <c r="G54" i="29"/>
  <c r="G53" i="29"/>
  <c r="G52" i="29"/>
  <c r="G51" i="29"/>
  <c r="G50" i="29"/>
  <c r="G49" i="29"/>
  <c r="G48" i="29"/>
  <c r="G47" i="29"/>
  <c r="G46" i="29"/>
  <c r="G45" i="29"/>
  <c r="G44" i="29"/>
  <c r="G43" i="29"/>
  <c r="G42" i="29"/>
  <c r="G41" i="29"/>
  <c r="G40" i="29"/>
  <c r="G39" i="29"/>
  <c r="G38" i="29"/>
  <c r="G37" i="29"/>
  <c r="G36" i="29"/>
  <c r="G35" i="29"/>
  <c r="G34" i="29"/>
  <c r="G33" i="29"/>
  <c r="G32" i="29"/>
  <c r="G31" i="29"/>
  <c r="G30" i="29"/>
  <c r="G29" i="29"/>
  <c r="G28" i="29"/>
  <c r="G27" i="29"/>
  <c r="J26" i="29"/>
  <c r="G26" i="29"/>
  <c r="G25" i="29"/>
  <c r="G24" i="29"/>
  <c r="G23" i="29"/>
  <c r="G22" i="29"/>
  <c r="G21" i="29"/>
  <c r="G20" i="29"/>
  <c r="G19" i="29"/>
  <c r="G18" i="29"/>
  <c r="G17" i="29"/>
  <c r="G16" i="29"/>
  <c r="G15" i="29"/>
  <c r="G14" i="29"/>
  <c r="G13" i="29"/>
  <c r="G12" i="29"/>
  <c r="G11" i="29"/>
  <c r="G10" i="29"/>
  <c r="G9" i="29"/>
  <c r="G8" i="29"/>
  <c r="G7" i="29"/>
  <c r="G6" i="29"/>
  <c r="V60" i="28"/>
  <c r="U60" i="28"/>
  <c r="S60" i="28"/>
  <c r="R60" i="28"/>
  <c r="P60" i="28"/>
  <c r="O60" i="28"/>
  <c r="M60" i="28"/>
  <c r="L60" i="28"/>
  <c r="F60" i="28"/>
  <c r="E60" i="28"/>
  <c r="D60" i="28"/>
  <c r="C60" i="28"/>
  <c r="B60" i="28"/>
  <c r="G58" i="28"/>
  <c r="G57" i="28"/>
  <c r="G56" i="28"/>
  <c r="G55" i="28"/>
  <c r="G54" i="28"/>
  <c r="G53" i="28"/>
  <c r="G52" i="28"/>
  <c r="G51" i="28"/>
  <c r="G50" i="28"/>
  <c r="G49" i="28"/>
  <c r="G48" i="28"/>
  <c r="G47" i="28"/>
  <c r="G46" i="28"/>
  <c r="G45" i="28"/>
  <c r="G44" i="28"/>
  <c r="G43" i="28"/>
  <c r="G42" i="28"/>
  <c r="G41" i="28"/>
  <c r="G40" i="28"/>
  <c r="G39" i="28"/>
  <c r="G38" i="28"/>
  <c r="G37" i="28"/>
  <c r="G36" i="28"/>
  <c r="G35" i="28"/>
  <c r="G34" i="28"/>
  <c r="G33" i="28"/>
  <c r="G32" i="28"/>
  <c r="G31" i="28"/>
  <c r="G30" i="28"/>
  <c r="G29" i="28"/>
  <c r="G28" i="28"/>
  <c r="G27" i="28"/>
  <c r="J26" i="28"/>
  <c r="G26" i="28"/>
  <c r="G25" i="28"/>
  <c r="G24" i="28"/>
  <c r="G23" i="28"/>
  <c r="G22" i="28"/>
  <c r="G21" i="28"/>
  <c r="G20" i="28"/>
  <c r="G19" i="28"/>
  <c r="G18" i="28"/>
  <c r="G17" i="28"/>
  <c r="G16" i="28"/>
  <c r="G15" i="28"/>
  <c r="G14" i="28"/>
  <c r="G13" i="28"/>
  <c r="G12" i="28"/>
  <c r="G11" i="28"/>
  <c r="G10" i="28"/>
  <c r="G9" i="28"/>
  <c r="G8" i="28"/>
  <c r="G7" i="28"/>
  <c r="G6" i="28"/>
  <c r="V60" i="27"/>
  <c r="U60" i="27"/>
  <c r="S60" i="27"/>
  <c r="R60" i="27"/>
  <c r="P60" i="27"/>
  <c r="O60" i="27"/>
  <c r="M60" i="27"/>
  <c r="L60" i="27"/>
  <c r="F60" i="27"/>
  <c r="E60" i="27"/>
  <c r="D60" i="27"/>
  <c r="C60" i="27"/>
  <c r="B60" i="27"/>
  <c r="G58" i="27"/>
  <c r="G57" i="27"/>
  <c r="G56" i="27"/>
  <c r="G55" i="27"/>
  <c r="G54" i="27"/>
  <c r="G53" i="27"/>
  <c r="G52" i="27"/>
  <c r="G51" i="27"/>
  <c r="G50" i="27"/>
  <c r="G49" i="27"/>
  <c r="G48" i="27"/>
  <c r="G47" i="27"/>
  <c r="G46" i="27"/>
  <c r="G45" i="27"/>
  <c r="G44" i="27"/>
  <c r="G43" i="27"/>
  <c r="G42" i="27"/>
  <c r="G41" i="27"/>
  <c r="G40" i="27"/>
  <c r="G39" i="27"/>
  <c r="G38" i="27"/>
  <c r="G37" i="27"/>
  <c r="G36" i="27"/>
  <c r="G35" i="27"/>
  <c r="G34" i="27"/>
  <c r="G33" i="27"/>
  <c r="G32" i="27"/>
  <c r="G31" i="27"/>
  <c r="G30" i="27"/>
  <c r="G29" i="27"/>
  <c r="G28" i="27"/>
  <c r="G27" i="27"/>
  <c r="J26" i="27"/>
  <c r="G26" i="27"/>
  <c r="G25" i="27"/>
  <c r="G24" i="27"/>
  <c r="G23" i="27"/>
  <c r="G22" i="27"/>
  <c r="G21" i="27"/>
  <c r="G20" i="27"/>
  <c r="G19" i="27"/>
  <c r="G18" i="27"/>
  <c r="G17" i="27"/>
  <c r="G16" i="27"/>
  <c r="G15" i="27"/>
  <c r="G14" i="27"/>
  <c r="G13" i="27"/>
  <c r="G12" i="27"/>
  <c r="G11" i="27"/>
  <c r="G10" i="27"/>
  <c r="G9" i="27"/>
  <c r="G8" i="27"/>
  <c r="G7" i="27"/>
  <c r="G6" i="27"/>
  <c r="V60" i="26"/>
  <c r="U60" i="26"/>
  <c r="S60" i="26"/>
  <c r="R60" i="26"/>
  <c r="P60" i="26"/>
  <c r="O60" i="26"/>
  <c r="M60" i="26"/>
  <c r="L60" i="26"/>
  <c r="F60" i="26"/>
  <c r="E60" i="26"/>
  <c r="D60" i="26"/>
  <c r="C60" i="26"/>
  <c r="B60" i="26"/>
  <c r="G58" i="26"/>
  <c r="G57" i="26"/>
  <c r="G56" i="26"/>
  <c r="G55" i="26"/>
  <c r="G54" i="26"/>
  <c r="G53" i="26"/>
  <c r="G52" i="26"/>
  <c r="G51" i="26"/>
  <c r="G50" i="26"/>
  <c r="G49" i="26"/>
  <c r="G48" i="26"/>
  <c r="G47" i="26"/>
  <c r="G46" i="26"/>
  <c r="G45" i="26"/>
  <c r="G44" i="26"/>
  <c r="G43" i="26"/>
  <c r="G42" i="26"/>
  <c r="G41" i="26"/>
  <c r="G40" i="26"/>
  <c r="G39" i="26"/>
  <c r="G38" i="26"/>
  <c r="G37" i="26"/>
  <c r="G36" i="26"/>
  <c r="G35" i="26"/>
  <c r="G34" i="26"/>
  <c r="G33" i="26"/>
  <c r="G32" i="26"/>
  <c r="G31" i="26"/>
  <c r="G30" i="26"/>
  <c r="G29" i="26"/>
  <c r="G28" i="26"/>
  <c r="G27" i="26"/>
  <c r="J26" i="26"/>
  <c r="G26" i="26"/>
  <c r="G25" i="26"/>
  <c r="G24" i="26"/>
  <c r="G23" i="26"/>
  <c r="G22" i="26"/>
  <c r="G21" i="26"/>
  <c r="G20" i="26"/>
  <c r="G19" i="26"/>
  <c r="G18" i="26"/>
  <c r="G17" i="26"/>
  <c r="G16" i="26"/>
  <c r="G15" i="26"/>
  <c r="G14" i="26"/>
  <c r="G13" i="26"/>
  <c r="G12" i="26"/>
  <c r="G11" i="26"/>
  <c r="G10" i="26"/>
  <c r="G9" i="26"/>
  <c r="G8" i="26"/>
  <c r="G7" i="26"/>
  <c r="G6" i="26"/>
  <c r="V60" i="25"/>
  <c r="U60" i="25"/>
  <c r="S60" i="25"/>
  <c r="R60" i="25"/>
  <c r="P60" i="25"/>
  <c r="O60" i="25"/>
  <c r="M60" i="25"/>
  <c r="L60" i="25"/>
  <c r="F60" i="25"/>
  <c r="E60" i="25"/>
  <c r="D60" i="25"/>
  <c r="C60" i="25"/>
  <c r="B60" i="25"/>
  <c r="G58" i="25"/>
  <c r="G57" i="25"/>
  <c r="G56" i="25"/>
  <c r="G55" i="25"/>
  <c r="G54" i="25"/>
  <c r="G53" i="25"/>
  <c r="G52" i="25"/>
  <c r="G51" i="25"/>
  <c r="G50" i="25"/>
  <c r="G49" i="25"/>
  <c r="G48" i="25"/>
  <c r="G47" i="25"/>
  <c r="G46" i="25"/>
  <c r="G45" i="25"/>
  <c r="G44" i="25"/>
  <c r="G43" i="25"/>
  <c r="G42" i="25"/>
  <c r="G41" i="25"/>
  <c r="G40" i="25"/>
  <c r="G39" i="25"/>
  <c r="G38" i="25"/>
  <c r="G37" i="25"/>
  <c r="G36" i="25"/>
  <c r="G35" i="25"/>
  <c r="G34" i="25"/>
  <c r="G33" i="25"/>
  <c r="G32" i="25"/>
  <c r="G31" i="25"/>
  <c r="G30" i="25"/>
  <c r="G29" i="25"/>
  <c r="G28" i="25"/>
  <c r="G27" i="25"/>
  <c r="J26" i="25"/>
  <c r="G26" i="25"/>
  <c r="G25" i="25"/>
  <c r="G24" i="25"/>
  <c r="G23" i="25"/>
  <c r="G22" i="25"/>
  <c r="G21" i="25"/>
  <c r="G20" i="25"/>
  <c r="G19" i="25"/>
  <c r="G18" i="25"/>
  <c r="G17" i="25"/>
  <c r="G16" i="25"/>
  <c r="G15" i="25"/>
  <c r="G14" i="25"/>
  <c r="G13" i="25"/>
  <c r="G12" i="25"/>
  <c r="G11" i="25"/>
  <c r="G10" i="25"/>
  <c r="G9" i="25"/>
  <c r="G8" i="25"/>
  <c r="G7" i="25"/>
  <c r="G6" i="25"/>
  <c r="V60" i="24"/>
  <c r="U60" i="24"/>
  <c r="S60" i="24"/>
  <c r="R60" i="24"/>
  <c r="P60" i="24"/>
  <c r="O60" i="24"/>
  <c r="M60" i="24"/>
  <c r="L60" i="24"/>
  <c r="F60" i="24"/>
  <c r="E60" i="24"/>
  <c r="D60" i="24"/>
  <c r="C60" i="24"/>
  <c r="B60" i="24"/>
  <c r="G58" i="24"/>
  <c r="G57" i="24"/>
  <c r="G56" i="24"/>
  <c r="G55" i="24"/>
  <c r="G54" i="24"/>
  <c r="G53" i="24"/>
  <c r="G52" i="24"/>
  <c r="G51" i="24"/>
  <c r="G50" i="24"/>
  <c r="G49" i="24"/>
  <c r="G48" i="24"/>
  <c r="G47" i="24"/>
  <c r="G46" i="24"/>
  <c r="G45" i="24"/>
  <c r="G44" i="24"/>
  <c r="G43" i="24"/>
  <c r="G42" i="24"/>
  <c r="G41" i="24"/>
  <c r="G40" i="24"/>
  <c r="G39" i="24"/>
  <c r="G38" i="24"/>
  <c r="G37" i="24"/>
  <c r="G36" i="24"/>
  <c r="G35" i="24"/>
  <c r="G34" i="24"/>
  <c r="G33" i="24"/>
  <c r="G32" i="24"/>
  <c r="G31" i="24"/>
  <c r="G30" i="24"/>
  <c r="G29" i="24"/>
  <c r="G28" i="24"/>
  <c r="G27" i="24"/>
  <c r="J26" i="24"/>
  <c r="G26" i="24"/>
  <c r="G25" i="24"/>
  <c r="G24" i="24"/>
  <c r="G23" i="24"/>
  <c r="G22" i="24"/>
  <c r="G21" i="24"/>
  <c r="G20" i="24"/>
  <c r="G19" i="24"/>
  <c r="G18" i="24"/>
  <c r="G17" i="24"/>
  <c r="G16" i="24"/>
  <c r="G15" i="24"/>
  <c r="G14" i="24"/>
  <c r="G13" i="24"/>
  <c r="G12" i="24"/>
  <c r="G11" i="24"/>
  <c r="G10" i="24"/>
  <c r="G9" i="24"/>
  <c r="G8" i="24"/>
  <c r="G7" i="24"/>
  <c r="G6" i="24"/>
  <c r="V60" i="23"/>
  <c r="U60" i="23"/>
  <c r="S60" i="23"/>
  <c r="R60" i="23"/>
  <c r="P60" i="23"/>
  <c r="O60" i="23"/>
  <c r="M60" i="23"/>
  <c r="L60" i="23"/>
  <c r="F60" i="23"/>
  <c r="E60" i="23"/>
  <c r="D60" i="23"/>
  <c r="C60" i="23"/>
  <c r="B60" i="23"/>
  <c r="G58" i="23"/>
  <c r="G57" i="23"/>
  <c r="G56" i="23"/>
  <c r="G55" i="23"/>
  <c r="G54" i="23"/>
  <c r="G53" i="23"/>
  <c r="G52" i="23"/>
  <c r="G51" i="23"/>
  <c r="G50" i="23"/>
  <c r="G49" i="23"/>
  <c r="G48" i="23"/>
  <c r="G47" i="23"/>
  <c r="G46" i="23"/>
  <c r="G45" i="23"/>
  <c r="G44" i="23"/>
  <c r="G43" i="23"/>
  <c r="G42" i="23"/>
  <c r="G41" i="23"/>
  <c r="G40" i="23"/>
  <c r="G39" i="23"/>
  <c r="G38" i="23"/>
  <c r="G37" i="23"/>
  <c r="G36" i="23"/>
  <c r="G35" i="23"/>
  <c r="G34" i="23"/>
  <c r="G33" i="23"/>
  <c r="G32" i="23"/>
  <c r="G31" i="23"/>
  <c r="G30" i="23"/>
  <c r="G29" i="23"/>
  <c r="G28" i="23"/>
  <c r="G27" i="23"/>
  <c r="J26" i="23"/>
  <c r="G26" i="23"/>
  <c r="G25" i="23"/>
  <c r="G24" i="23"/>
  <c r="G23" i="23"/>
  <c r="G22" i="23"/>
  <c r="G21" i="23"/>
  <c r="G20" i="23"/>
  <c r="G19" i="23"/>
  <c r="G18" i="23"/>
  <c r="G17" i="23"/>
  <c r="G16" i="23"/>
  <c r="G15" i="23"/>
  <c r="G14" i="23"/>
  <c r="G13" i="23"/>
  <c r="G12" i="23"/>
  <c r="G11" i="23"/>
  <c r="G10" i="23"/>
  <c r="G9" i="23"/>
  <c r="G8" i="23"/>
  <c r="G7" i="23"/>
  <c r="G6" i="23"/>
  <c r="V60" i="22"/>
  <c r="U60" i="22"/>
  <c r="S60" i="22"/>
  <c r="R60" i="22"/>
  <c r="P60" i="22"/>
  <c r="O60" i="22"/>
  <c r="M60" i="22"/>
  <c r="L60" i="22"/>
  <c r="F60" i="22"/>
  <c r="E60" i="22"/>
  <c r="D60" i="22"/>
  <c r="C60" i="22"/>
  <c r="B60" i="22"/>
  <c r="G58" i="22"/>
  <c r="G57" i="22"/>
  <c r="G56" i="22"/>
  <c r="G55" i="22"/>
  <c r="G54" i="22"/>
  <c r="G53" i="22"/>
  <c r="G52" i="22"/>
  <c r="G51" i="22"/>
  <c r="G50" i="22"/>
  <c r="G49" i="22"/>
  <c r="G48" i="22"/>
  <c r="G47" i="22"/>
  <c r="G46" i="22"/>
  <c r="G45" i="22"/>
  <c r="G44" i="22"/>
  <c r="G43" i="22"/>
  <c r="G42" i="22"/>
  <c r="G41" i="22"/>
  <c r="G40" i="22"/>
  <c r="G39" i="22"/>
  <c r="G38" i="22"/>
  <c r="G37" i="22"/>
  <c r="G36" i="22"/>
  <c r="G35" i="22"/>
  <c r="G34" i="22"/>
  <c r="G33" i="22"/>
  <c r="G32" i="22"/>
  <c r="G31" i="22"/>
  <c r="G30" i="22"/>
  <c r="G29" i="22"/>
  <c r="G28" i="22"/>
  <c r="G27" i="22"/>
  <c r="J26" i="22"/>
  <c r="G26" i="22"/>
  <c r="G25" i="22"/>
  <c r="G24" i="22"/>
  <c r="G23" i="22"/>
  <c r="G22" i="22"/>
  <c r="G21" i="22"/>
  <c r="G20" i="22"/>
  <c r="G19" i="22"/>
  <c r="G18" i="22"/>
  <c r="G17" i="22"/>
  <c r="G16" i="22"/>
  <c r="G15" i="22"/>
  <c r="G14" i="22"/>
  <c r="G13" i="22"/>
  <c r="G12" i="22"/>
  <c r="G11" i="22"/>
  <c r="G10" i="22"/>
  <c r="G9" i="22"/>
  <c r="G8" i="22"/>
  <c r="G7" i="22"/>
  <c r="G6" i="22"/>
  <c r="V60" i="21"/>
  <c r="U60" i="21"/>
  <c r="S60" i="21"/>
  <c r="R60" i="21"/>
  <c r="P60" i="21"/>
  <c r="O60" i="21"/>
  <c r="M60" i="21"/>
  <c r="L60" i="21"/>
  <c r="F60" i="21"/>
  <c r="E60" i="21"/>
  <c r="D60" i="21"/>
  <c r="C60" i="21"/>
  <c r="B60" i="21"/>
  <c r="G58" i="21"/>
  <c r="G57" i="21"/>
  <c r="G56" i="21"/>
  <c r="G55" i="21"/>
  <c r="G54" i="21"/>
  <c r="G53" i="21"/>
  <c r="G52" i="21"/>
  <c r="G51" i="21"/>
  <c r="G50" i="21"/>
  <c r="G49" i="21"/>
  <c r="G48" i="21"/>
  <c r="G47" i="21"/>
  <c r="G46" i="21"/>
  <c r="G45" i="21"/>
  <c r="G44" i="21"/>
  <c r="G43" i="21"/>
  <c r="G42" i="21"/>
  <c r="G41" i="21"/>
  <c r="G40" i="21"/>
  <c r="G39" i="21"/>
  <c r="G38" i="21"/>
  <c r="G37" i="21"/>
  <c r="G36" i="21"/>
  <c r="G35" i="21"/>
  <c r="G34" i="21"/>
  <c r="G33" i="21"/>
  <c r="G32" i="21"/>
  <c r="G31" i="21"/>
  <c r="G30" i="21"/>
  <c r="G29" i="21"/>
  <c r="G28" i="21"/>
  <c r="G27" i="21"/>
  <c r="J26" i="21"/>
  <c r="G26" i="21"/>
  <c r="G25" i="21"/>
  <c r="G24" i="21"/>
  <c r="G23" i="21"/>
  <c r="G22" i="21"/>
  <c r="G21" i="21"/>
  <c r="G20" i="21"/>
  <c r="G19" i="21"/>
  <c r="G18" i="21"/>
  <c r="G17" i="21"/>
  <c r="G16" i="21"/>
  <c r="G15" i="21"/>
  <c r="G14" i="21"/>
  <c r="G13" i="21"/>
  <c r="G12" i="21"/>
  <c r="G11" i="21"/>
  <c r="G10" i="21"/>
  <c r="G9" i="21"/>
  <c r="G8" i="21"/>
  <c r="G7" i="21"/>
  <c r="G6" i="21"/>
  <c r="V60" i="20"/>
  <c r="U60" i="20"/>
  <c r="S60" i="20"/>
  <c r="R60" i="20"/>
  <c r="P60" i="20"/>
  <c r="O60" i="20"/>
  <c r="M60" i="20"/>
  <c r="L60" i="20"/>
  <c r="F60" i="20"/>
  <c r="E60" i="20"/>
  <c r="D60" i="20"/>
  <c r="C60" i="20"/>
  <c r="B60" i="20"/>
  <c r="G58" i="20"/>
  <c r="G57" i="20"/>
  <c r="G56" i="20"/>
  <c r="G55" i="20"/>
  <c r="G54" i="20"/>
  <c r="G53" i="20"/>
  <c r="G52" i="20"/>
  <c r="G51" i="20"/>
  <c r="G50" i="20"/>
  <c r="G49" i="20"/>
  <c r="G48" i="20"/>
  <c r="G47" i="20"/>
  <c r="G46" i="20"/>
  <c r="G45" i="20"/>
  <c r="G44" i="20"/>
  <c r="G43" i="20"/>
  <c r="G42" i="20"/>
  <c r="G41" i="20"/>
  <c r="G40" i="20"/>
  <c r="G39" i="20"/>
  <c r="G38" i="20"/>
  <c r="G37" i="20"/>
  <c r="G36" i="20"/>
  <c r="G35" i="20"/>
  <c r="G34" i="20"/>
  <c r="G33" i="20"/>
  <c r="G32" i="20"/>
  <c r="G31" i="20"/>
  <c r="G30" i="20"/>
  <c r="G29" i="20"/>
  <c r="G28" i="20"/>
  <c r="G27" i="20"/>
  <c r="J26" i="20"/>
  <c r="G26" i="20"/>
  <c r="G25" i="20"/>
  <c r="G24" i="20"/>
  <c r="G23" i="20"/>
  <c r="G22" i="20"/>
  <c r="G21" i="20"/>
  <c r="G20" i="20"/>
  <c r="G19" i="20"/>
  <c r="G18" i="20"/>
  <c r="G17" i="20"/>
  <c r="G16" i="20"/>
  <c r="G15" i="20"/>
  <c r="G14" i="20"/>
  <c r="G13" i="20"/>
  <c r="G12" i="20"/>
  <c r="G11" i="20"/>
  <c r="G10" i="20"/>
  <c r="G9" i="20"/>
  <c r="G8" i="20"/>
  <c r="G7" i="20"/>
  <c r="G6" i="20"/>
  <c r="V60" i="19"/>
  <c r="U60" i="19"/>
  <c r="S60" i="19"/>
  <c r="R60" i="19"/>
  <c r="P60" i="19"/>
  <c r="O60" i="19"/>
  <c r="M60" i="19"/>
  <c r="L60" i="19"/>
  <c r="F60" i="19"/>
  <c r="E60" i="19"/>
  <c r="D60" i="19"/>
  <c r="C60" i="19"/>
  <c r="B60" i="19"/>
  <c r="G58" i="19"/>
  <c r="G57" i="19"/>
  <c r="G56" i="19"/>
  <c r="G55" i="19"/>
  <c r="G54" i="19"/>
  <c r="G53" i="19"/>
  <c r="G52" i="19"/>
  <c r="G51" i="19"/>
  <c r="G50" i="19"/>
  <c r="G49" i="19"/>
  <c r="G48" i="19"/>
  <c r="G47" i="19"/>
  <c r="G46" i="19"/>
  <c r="G45" i="19"/>
  <c r="G44" i="19"/>
  <c r="G43" i="19"/>
  <c r="G42" i="19"/>
  <c r="G41" i="19"/>
  <c r="G40" i="19"/>
  <c r="G39" i="19"/>
  <c r="G38" i="19"/>
  <c r="G37" i="19"/>
  <c r="G36" i="19"/>
  <c r="G35" i="19"/>
  <c r="G34" i="19"/>
  <c r="G33" i="19"/>
  <c r="G32" i="19"/>
  <c r="G31" i="19"/>
  <c r="G30" i="19"/>
  <c r="G29" i="19"/>
  <c r="G28" i="19"/>
  <c r="G27" i="19"/>
  <c r="J26" i="19"/>
  <c r="G26" i="19"/>
  <c r="G25" i="19"/>
  <c r="G24" i="19"/>
  <c r="G23" i="19"/>
  <c r="G22" i="19"/>
  <c r="G21" i="19"/>
  <c r="G20" i="19"/>
  <c r="G19" i="19"/>
  <c r="G18" i="19"/>
  <c r="G17" i="19"/>
  <c r="G16" i="19"/>
  <c r="G15" i="19"/>
  <c r="G14" i="19"/>
  <c r="G13" i="19"/>
  <c r="G12" i="19"/>
  <c r="G11" i="19"/>
  <c r="G10" i="19"/>
  <c r="G9" i="19"/>
  <c r="G8" i="19"/>
  <c r="G7" i="19"/>
  <c r="G6" i="19"/>
  <c r="V60" i="18"/>
  <c r="U60" i="18"/>
  <c r="S60" i="18"/>
  <c r="R60" i="18"/>
  <c r="P60" i="18"/>
  <c r="O60" i="18"/>
  <c r="M60" i="18"/>
  <c r="L60" i="18"/>
  <c r="F60" i="18"/>
  <c r="E60" i="18"/>
  <c r="D60" i="18"/>
  <c r="C60" i="18"/>
  <c r="B60" i="18"/>
  <c r="G58" i="18"/>
  <c r="G57" i="18"/>
  <c r="G56" i="18"/>
  <c r="G55" i="18"/>
  <c r="G54" i="18"/>
  <c r="G53" i="18"/>
  <c r="G52" i="18"/>
  <c r="G51" i="18"/>
  <c r="G50" i="18"/>
  <c r="G49" i="18"/>
  <c r="G48" i="18"/>
  <c r="G47" i="18"/>
  <c r="G46" i="18"/>
  <c r="G45" i="18"/>
  <c r="G44" i="18"/>
  <c r="G43" i="18"/>
  <c r="G42" i="18"/>
  <c r="G41" i="18"/>
  <c r="G40" i="18"/>
  <c r="G39" i="18"/>
  <c r="G38" i="18"/>
  <c r="G37" i="18"/>
  <c r="G36" i="18"/>
  <c r="G35" i="18"/>
  <c r="G34" i="18"/>
  <c r="G33" i="18"/>
  <c r="G32" i="18"/>
  <c r="G31" i="18"/>
  <c r="G30" i="18"/>
  <c r="G29" i="18"/>
  <c r="G28" i="18"/>
  <c r="G27" i="18"/>
  <c r="J26" i="18"/>
  <c r="G26" i="18"/>
  <c r="G25" i="18"/>
  <c r="G24" i="18"/>
  <c r="G23" i="18"/>
  <c r="G22" i="18"/>
  <c r="G21" i="18"/>
  <c r="G20" i="18"/>
  <c r="G19" i="18"/>
  <c r="G18" i="18"/>
  <c r="G17" i="18"/>
  <c r="G16" i="18"/>
  <c r="G15" i="18"/>
  <c r="G14" i="18"/>
  <c r="G13" i="18"/>
  <c r="G12" i="18"/>
  <c r="G11" i="18"/>
  <c r="G10" i="18"/>
  <c r="G9" i="18"/>
  <c r="G8" i="18"/>
  <c r="G7" i="18"/>
  <c r="G6" i="18"/>
  <c r="V60" i="17"/>
  <c r="U60" i="17"/>
  <c r="S60" i="17"/>
  <c r="R60" i="17"/>
  <c r="P60" i="17"/>
  <c r="O60" i="17"/>
  <c r="M60" i="17"/>
  <c r="L60" i="17"/>
  <c r="F60" i="17"/>
  <c r="E60" i="17"/>
  <c r="D60" i="17"/>
  <c r="C60" i="17"/>
  <c r="B60" i="17"/>
  <c r="G58" i="17"/>
  <c r="G57" i="17"/>
  <c r="G56" i="17"/>
  <c r="G55" i="17"/>
  <c r="G54" i="17"/>
  <c r="G53" i="17"/>
  <c r="G52" i="17"/>
  <c r="G51" i="17"/>
  <c r="G50" i="17"/>
  <c r="G49" i="17"/>
  <c r="G48" i="17"/>
  <c r="G47" i="17"/>
  <c r="G46" i="17"/>
  <c r="G45" i="17"/>
  <c r="G44" i="17"/>
  <c r="G43" i="17"/>
  <c r="G42" i="17"/>
  <c r="G41" i="17"/>
  <c r="G40" i="17"/>
  <c r="G39" i="17"/>
  <c r="G38" i="17"/>
  <c r="G37" i="17"/>
  <c r="G36" i="17"/>
  <c r="G35" i="17"/>
  <c r="G34" i="17"/>
  <c r="G33" i="17"/>
  <c r="G32" i="17"/>
  <c r="G31" i="17"/>
  <c r="G30" i="17"/>
  <c r="G29" i="17"/>
  <c r="G28" i="17"/>
  <c r="G27" i="17"/>
  <c r="J26" i="17"/>
  <c r="G26" i="17"/>
  <c r="G25" i="17"/>
  <c r="G24" i="17"/>
  <c r="G23" i="17"/>
  <c r="G22" i="17"/>
  <c r="G21" i="17"/>
  <c r="G20" i="17"/>
  <c r="G19" i="17"/>
  <c r="G18" i="17"/>
  <c r="G17" i="17"/>
  <c r="G16" i="17"/>
  <c r="G15" i="17"/>
  <c r="G14" i="17"/>
  <c r="G13" i="17"/>
  <c r="G12" i="17"/>
  <c r="G11" i="17"/>
  <c r="G10" i="17"/>
  <c r="G9" i="17"/>
  <c r="G8" i="17"/>
  <c r="G7" i="17"/>
  <c r="G6" i="17"/>
  <c r="V60" i="16"/>
  <c r="U60" i="16"/>
  <c r="S60" i="16"/>
  <c r="R60" i="16"/>
  <c r="P60" i="16"/>
  <c r="O60" i="16"/>
  <c r="M60" i="16"/>
  <c r="L60" i="16"/>
  <c r="F60" i="16"/>
  <c r="E60" i="16"/>
  <c r="D60" i="16"/>
  <c r="C60" i="16"/>
  <c r="B60" i="16"/>
  <c r="G58" i="16"/>
  <c r="G57" i="16"/>
  <c r="G56" i="16"/>
  <c r="G55" i="16"/>
  <c r="G54" i="16"/>
  <c r="G53" i="16"/>
  <c r="G52" i="16"/>
  <c r="G51" i="16"/>
  <c r="G50" i="16"/>
  <c r="G49" i="16"/>
  <c r="G48" i="16"/>
  <c r="G47" i="16"/>
  <c r="G46" i="16"/>
  <c r="G45" i="16"/>
  <c r="G44" i="16"/>
  <c r="G43" i="16"/>
  <c r="G42" i="16"/>
  <c r="G41" i="16"/>
  <c r="G40" i="16"/>
  <c r="G39" i="16"/>
  <c r="G38" i="16"/>
  <c r="G37" i="16"/>
  <c r="G36" i="16"/>
  <c r="G35" i="16"/>
  <c r="G34" i="16"/>
  <c r="G33" i="16"/>
  <c r="G32" i="16"/>
  <c r="G31" i="16"/>
  <c r="G30" i="16"/>
  <c r="G29" i="16"/>
  <c r="G28" i="16"/>
  <c r="G27" i="16"/>
  <c r="J26" i="16"/>
  <c r="G26" i="16"/>
  <c r="G25" i="16"/>
  <c r="G24" i="16"/>
  <c r="G23" i="16"/>
  <c r="G22" i="16"/>
  <c r="G21" i="16"/>
  <c r="G20" i="16"/>
  <c r="G19" i="16"/>
  <c r="G18" i="16"/>
  <c r="G17" i="16"/>
  <c r="G16" i="16"/>
  <c r="G15" i="16"/>
  <c r="G14" i="16"/>
  <c r="G13" i="16"/>
  <c r="G12" i="16"/>
  <c r="G11" i="16"/>
  <c r="G10" i="16"/>
  <c r="G9" i="16"/>
  <c r="G8" i="16"/>
  <c r="G7" i="16"/>
  <c r="G6" i="16"/>
  <c r="V60" i="15"/>
  <c r="U60" i="15"/>
  <c r="S60" i="15"/>
  <c r="R60" i="15"/>
  <c r="P60" i="15"/>
  <c r="O60" i="15"/>
  <c r="M60" i="15"/>
  <c r="L60" i="15"/>
  <c r="F60" i="15"/>
  <c r="E60" i="15"/>
  <c r="D60" i="15"/>
  <c r="C60" i="15"/>
  <c r="B60" i="15"/>
  <c r="G58" i="15"/>
  <c r="G57" i="15"/>
  <c r="G56" i="15"/>
  <c r="G55" i="15"/>
  <c r="G54" i="15"/>
  <c r="G53" i="15"/>
  <c r="G52" i="15"/>
  <c r="G51" i="15"/>
  <c r="G50" i="15"/>
  <c r="G49" i="15"/>
  <c r="G48" i="15"/>
  <c r="G47" i="15"/>
  <c r="G46" i="15"/>
  <c r="G45" i="15"/>
  <c r="G44" i="15"/>
  <c r="G43" i="15"/>
  <c r="G42" i="15"/>
  <c r="G41" i="15"/>
  <c r="G40" i="15"/>
  <c r="G39" i="15"/>
  <c r="G38" i="15"/>
  <c r="G37" i="15"/>
  <c r="G36" i="15"/>
  <c r="G35" i="15"/>
  <c r="G34" i="15"/>
  <c r="G33" i="15"/>
  <c r="G32" i="15"/>
  <c r="G31" i="15"/>
  <c r="G30" i="15"/>
  <c r="G29" i="15"/>
  <c r="G28" i="15"/>
  <c r="G27" i="15"/>
  <c r="J26" i="15"/>
  <c r="G26" i="15"/>
  <c r="G25" i="15"/>
  <c r="G24" i="15"/>
  <c r="G23" i="15"/>
  <c r="G22" i="15"/>
  <c r="G21" i="15"/>
  <c r="G20" i="15"/>
  <c r="G19" i="15"/>
  <c r="G18" i="15"/>
  <c r="G17" i="15"/>
  <c r="G16" i="15"/>
  <c r="G15" i="15"/>
  <c r="G14" i="15"/>
  <c r="G13" i="15"/>
  <c r="G12" i="15"/>
  <c r="G11" i="15"/>
  <c r="G10" i="15"/>
  <c r="G9" i="15"/>
  <c r="G8" i="15"/>
  <c r="G7" i="15"/>
  <c r="G6" i="15"/>
  <c r="V60" i="14"/>
  <c r="U60" i="14"/>
  <c r="S60" i="14"/>
  <c r="R60" i="14"/>
  <c r="P60" i="14"/>
  <c r="O60" i="14"/>
  <c r="M60" i="14"/>
  <c r="L60" i="14"/>
  <c r="F60" i="14"/>
  <c r="E60" i="14"/>
  <c r="D60" i="14"/>
  <c r="C60" i="14"/>
  <c r="B60" i="14"/>
  <c r="G58" i="14"/>
  <c r="G57" i="14"/>
  <c r="G56" i="14"/>
  <c r="G55" i="14"/>
  <c r="G54" i="14"/>
  <c r="G53" i="14"/>
  <c r="G52" i="14"/>
  <c r="G51" i="14"/>
  <c r="G50" i="14"/>
  <c r="G49" i="14"/>
  <c r="G48" i="14"/>
  <c r="G47" i="14"/>
  <c r="G46" i="14"/>
  <c r="G45" i="14"/>
  <c r="G44" i="14"/>
  <c r="G43" i="14"/>
  <c r="G42" i="14"/>
  <c r="G41" i="14"/>
  <c r="G40" i="14"/>
  <c r="G39" i="14"/>
  <c r="G38" i="14"/>
  <c r="G37" i="14"/>
  <c r="G36" i="14"/>
  <c r="G35" i="14"/>
  <c r="G34" i="14"/>
  <c r="G33" i="14"/>
  <c r="G32" i="14"/>
  <c r="G31" i="14"/>
  <c r="G30" i="14"/>
  <c r="G29" i="14"/>
  <c r="G28" i="14"/>
  <c r="G27" i="14"/>
  <c r="J26" i="14"/>
  <c r="G26" i="14"/>
  <c r="G25" i="14"/>
  <c r="G24" i="14"/>
  <c r="G23" i="14"/>
  <c r="G22" i="14"/>
  <c r="G21" i="14"/>
  <c r="G20" i="14"/>
  <c r="G19" i="14"/>
  <c r="G18" i="14"/>
  <c r="G17" i="14"/>
  <c r="G16" i="14"/>
  <c r="G15" i="14"/>
  <c r="G14" i="14"/>
  <c r="G13" i="14"/>
  <c r="G12" i="14"/>
  <c r="G11" i="14"/>
  <c r="G10" i="14"/>
  <c r="G9" i="14"/>
  <c r="G8" i="14"/>
  <c r="G7" i="14"/>
  <c r="G6" i="14"/>
  <c r="V60" i="13"/>
  <c r="U60" i="13"/>
  <c r="S60" i="13"/>
  <c r="R60" i="13"/>
  <c r="P60" i="13"/>
  <c r="O60" i="13"/>
  <c r="M60" i="13"/>
  <c r="L60" i="13"/>
  <c r="F60" i="13"/>
  <c r="E60" i="13"/>
  <c r="D60" i="13"/>
  <c r="C60" i="13"/>
  <c r="B60" i="13"/>
  <c r="G58" i="13"/>
  <c r="G57" i="13"/>
  <c r="G56" i="13"/>
  <c r="G55" i="13"/>
  <c r="G54" i="13"/>
  <c r="G53" i="13"/>
  <c r="G52" i="13"/>
  <c r="G51" i="13"/>
  <c r="G50" i="13"/>
  <c r="G49" i="13"/>
  <c r="G48" i="13"/>
  <c r="G47" i="13"/>
  <c r="G46" i="13"/>
  <c r="G45" i="13"/>
  <c r="G44" i="13"/>
  <c r="G43" i="13"/>
  <c r="G42" i="13"/>
  <c r="G41" i="13"/>
  <c r="G40" i="13"/>
  <c r="G39" i="13"/>
  <c r="G38" i="13"/>
  <c r="G37" i="13"/>
  <c r="G36" i="13"/>
  <c r="G35" i="13"/>
  <c r="G34" i="13"/>
  <c r="G33" i="13"/>
  <c r="G32" i="13"/>
  <c r="G31" i="13"/>
  <c r="G30" i="13"/>
  <c r="G29" i="13"/>
  <c r="G28" i="13"/>
  <c r="G27" i="13"/>
  <c r="J26" i="13"/>
  <c r="G26" i="13"/>
  <c r="G25" i="13"/>
  <c r="G24" i="13"/>
  <c r="G23" i="13"/>
  <c r="G22" i="13"/>
  <c r="G21" i="13"/>
  <c r="G20" i="13"/>
  <c r="G19" i="13"/>
  <c r="G18" i="13"/>
  <c r="G17" i="13"/>
  <c r="G16" i="13"/>
  <c r="G15" i="13"/>
  <c r="G14" i="13"/>
  <c r="G13" i="13"/>
  <c r="G12" i="13"/>
  <c r="G11" i="13"/>
  <c r="G10" i="13"/>
  <c r="G9" i="13"/>
  <c r="G8" i="13"/>
  <c r="G7" i="13"/>
  <c r="G6" i="13"/>
  <c r="V60" i="12"/>
  <c r="U60" i="12"/>
  <c r="S60" i="12"/>
  <c r="R60" i="12"/>
  <c r="P60" i="12"/>
  <c r="O60" i="12"/>
  <c r="M60" i="12"/>
  <c r="L60" i="12"/>
  <c r="F60" i="12"/>
  <c r="E60" i="12"/>
  <c r="D60" i="12"/>
  <c r="C60" i="12"/>
  <c r="B60" i="12"/>
  <c r="G58" i="12"/>
  <c r="G57" i="12"/>
  <c r="G56" i="12"/>
  <c r="G55" i="12"/>
  <c r="G54" i="12"/>
  <c r="G53" i="12"/>
  <c r="G52" i="12"/>
  <c r="G51" i="12"/>
  <c r="G50" i="12"/>
  <c r="G49" i="12"/>
  <c r="G48" i="12"/>
  <c r="G47" i="12"/>
  <c r="G46" i="12"/>
  <c r="G45" i="12"/>
  <c r="G44" i="12"/>
  <c r="G43" i="12"/>
  <c r="G42" i="12"/>
  <c r="G41" i="12"/>
  <c r="G40" i="12"/>
  <c r="G39" i="12"/>
  <c r="G38" i="12"/>
  <c r="G37" i="12"/>
  <c r="G36" i="12"/>
  <c r="G35" i="12"/>
  <c r="G34" i="12"/>
  <c r="G33" i="12"/>
  <c r="G32" i="12"/>
  <c r="G31" i="12"/>
  <c r="G30" i="12"/>
  <c r="G29" i="12"/>
  <c r="G28" i="12"/>
  <c r="G27" i="12"/>
  <c r="J26" i="12"/>
  <c r="G26" i="12"/>
  <c r="G25" i="12"/>
  <c r="G24" i="12"/>
  <c r="G23" i="12"/>
  <c r="G22" i="12"/>
  <c r="G21" i="12"/>
  <c r="G20" i="12"/>
  <c r="G19" i="12"/>
  <c r="G18" i="12"/>
  <c r="G17" i="12"/>
  <c r="G16" i="12"/>
  <c r="G15" i="12"/>
  <c r="G14" i="12"/>
  <c r="G13" i="12"/>
  <c r="G12" i="12"/>
  <c r="G11" i="12"/>
  <c r="G10" i="12"/>
  <c r="G9" i="12"/>
  <c r="G8" i="12"/>
  <c r="G7" i="12"/>
  <c r="G6" i="12"/>
  <c r="V60" i="11"/>
  <c r="U60" i="11"/>
  <c r="S60" i="11"/>
  <c r="R60" i="11"/>
  <c r="P60" i="11"/>
  <c r="O60" i="11"/>
  <c r="M60" i="11"/>
  <c r="L60" i="11"/>
  <c r="F60" i="11"/>
  <c r="E60" i="11"/>
  <c r="D60" i="11"/>
  <c r="C60" i="11"/>
  <c r="B60" i="11"/>
  <c r="G58" i="11"/>
  <c r="G57" i="11"/>
  <c r="G56" i="11"/>
  <c r="G55" i="11"/>
  <c r="G54" i="11"/>
  <c r="G53" i="11"/>
  <c r="G52" i="11"/>
  <c r="G51" i="11"/>
  <c r="G50" i="11"/>
  <c r="G49" i="11"/>
  <c r="G48" i="11"/>
  <c r="G47" i="11"/>
  <c r="G46" i="11"/>
  <c r="G45" i="11"/>
  <c r="G44" i="11"/>
  <c r="G43" i="11"/>
  <c r="G42" i="11"/>
  <c r="G41" i="11"/>
  <c r="G40" i="11"/>
  <c r="G39" i="11"/>
  <c r="G38" i="11"/>
  <c r="G37" i="11"/>
  <c r="G36" i="11"/>
  <c r="G35" i="11"/>
  <c r="G34" i="11"/>
  <c r="G33" i="11"/>
  <c r="G32" i="11"/>
  <c r="G31" i="11"/>
  <c r="G30" i="11"/>
  <c r="G29" i="11"/>
  <c r="G28" i="11"/>
  <c r="G27" i="11"/>
  <c r="J26" i="11"/>
  <c r="G26" i="11"/>
  <c r="G25" i="11"/>
  <c r="G24" i="11"/>
  <c r="G23" i="11"/>
  <c r="G22" i="11"/>
  <c r="G21" i="11"/>
  <c r="G20" i="11"/>
  <c r="G19" i="11"/>
  <c r="G18" i="11"/>
  <c r="G17" i="11"/>
  <c r="G16" i="11"/>
  <c r="G15" i="11"/>
  <c r="G14" i="11"/>
  <c r="G13" i="11"/>
  <c r="G12" i="11"/>
  <c r="G11" i="11"/>
  <c r="G10" i="11"/>
  <c r="G9" i="11"/>
  <c r="G8" i="11"/>
  <c r="G7" i="11"/>
  <c r="G6" i="11"/>
  <c r="V60" i="10"/>
  <c r="U60" i="10"/>
  <c r="S60" i="10"/>
  <c r="R60" i="10"/>
  <c r="P60" i="10"/>
  <c r="O60" i="10"/>
  <c r="M60" i="10"/>
  <c r="L60" i="10"/>
  <c r="F60" i="10"/>
  <c r="E60" i="10"/>
  <c r="D60" i="10"/>
  <c r="C60" i="10"/>
  <c r="B60" i="10"/>
  <c r="G58" i="10"/>
  <c r="G57" i="10"/>
  <c r="G56" i="10"/>
  <c r="G55" i="10"/>
  <c r="G54" i="10"/>
  <c r="G53" i="10"/>
  <c r="G52" i="10"/>
  <c r="G51" i="10"/>
  <c r="G50" i="10"/>
  <c r="G49" i="10"/>
  <c r="G48" i="10"/>
  <c r="G47" i="10"/>
  <c r="G46" i="10"/>
  <c r="G45" i="10"/>
  <c r="G44" i="10"/>
  <c r="G43" i="10"/>
  <c r="G42" i="10"/>
  <c r="G41" i="10"/>
  <c r="G40" i="10"/>
  <c r="G39" i="10"/>
  <c r="G38" i="10"/>
  <c r="G37" i="10"/>
  <c r="G36" i="10"/>
  <c r="G35" i="10"/>
  <c r="G34" i="10"/>
  <c r="G33" i="10"/>
  <c r="G32" i="10"/>
  <c r="G31" i="10"/>
  <c r="G30" i="10"/>
  <c r="G29" i="10"/>
  <c r="G28" i="10"/>
  <c r="G27" i="10"/>
  <c r="J26" i="10"/>
  <c r="G26" i="10"/>
  <c r="G25" i="10"/>
  <c r="G24" i="10"/>
  <c r="G23" i="10"/>
  <c r="G22" i="10"/>
  <c r="G21" i="10"/>
  <c r="G20" i="10"/>
  <c r="G19" i="10"/>
  <c r="G18" i="10"/>
  <c r="G17" i="10"/>
  <c r="G16" i="10"/>
  <c r="G15" i="10"/>
  <c r="G14" i="10"/>
  <c r="G13" i="10"/>
  <c r="G12" i="10"/>
  <c r="G11" i="10"/>
  <c r="G10" i="10"/>
  <c r="G9" i="10"/>
  <c r="G8" i="10"/>
  <c r="G7" i="10"/>
  <c r="G6" i="10"/>
  <c r="V60" i="9"/>
  <c r="U60" i="9"/>
  <c r="S60" i="9"/>
  <c r="R60" i="9"/>
  <c r="P60" i="9"/>
  <c r="O60" i="9"/>
  <c r="M60" i="9"/>
  <c r="L60" i="9"/>
  <c r="F60" i="9"/>
  <c r="E60" i="9"/>
  <c r="D60" i="9"/>
  <c r="C60" i="9"/>
  <c r="B60" i="9"/>
  <c r="G58" i="9"/>
  <c r="H58" i="103" s="1"/>
  <c r="G57" i="9"/>
  <c r="H57" i="103" s="1"/>
  <c r="G56" i="9"/>
  <c r="H56" i="103" s="1"/>
  <c r="G55" i="9"/>
  <c r="H55" i="103" s="1"/>
  <c r="G54" i="9"/>
  <c r="H54" i="103" s="1"/>
  <c r="G53" i="9"/>
  <c r="H53" i="103" s="1"/>
  <c r="G52" i="9"/>
  <c r="H52" i="103" s="1"/>
  <c r="G51" i="9"/>
  <c r="H51" i="103" s="1"/>
  <c r="G50" i="9"/>
  <c r="G49" i="9"/>
  <c r="H49" i="103" s="1"/>
  <c r="G48" i="9"/>
  <c r="H48" i="103" s="1"/>
  <c r="G47" i="9"/>
  <c r="H47" i="103" s="1"/>
  <c r="G46" i="9"/>
  <c r="H46" i="103" s="1"/>
  <c r="G45" i="9"/>
  <c r="H45" i="103" s="1"/>
  <c r="G44" i="9"/>
  <c r="H44" i="103" s="1"/>
  <c r="G43" i="9"/>
  <c r="H43" i="103" s="1"/>
  <c r="G42" i="9"/>
  <c r="H42" i="103" s="1"/>
  <c r="G41" i="9"/>
  <c r="H41" i="103" s="1"/>
  <c r="G40" i="9"/>
  <c r="H40" i="103" s="1"/>
  <c r="G39" i="9"/>
  <c r="H39" i="103" s="1"/>
  <c r="G38" i="9"/>
  <c r="H38" i="103" s="1"/>
  <c r="G37" i="9"/>
  <c r="H37" i="103" s="1"/>
  <c r="G36" i="9"/>
  <c r="H36" i="103" s="1"/>
  <c r="G35" i="9"/>
  <c r="H35" i="103" s="1"/>
  <c r="G34" i="9"/>
  <c r="H34" i="103" s="1"/>
  <c r="G33" i="9"/>
  <c r="H33" i="103" s="1"/>
  <c r="G32" i="9"/>
  <c r="H32" i="103" s="1"/>
  <c r="G31" i="9"/>
  <c r="H31" i="103" s="1"/>
  <c r="G30" i="9"/>
  <c r="H30" i="103" s="1"/>
  <c r="G29" i="9"/>
  <c r="H29" i="103" s="1"/>
  <c r="G28" i="9"/>
  <c r="H28" i="103" s="1"/>
  <c r="G27" i="9"/>
  <c r="H27" i="103" s="1"/>
  <c r="J26" i="9"/>
  <c r="G26" i="9"/>
  <c r="H26" i="103" s="1"/>
  <c r="G25" i="9"/>
  <c r="H25" i="103" s="1"/>
  <c r="G24" i="9"/>
  <c r="H24" i="103" s="1"/>
  <c r="G23" i="9"/>
  <c r="H23" i="103" s="1"/>
  <c r="G22" i="9"/>
  <c r="H22" i="103" s="1"/>
  <c r="G21" i="9"/>
  <c r="H21" i="103" s="1"/>
  <c r="G20" i="9"/>
  <c r="H20" i="103" s="1"/>
  <c r="G19" i="9"/>
  <c r="H19" i="103" s="1"/>
  <c r="G18" i="9"/>
  <c r="H18" i="103" s="1"/>
  <c r="G17" i="9"/>
  <c r="H17" i="103" s="1"/>
  <c r="G16" i="9"/>
  <c r="G15" i="9"/>
  <c r="H15" i="103" s="1"/>
  <c r="G14" i="9"/>
  <c r="H14" i="103" s="1"/>
  <c r="G13" i="9"/>
  <c r="G12" i="9"/>
  <c r="H12" i="103" s="1"/>
  <c r="G11" i="9"/>
  <c r="H11" i="103" s="1"/>
  <c r="G10" i="9"/>
  <c r="H10" i="103" s="1"/>
  <c r="G9" i="9"/>
  <c r="H9" i="103" s="1"/>
  <c r="G8" i="9"/>
  <c r="H8" i="103" s="1"/>
  <c r="G7" i="9"/>
  <c r="H7" i="103" s="1"/>
  <c r="G6" i="9"/>
  <c r="V60" i="8"/>
  <c r="U60" i="8"/>
  <c r="S60" i="8"/>
  <c r="R60" i="8"/>
  <c r="P60" i="8"/>
  <c r="O60" i="8"/>
  <c r="M60" i="8"/>
  <c r="L60" i="8"/>
  <c r="F60" i="8"/>
  <c r="E60" i="8"/>
  <c r="D60" i="8"/>
  <c r="C60" i="8"/>
  <c r="B60" i="8"/>
  <c r="G58" i="8"/>
  <c r="G57" i="8"/>
  <c r="G56" i="8"/>
  <c r="G55" i="8"/>
  <c r="G54" i="8"/>
  <c r="G53" i="8"/>
  <c r="G52" i="8"/>
  <c r="G51" i="8"/>
  <c r="G50" i="8"/>
  <c r="G49" i="8"/>
  <c r="G48" i="8"/>
  <c r="G47" i="8"/>
  <c r="G46" i="8"/>
  <c r="G45" i="8"/>
  <c r="G44" i="8"/>
  <c r="G43" i="8"/>
  <c r="G42" i="8"/>
  <c r="G41" i="8"/>
  <c r="G40" i="8"/>
  <c r="G39" i="8"/>
  <c r="G38" i="8"/>
  <c r="G37" i="8"/>
  <c r="G36" i="8"/>
  <c r="G35" i="8"/>
  <c r="G34" i="8"/>
  <c r="G33" i="8"/>
  <c r="G32" i="8"/>
  <c r="G31" i="8"/>
  <c r="G30" i="8"/>
  <c r="G29" i="8"/>
  <c r="G28" i="8"/>
  <c r="G27" i="8"/>
  <c r="J26" i="8"/>
  <c r="G26" i="8"/>
  <c r="G25" i="8"/>
  <c r="G24" i="8"/>
  <c r="G23" i="8"/>
  <c r="G22" i="8"/>
  <c r="G21" i="8"/>
  <c r="G20" i="8"/>
  <c r="G19" i="8"/>
  <c r="G18" i="8"/>
  <c r="G17" i="8"/>
  <c r="G16" i="8"/>
  <c r="G15" i="8"/>
  <c r="G14" i="8"/>
  <c r="G13" i="8"/>
  <c r="G12" i="8"/>
  <c r="G11" i="8"/>
  <c r="G10" i="8"/>
  <c r="G9" i="8"/>
  <c r="G8" i="8"/>
  <c r="G7" i="8"/>
  <c r="G6" i="8"/>
  <c r="V60" i="7"/>
  <c r="U60" i="7"/>
  <c r="S60" i="7"/>
  <c r="R60" i="7"/>
  <c r="P60" i="7"/>
  <c r="O60" i="7"/>
  <c r="M60" i="7"/>
  <c r="L60" i="7"/>
  <c r="F60" i="7"/>
  <c r="E60" i="7"/>
  <c r="D60" i="7"/>
  <c r="C60" i="7"/>
  <c r="B60" i="7"/>
  <c r="G58" i="7"/>
  <c r="G57" i="7"/>
  <c r="G56" i="7"/>
  <c r="G55" i="7"/>
  <c r="G54" i="7"/>
  <c r="G53" i="7"/>
  <c r="G52" i="7"/>
  <c r="G51" i="7"/>
  <c r="G50" i="7"/>
  <c r="G49" i="7"/>
  <c r="G48" i="7"/>
  <c r="G47" i="7"/>
  <c r="G46" i="7"/>
  <c r="G45" i="7"/>
  <c r="G44" i="7"/>
  <c r="G43" i="7"/>
  <c r="G42" i="7"/>
  <c r="G41" i="7"/>
  <c r="G40" i="7"/>
  <c r="G39" i="7"/>
  <c r="G38" i="7"/>
  <c r="G37" i="7"/>
  <c r="G36" i="7"/>
  <c r="G35" i="7"/>
  <c r="G34" i="7"/>
  <c r="G33" i="7"/>
  <c r="G32" i="7"/>
  <c r="G31" i="7"/>
  <c r="G30" i="7"/>
  <c r="G29" i="7"/>
  <c r="G28" i="7"/>
  <c r="G27" i="7"/>
  <c r="J26" i="7"/>
  <c r="G26" i="7"/>
  <c r="G25" i="7"/>
  <c r="G24" i="7"/>
  <c r="G23" i="7"/>
  <c r="G22" i="7"/>
  <c r="G21" i="7"/>
  <c r="G20" i="7"/>
  <c r="G19" i="7"/>
  <c r="G18" i="7"/>
  <c r="G17" i="7"/>
  <c r="G16" i="7"/>
  <c r="G15" i="7"/>
  <c r="G14" i="7"/>
  <c r="G13" i="7"/>
  <c r="G12" i="7"/>
  <c r="G11" i="7"/>
  <c r="G10" i="7"/>
  <c r="G9" i="7"/>
  <c r="G8" i="7"/>
  <c r="G7" i="7"/>
  <c r="G6" i="7"/>
  <c r="V60" i="6"/>
  <c r="U60" i="6"/>
  <c r="S60" i="6"/>
  <c r="R60" i="6"/>
  <c r="P60" i="6"/>
  <c r="O60" i="6"/>
  <c r="M60" i="6"/>
  <c r="L60" i="6"/>
  <c r="F60" i="6"/>
  <c r="E60" i="6"/>
  <c r="D60" i="6"/>
  <c r="C60" i="6"/>
  <c r="B60" i="6"/>
  <c r="G58" i="6"/>
  <c r="G57" i="6"/>
  <c r="G56" i="6"/>
  <c r="G55" i="6"/>
  <c r="G54" i="6"/>
  <c r="G53" i="6"/>
  <c r="G52" i="6"/>
  <c r="G51" i="6"/>
  <c r="G50" i="6"/>
  <c r="G49" i="6"/>
  <c r="G48" i="6"/>
  <c r="G47" i="6"/>
  <c r="G46" i="6"/>
  <c r="G45" i="6"/>
  <c r="G44" i="6"/>
  <c r="G43" i="6"/>
  <c r="G42" i="6"/>
  <c r="G41" i="6"/>
  <c r="G40" i="6"/>
  <c r="G39" i="6"/>
  <c r="G38" i="6"/>
  <c r="G37" i="6"/>
  <c r="G36" i="6"/>
  <c r="G35" i="6"/>
  <c r="G34" i="6"/>
  <c r="G33" i="6"/>
  <c r="G32" i="6"/>
  <c r="G31" i="6"/>
  <c r="G30" i="6"/>
  <c r="G29" i="6"/>
  <c r="G28" i="6"/>
  <c r="G27" i="6"/>
  <c r="J26" i="6"/>
  <c r="G26" i="6"/>
  <c r="G25" i="6"/>
  <c r="G24" i="6"/>
  <c r="G23" i="6"/>
  <c r="G22" i="6"/>
  <c r="G21" i="6"/>
  <c r="G20" i="6"/>
  <c r="G19" i="6"/>
  <c r="G18" i="6"/>
  <c r="G17" i="6"/>
  <c r="G16" i="6"/>
  <c r="G15" i="6"/>
  <c r="G14" i="6"/>
  <c r="G13" i="6"/>
  <c r="G12" i="6"/>
  <c r="G11" i="6"/>
  <c r="G10" i="6"/>
  <c r="G9" i="6"/>
  <c r="G8" i="6"/>
  <c r="G7" i="6"/>
  <c r="G6" i="6"/>
  <c r="V60" i="5"/>
  <c r="U60" i="5"/>
  <c r="S60" i="5"/>
  <c r="R60" i="5"/>
  <c r="P60" i="5"/>
  <c r="O60" i="5"/>
  <c r="M60" i="5"/>
  <c r="L60" i="5"/>
  <c r="F60" i="5"/>
  <c r="E60" i="5"/>
  <c r="D60" i="5"/>
  <c r="C60" i="5"/>
  <c r="B60" i="5"/>
  <c r="G58" i="5"/>
  <c r="G57" i="5"/>
  <c r="G56" i="5"/>
  <c r="G55" i="5"/>
  <c r="G54" i="5"/>
  <c r="G53" i="5"/>
  <c r="G52" i="5"/>
  <c r="G51" i="5"/>
  <c r="G50" i="5"/>
  <c r="G49" i="5"/>
  <c r="G48" i="5"/>
  <c r="G47" i="5"/>
  <c r="G46" i="5"/>
  <c r="G45" i="5"/>
  <c r="G44" i="5"/>
  <c r="G43" i="5"/>
  <c r="G42" i="5"/>
  <c r="G41" i="5"/>
  <c r="G40" i="5"/>
  <c r="G39" i="5"/>
  <c r="G38" i="5"/>
  <c r="G37" i="5"/>
  <c r="G36" i="5"/>
  <c r="G35" i="5"/>
  <c r="G34" i="5"/>
  <c r="G33" i="5"/>
  <c r="G32" i="5"/>
  <c r="G31" i="5"/>
  <c r="G30" i="5"/>
  <c r="G29" i="5"/>
  <c r="G28" i="5"/>
  <c r="G27" i="5"/>
  <c r="J26" i="5"/>
  <c r="G26" i="5"/>
  <c r="G25" i="5"/>
  <c r="G24" i="5"/>
  <c r="G23" i="5"/>
  <c r="G22" i="5"/>
  <c r="G21" i="5"/>
  <c r="G20" i="5"/>
  <c r="G19" i="5"/>
  <c r="G18" i="5"/>
  <c r="G17" i="5"/>
  <c r="G16" i="5"/>
  <c r="G15" i="5"/>
  <c r="G14" i="5"/>
  <c r="G13" i="5"/>
  <c r="G12" i="5"/>
  <c r="G11" i="5"/>
  <c r="G10" i="5"/>
  <c r="G9" i="5"/>
  <c r="G8" i="5"/>
  <c r="G7" i="5"/>
  <c r="G6" i="5"/>
  <c r="V60" i="4"/>
  <c r="U60" i="4"/>
  <c r="S60" i="4"/>
  <c r="R60" i="4"/>
  <c r="P60" i="4"/>
  <c r="O60" i="4"/>
  <c r="M60" i="4"/>
  <c r="L60" i="4"/>
  <c r="F60" i="4"/>
  <c r="E60" i="4"/>
  <c r="D60" i="4"/>
  <c r="C60" i="4"/>
  <c r="B60" i="4"/>
  <c r="G58" i="4"/>
  <c r="H58" i="106" s="1"/>
  <c r="G57" i="4"/>
  <c r="H57" i="106" s="1"/>
  <c r="G56" i="4"/>
  <c r="H56" i="106" s="1"/>
  <c r="G55" i="4"/>
  <c r="H55" i="106" s="1"/>
  <c r="G54" i="4"/>
  <c r="H54" i="106" s="1"/>
  <c r="G53" i="4"/>
  <c r="H53" i="106" s="1"/>
  <c r="G52" i="4"/>
  <c r="H52" i="106" s="1"/>
  <c r="G51" i="4"/>
  <c r="H51" i="106" s="1"/>
  <c r="G50" i="4"/>
  <c r="H50" i="106" s="1"/>
  <c r="G49" i="4"/>
  <c r="H49" i="106" s="1"/>
  <c r="G48" i="4"/>
  <c r="H48" i="106" s="1"/>
  <c r="G47" i="4"/>
  <c r="H47" i="106" s="1"/>
  <c r="G46" i="4"/>
  <c r="H46" i="106" s="1"/>
  <c r="G45" i="4"/>
  <c r="H45" i="106" s="1"/>
  <c r="G44" i="4"/>
  <c r="H44" i="106" s="1"/>
  <c r="G43" i="4"/>
  <c r="H43" i="106" s="1"/>
  <c r="G42" i="4"/>
  <c r="H42" i="106" s="1"/>
  <c r="G41" i="4"/>
  <c r="H41" i="106" s="1"/>
  <c r="G40" i="4"/>
  <c r="H40" i="106" s="1"/>
  <c r="G39" i="4"/>
  <c r="H39" i="106" s="1"/>
  <c r="G38" i="4"/>
  <c r="H38" i="106" s="1"/>
  <c r="G37" i="4"/>
  <c r="H37" i="106" s="1"/>
  <c r="G36" i="4"/>
  <c r="H36" i="106" s="1"/>
  <c r="G35" i="4"/>
  <c r="H35" i="106" s="1"/>
  <c r="G34" i="4"/>
  <c r="H34" i="106" s="1"/>
  <c r="G33" i="4"/>
  <c r="H33" i="106" s="1"/>
  <c r="G32" i="4"/>
  <c r="H32" i="106" s="1"/>
  <c r="G31" i="4"/>
  <c r="H31" i="106" s="1"/>
  <c r="G30" i="4"/>
  <c r="H30" i="106" s="1"/>
  <c r="G29" i="4"/>
  <c r="H29" i="106" s="1"/>
  <c r="G28" i="4"/>
  <c r="H28" i="106" s="1"/>
  <c r="G27" i="4"/>
  <c r="H27" i="106" s="1"/>
  <c r="J26" i="4"/>
  <c r="G26" i="4"/>
  <c r="H26" i="106" s="1"/>
  <c r="G25" i="4"/>
  <c r="H25" i="106" s="1"/>
  <c r="G24" i="4"/>
  <c r="H24" i="106" s="1"/>
  <c r="G23" i="4"/>
  <c r="H23" i="106" s="1"/>
  <c r="G22" i="4"/>
  <c r="H22" i="106" s="1"/>
  <c r="G21" i="4"/>
  <c r="H21" i="106" s="1"/>
  <c r="G20" i="4"/>
  <c r="H20" i="106" s="1"/>
  <c r="G19" i="4"/>
  <c r="H19" i="106" s="1"/>
  <c r="G18" i="4"/>
  <c r="H18" i="106" s="1"/>
  <c r="G17" i="4"/>
  <c r="H17" i="106" s="1"/>
  <c r="G16" i="4"/>
  <c r="H16" i="106" s="1"/>
  <c r="G15" i="4"/>
  <c r="H15" i="106" s="1"/>
  <c r="G14" i="4"/>
  <c r="H14" i="106" s="1"/>
  <c r="G13" i="4"/>
  <c r="H13" i="106" s="1"/>
  <c r="G12" i="4"/>
  <c r="H12" i="106" s="1"/>
  <c r="G11" i="4"/>
  <c r="H11" i="106" s="1"/>
  <c r="G10" i="4"/>
  <c r="H10" i="106" s="1"/>
  <c r="G9" i="4"/>
  <c r="H9" i="106" s="1"/>
  <c r="G8" i="4"/>
  <c r="H8" i="106" s="1"/>
  <c r="G7" i="4"/>
  <c r="H7" i="106" s="1"/>
  <c r="G6" i="4"/>
  <c r="V60" i="3"/>
  <c r="U60" i="3"/>
  <c r="S60" i="3"/>
  <c r="R60" i="3"/>
  <c r="P60" i="3"/>
  <c r="O60" i="3"/>
  <c r="M60" i="3"/>
  <c r="L60" i="3"/>
  <c r="F60" i="3"/>
  <c r="E60" i="3"/>
  <c r="D60" i="3"/>
  <c r="C60" i="3"/>
  <c r="B60" i="3"/>
  <c r="G58" i="3"/>
  <c r="G57" i="3"/>
  <c r="G56" i="3"/>
  <c r="G55" i="3"/>
  <c r="G54" i="3"/>
  <c r="G53" i="3"/>
  <c r="G52" i="3"/>
  <c r="G51" i="3"/>
  <c r="G50" i="3"/>
  <c r="G49" i="3"/>
  <c r="G48" i="3"/>
  <c r="G47" i="3"/>
  <c r="G46" i="3"/>
  <c r="G45" i="3"/>
  <c r="G44" i="3"/>
  <c r="G43" i="3"/>
  <c r="G42" i="3"/>
  <c r="G41" i="3"/>
  <c r="G40" i="3"/>
  <c r="G39" i="3"/>
  <c r="G38" i="3"/>
  <c r="G37" i="3"/>
  <c r="G36" i="3"/>
  <c r="G35" i="3"/>
  <c r="G34" i="3"/>
  <c r="G33" i="3"/>
  <c r="G32" i="3"/>
  <c r="G31" i="3"/>
  <c r="G30" i="3"/>
  <c r="G29" i="3"/>
  <c r="G28" i="3"/>
  <c r="G27" i="3"/>
  <c r="J26" i="3"/>
  <c r="G26" i="3"/>
  <c r="G25" i="3"/>
  <c r="G24" i="3"/>
  <c r="G23" i="3"/>
  <c r="G22" i="3"/>
  <c r="G21" i="3"/>
  <c r="G20" i="3"/>
  <c r="G19" i="3"/>
  <c r="G18" i="3"/>
  <c r="G17" i="3"/>
  <c r="G16" i="3"/>
  <c r="G15" i="3"/>
  <c r="G14" i="3"/>
  <c r="G13" i="3"/>
  <c r="G12" i="3"/>
  <c r="G11" i="3"/>
  <c r="G10" i="3"/>
  <c r="G9" i="3"/>
  <c r="G8" i="3"/>
  <c r="G7" i="3"/>
  <c r="G6" i="3"/>
  <c r="V60" i="2"/>
  <c r="U60" i="2"/>
  <c r="S60" i="2"/>
  <c r="R60" i="2"/>
  <c r="P60" i="2"/>
  <c r="O60" i="2"/>
  <c r="M60" i="2"/>
  <c r="L60" i="2"/>
  <c r="F60" i="2"/>
  <c r="E60" i="2"/>
  <c r="D60" i="2"/>
  <c r="C60" i="2"/>
  <c r="B60" i="2"/>
  <c r="G58" i="2"/>
  <c r="H58" i="105" s="1"/>
  <c r="G57" i="2"/>
  <c r="H57" i="105" s="1"/>
  <c r="G56" i="2"/>
  <c r="H56" i="105" s="1"/>
  <c r="G55" i="2"/>
  <c r="H55" i="105" s="1"/>
  <c r="G54" i="2"/>
  <c r="H54" i="105" s="1"/>
  <c r="G53" i="2"/>
  <c r="H53" i="105" s="1"/>
  <c r="G52" i="2"/>
  <c r="H52" i="105" s="1"/>
  <c r="G51" i="2"/>
  <c r="H51" i="105" s="1"/>
  <c r="G50" i="2"/>
  <c r="H50" i="105" s="1"/>
  <c r="G49" i="2"/>
  <c r="H49" i="105" s="1"/>
  <c r="G48" i="2"/>
  <c r="H48" i="105" s="1"/>
  <c r="G47" i="2"/>
  <c r="H47" i="105" s="1"/>
  <c r="G46" i="2"/>
  <c r="H46" i="105" s="1"/>
  <c r="G45" i="2"/>
  <c r="H45" i="105" s="1"/>
  <c r="G44" i="2"/>
  <c r="H44" i="105" s="1"/>
  <c r="G43" i="2"/>
  <c r="H43" i="105" s="1"/>
  <c r="G42" i="2"/>
  <c r="H42" i="105" s="1"/>
  <c r="G41" i="2"/>
  <c r="H41" i="105" s="1"/>
  <c r="G40" i="2"/>
  <c r="H40" i="105" s="1"/>
  <c r="G39" i="2"/>
  <c r="H39" i="105" s="1"/>
  <c r="G38" i="2"/>
  <c r="H38" i="105" s="1"/>
  <c r="G37" i="2"/>
  <c r="H37" i="105" s="1"/>
  <c r="G36" i="2"/>
  <c r="H36" i="105" s="1"/>
  <c r="G35" i="2"/>
  <c r="H35" i="105" s="1"/>
  <c r="G34" i="2"/>
  <c r="H34" i="105" s="1"/>
  <c r="G33" i="2"/>
  <c r="H33" i="105" s="1"/>
  <c r="G32" i="2"/>
  <c r="H32" i="105" s="1"/>
  <c r="G31" i="2"/>
  <c r="H31" i="105" s="1"/>
  <c r="G30" i="2"/>
  <c r="H30" i="105" s="1"/>
  <c r="G29" i="2"/>
  <c r="H29" i="105" s="1"/>
  <c r="G28" i="2"/>
  <c r="H28" i="105" s="1"/>
  <c r="G27" i="2"/>
  <c r="H27" i="105" s="1"/>
  <c r="J26" i="2"/>
  <c r="G26" i="2"/>
  <c r="H26" i="105" s="1"/>
  <c r="G25" i="2"/>
  <c r="H25" i="105" s="1"/>
  <c r="G24" i="2"/>
  <c r="H24" i="105" s="1"/>
  <c r="G23" i="2"/>
  <c r="H23" i="105" s="1"/>
  <c r="G22" i="2"/>
  <c r="H22" i="105" s="1"/>
  <c r="G21" i="2"/>
  <c r="H21" i="105" s="1"/>
  <c r="G20" i="2"/>
  <c r="H20" i="105" s="1"/>
  <c r="G19" i="2"/>
  <c r="H19" i="105" s="1"/>
  <c r="G18" i="2"/>
  <c r="H18" i="105" s="1"/>
  <c r="G17" i="2"/>
  <c r="H17" i="105" s="1"/>
  <c r="G16" i="2"/>
  <c r="H16" i="105" s="1"/>
  <c r="G15" i="2"/>
  <c r="H15" i="105" s="1"/>
  <c r="G14" i="2"/>
  <c r="H14" i="105" s="1"/>
  <c r="G13" i="2"/>
  <c r="H13" i="105" s="1"/>
  <c r="G12" i="2"/>
  <c r="H12" i="105" s="1"/>
  <c r="G11" i="2"/>
  <c r="H11" i="105" s="1"/>
  <c r="G10" i="2"/>
  <c r="H10" i="105" s="1"/>
  <c r="G9" i="2"/>
  <c r="H9" i="105" s="1"/>
  <c r="G8" i="2"/>
  <c r="H8" i="105" s="1"/>
  <c r="G7" i="2"/>
  <c r="H7" i="105" s="1"/>
  <c r="G6" i="2"/>
  <c r="V60" i="1"/>
  <c r="U60" i="1"/>
  <c r="S60" i="1"/>
  <c r="R60" i="1"/>
  <c r="P60" i="1"/>
  <c r="O60" i="1"/>
  <c r="M60" i="1"/>
  <c r="L60" i="1"/>
  <c r="F60" i="1"/>
  <c r="E60" i="1"/>
  <c r="D60" i="1"/>
  <c r="C60" i="1"/>
  <c r="B60" i="1"/>
  <c r="G58" i="1"/>
  <c r="H58" i="104" s="1"/>
  <c r="G57" i="1"/>
  <c r="H57" i="104" s="1"/>
  <c r="G56" i="1"/>
  <c r="H56" i="104" s="1"/>
  <c r="G55" i="1"/>
  <c r="H55" i="104" s="1"/>
  <c r="G54" i="1"/>
  <c r="H54" i="104" s="1"/>
  <c r="G53" i="1"/>
  <c r="H53" i="104" s="1"/>
  <c r="G52" i="1"/>
  <c r="H52" i="104" s="1"/>
  <c r="G51" i="1"/>
  <c r="H51" i="104" s="1"/>
  <c r="G50" i="1"/>
  <c r="G49" i="1"/>
  <c r="H49" i="104" s="1"/>
  <c r="G48" i="1"/>
  <c r="H48" i="104" s="1"/>
  <c r="G47" i="1"/>
  <c r="H47" i="104" s="1"/>
  <c r="G46" i="1"/>
  <c r="H46" i="104" s="1"/>
  <c r="G45" i="1"/>
  <c r="H45" i="104" s="1"/>
  <c r="G44" i="1"/>
  <c r="H44" i="104" s="1"/>
  <c r="G43" i="1"/>
  <c r="H43" i="104" s="1"/>
  <c r="G42" i="1"/>
  <c r="H42" i="104" s="1"/>
  <c r="G41" i="1"/>
  <c r="H41" i="104" s="1"/>
  <c r="G40" i="1"/>
  <c r="H40" i="104" s="1"/>
  <c r="G39" i="1"/>
  <c r="H39" i="104" s="1"/>
  <c r="G38" i="1"/>
  <c r="H38" i="104" s="1"/>
  <c r="G37" i="1"/>
  <c r="H37" i="104" s="1"/>
  <c r="G36" i="1"/>
  <c r="H36" i="104" s="1"/>
  <c r="G35" i="1"/>
  <c r="H35" i="104" s="1"/>
  <c r="G34" i="1"/>
  <c r="H34" i="104" s="1"/>
  <c r="G33" i="1"/>
  <c r="H33" i="104" s="1"/>
  <c r="G32" i="1"/>
  <c r="H32" i="104" s="1"/>
  <c r="G31" i="1"/>
  <c r="H31" i="104" s="1"/>
  <c r="G30" i="1"/>
  <c r="H30" i="104" s="1"/>
  <c r="G29" i="1"/>
  <c r="H29" i="104" s="1"/>
  <c r="G28" i="1"/>
  <c r="H28" i="104" s="1"/>
  <c r="G27" i="1"/>
  <c r="H27" i="104" s="1"/>
  <c r="J26" i="1"/>
  <c r="G26" i="1"/>
  <c r="H26" i="104" s="1"/>
  <c r="G25" i="1"/>
  <c r="H25" i="104" s="1"/>
  <c r="G24" i="1"/>
  <c r="H24" i="104" s="1"/>
  <c r="G23" i="1"/>
  <c r="H23" i="104" s="1"/>
  <c r="G22" i="1"/>
  <c r="H22" i="104" s="1"/>
  <c r="G21" i="1"/>
  <c r="H21" i="104" s="1"/>
  <c r="G20" i="1"/>
  <c r="H20" i="104" s="1"/>
  <c r="G19" i="1"/>
  <c r="H19" i="104" s="1"/>
  <c r="G18" i="1"/>
  <c r="H18" i="104" s="1"/>
  <c r="G17" i="1"/>
  <c r="H17" i="104" s="1"/>
  <c r="G16" i="1"/>
  <c r="G15" i="1"/>
  <c r="H15" i="104" s="1"/>
  <c r="G14" i="1"/>
  <c r="H14" i="104" s="1"/>
  <c r="G13" i="1"/>
  <c r="G12" i="1"/>
  <c r="H12" i="104" s="1"/>
  <c r="G11" i="1"/>
  <c r="H11" i="104" s="1"/>
  <c r="G10" i="1"/>
  <c r="H10" i="104" s="1"/>
  <c r="G9" i="1"/>
  <c r="H9" i="104" s="1"/>
  <c r="G8" i="1"/>
  <c r="H8" i="104" s="1"/>
  <c r="G7" i="1"/>
  <c r="H7" i="104" s="1"/>
  <c r="G6" i="1"/>
  <c r="D13" i="107" l="1"/>
  <c r="G50" i="103"/>
  <c r="G13" i="103"/>
  <c r="L19" i="103" s="1"/>
  <c r="O17" i="101"/>
  <c r="R60" i="107"/>
  <c r="S60" i="107"/>
  <c r="P60" i="107"/>
  <c r="M60" i="107"/>
  <c r="O60" i="107"/>
  <c r="I60" i="107"/>
  <c r="J60" i="107"/>
  <c r="L60" i="107"/>
  <c r="O113" i="101"/>
  <c r="O19" i="101"/>
  <c r="O39" i="101"/>
  <c r="O59" i="101"/>
  <c r="O73" i="101"/>
  <c r="O102" i="101"/>
  <c r="O122" i="101"/>
  <c r="O36" i="101"/>
  <c r="O56" i="101"/>
  <c r="O70" i="101"/>
  <c r="O85" i="101"/>
  <c r="O99" i="101"/>
  <c r="L26" i="101"/>
  <c r="O31" i="101"/>
  <c r="O45" i="101"/>
  <c r="O65" i="101"/>
  <c r="O79" i="101"/>
  <c r="O94" i="101"/>
  <c r="O108" i="101"/>
  <c r="X26" i="101"/>
  <c r="O78" i="101"/>
  <c r="O107" i="101"/>
  <c r="O81" i="101"/>
  <c r="AA116" i="101"/>
  <c r="AD129" i="101"/>
  <c r="N116" i="101"/>
  <c r="O22" i="101"/>
  <c r="L51" i="101"/>
  <c r="O42" i="101"/>
  <c r="W116" i="101"/>
  <c r="O62" i="101"/>
  <c r="O76" i="101"/>
  <c r="O91" i="101"/>
  <c r="O105" i="101"/>
  <c r="Z129" i="101"/>
  <c r="O125" i="101"/>
  <c r="T26" i="101"/>
  <c r="U26" i="101"/>
  <c r="O21" i="101"/>
  <c r="M51" i="101"/>
  <c r="O41" i="101"/>
  <c r="X116" i="101"/>
  <c r="O61" i="101"/>
  <c r="O75" i="101"/>
  <c r="O90" i="101"/>
  <c r="O104" i="101"/>
  <c r="AA129" i="101"/>
  <c r="O124" i="101"/>
  <c r="N26" i="101"/>
  <c r="O23" i="101"/>
  <c r="W26" i="101"/>
  <c r="O20" i="101"/>
  <c r="N51" i="101"/>
  <c r="O40" i="101"/>
  <c r="Z116" i="101"/>
  <c r="O60" i="101"/>
  <c r="O74" i="101"/>
  <c r="O89" i="101"/>
  <c r="O103" i="101"/>
  <c r="AC129" i="101"/>
  <c r="O123" i="101"/>
  <c r="O88" i="101"/>
  <c r="Z26" i="101"/>
  <c r="O18" i="101"/>
  <c r="U51" i="101"/>
  <c r="O38" i="101"/>
  <c r="AC116" i="101"/>
  <c r="O58" i="101"/>
  <c r="O72" i="101"/>
  <c r="O87" i="101"/>
  <c r="O101" i="101"/>
  <c r="O121" i="101"/>
  <c r="T51" i="101"/>
  <c r="AA26" i="101"/>
  <c r="W51" i="101"/>
  <c r="O37" i="101"/>
  <c r="AD116" i="101"/>
  <c r="O57" i="101"/>
  <c r="O71" i="101"/>
  <c r="O86" i="101"/>
  <c r="O100" i="101"/>
  <c r="O114" i="101"/>
  <c r="K129" i="101"/>
  <c r="AD26" i="101"/>
  <c r="O16" i="101"/>
  <c r="Z51" i="101"/>
  <c r="O35" i="101"/>
  <c r="O49" i="101"/>
  <c r="O69" i="101"/>
  <c r="O84" i="101"/>
  <c r="O98" i="101"/>
  <c r="O112" i="101"/>
  <c r="L129" i="101"/>
  <c r="O15" i="101"/>
  <c r="AA51" i="101"/>
  <c r="O34" i="101"/>
  <c r="O48" i="101"/>
  <c r="K116" i="101"/>
  <c r="O68" i="101"/>
  <c r="O83" i="101"/>
  <c r="O97" i="101"/>
  <c r="O111" i="101"/>
  <c r="M129" i="101"/>
  <c r="AC51" i="101"/>
  <c r="O33" i="101"/>
  <c r="O47" i="101"/>
  <c r="L116" i="101"/>
  <c r="O67" i="101"/>
  <c r="O82" i="101"/>
  <c r="O96" i="101"/>
  <c r="O110" i="101"/>
  <c r="N129" i="101"/>
  <c r="AC26" i="101"/>
  <c r="X51" i="101"/>
  <c r="K26" i="101"/>
  <c r="AD51" i="101"/>
  <c r="O32" i="101"/>
  <c r="O46" i="101"/>
  <c r="M116" i="101"/>
  <c r="O66" i="101"/>
  <c r="O80" i="101"/>
  <c r="O95" i="101"/>
  <c r="O109" i="101"/>
  <c r="T129" i="101"/>
  <c r="U129" i="101"/>
  <c r="M26" i="101"/>
  <c r="O24" i="101"/>
  <c r="O44" i="101"/>
  <c r="T116" i="101"/>
  <c r="O64" i="101"/>
  <c r="O93" i="101"/>
  <c r="W129" i="101"/>
  <c r="O127" i="101"/>
  <c r="K51" i="101"/>
  <c r="O43" i="101"/>
  <c r="U116" i="101"/>
  <c r="O63" i="101"/>
  <c r="O77" i="101"/>
  <c r="O92" i="101"/>
  <c r="O106" i="101"/>
  <c r="X129" i="101"/>
  <c r="O126" i="101"/>
  <c r="H6" i="104"/>
  <c r="H61" i="104" s="1"/>
  <c r="G60" i="1"/>
  <c r="J27" i="1"/>
  <c r="H6" i="105"/>
  <c r="H61" i="105" s="1"/>
  <c r="G60" i="2"/>
  <c r="J27" i="2"/>
  <c r="G60" i="3"/>
  <c r="J27" i="3"/>
  <c r="H6" i="106"/>
  <c r="H61" i="106" s="1"/>
  <c r="G60" i="4"/>
  <c r="J27" i="4"/>
  <c r="G60" i="5"/>
  <c r="J27" i="5"/>
  <c r="G60" i="6"/>
  <c r="J27" i="6"/>
  <c r="G60" i="7"/>
  <c r="J27" i="7"/>
  <c r="G60" i="8"/>
  <c r="J27" i="8"/>
  <c r="H6" i="103"/>
  <c r="H61" i="103" s="1"/>
  <c r="G60" i="9"/>
  <c r="J27" i="9"/>
  <c r="G60" i="10"/>
  <c r="J27" i="10"/>
  <c r="G60" i="11"/>
  <c r="J27" i="11"/>
  <c r="G60" i="12"/>
  <c r="J27" i="12"/>
  <c r="G60" i="13"/>
  <c r="J27" i="13"/>
  <c r="G60" i="14"/>
  <c r="J27" i="14"/>
  <c r="G60" i="15"/>
  <c r="J27" i="15"/>
  <c r="G60" i="16"/>
  <c r="J27" i="16"/>
  <c r="G60" i="17"/>
  <c r="J27" i="17"/>
  <c r="G60" i="18"/>
  <c r="J27" i="18"/>
  <c r="G60" i="19"/>
  <c r="J27" i="19"/>
  <c r="G60" i="20"/>
  <c r="J27" i="20"/>
  <c r="G60" i="21"/>
  <c r="J27" i="21"/>
  <c r="G60" i="22"/>
  <c r="J27" i="22"/>
  <c r="G60" i="23"/>
  <c r="J27" i="23"/>
  <c r="G60" i="24"/>
  <c r="J27" i="24"/>
  <c r="G60" i="25"/>
  <c r="J27" i="25"/>
  <c r="G60" i="26"/>
  <c r="J27" i="26"/>
  <c r="G60" i="27"/>
  <c r="J27" i="27"/>
  <c r="G60" i="28"/>
  <c r="J27" i="28"/>
  <c r="G60" i="29"/>
  <c r="J27" i="29"/>
  <c r="G60" i="30"/>
  <c r="J27" i="30"/>
  <c r="G60" i="31"/>
  <c r="J27" i="31"/>
  <c r="G60" i="32"/>
  <c r="J27" i="32"/>
  <c r="G60" i="33"/>
  <c r="J27" i="33"/>
  <c r="G60" i="34"/>
  <c r="J27" i="34"/>
  <c r="G60" i="35"/>
  <c r="J27" i="35"/>
  <c r="G60" i="36"/>
  <c r="J27" i="36"/>
  <c r="G60" i="37"/>
  <c r="J27" i="37"/>
  <c r="G60" i="38"/>
  <c r="J27" i="38"/>
  <c r="G60" i="39"/>
  <c r="J27" i="39"/>
  <c r="G60" i="40"/>
  <c r="J27" i="40"/>
  <c r="G60" i="41"/>
  <c r="J27" i="41"/>
  <c r="G60" i="42"/>
  <c r="J27" i="42"/>
  <c r="G60" i="43"/>
  <c r="J27" i="43"/>
  <c r="G60" i="44"/>
  <c r="J27" i="44"/>
  <c r="G60" i="45"/>
  <c r="J27" i="45"/>
  <c r="G60" i="46"/>
  <c r="J27" i="46"/>
  <c r="G60" i="47"/>
  <c r="J27" i="47"/>
  <c r="G60" i="48"/>
  <c r="J27" i="48"/>
  <c r="G60" i="49"/>
  <c r="J27" i="49"/>
  <c r="G60" i="50"/>
  <c r="J27" i="50"/>
  <c r="G60" i="51"/>
  <c r="J27" i="51"/>
  <c r="G60" i="52"/>
  <c r="J27" i="52"/>
  <c r="G60" i="53"/>
  <c r="J27" i="53"/>
  <c r="G60" i="54"/>
  <c r="J27" i="54"/>
  <c r="G60" i="55"/>
  <c r="J27" i="55"/>
  <c r="G60" i="56"/>
  <c r="J27" i="56"/>
  <c r="G60" i="57"/>
  <c r="J27" i="57"/>
  <c r="G60" i="58"/>
  <c r="J27" i="58"/>
  <c r="G60" i="59"/>
  <c r="J27" i="59"/>
  <c r="G60" i="60"/>
  <c r="J27" i="60"/>
  <c r="G60" i="61"/>
  <c r="J27" i="61"/>
  <c r="G60" i="62"/>
  <c r="J27" i="62"/>
  <c r="G60" i="63"/>
  <c r="J27" i="63"/>
  <c r="G60" i="64"/>
  <c r="J27" i="64"/>
  <c r="G60" i="65"/>
  <c r="J27" i="65"/>
  <c r="H6" i="102"/>
  <c r="H61" i="102" s="1"/>
  <c r="G60" i="66"/>
  <c r="J27" i="66"/>
  <c r="G60" i="67"/>
  <c r="J27" i="67"/>
  <c r="G60" i="68"/>
  <c r="J27" i="68"/>
  <c r="G60" i="69"/>
  <c r="J27" i="69"/>
  <c r="G60" i="70"/>
  <c r="J27" i="70"/>
  <c r="G60" i="71"/>
  <c r="J27" i="71"/>
  <c r="G60" i="72"/>
  <c r="J27" i="72"/>
  <c r="G60" i="73"/>
  <c r="J27" i="73"/>
  <c r="G60" i="74"/>
  <c r="J27" i="74"/>
  <c r="G60" i="75"/>
  <c r="J27" i="75"/>
  <c r="G60" i="76"/>
  <c r="J27" i="76"/>
  <c r="G60" i="77"/>
  <c r="J27" i="77"/>
  <c r="G60" i="78"/>
  <c r="J27" i="78"/>
  <c r="G60" i="79"/>
  <c r="J27" i="79"/>
  <c r="G60" i="80"/>
  <c r="J27" i="80"/>
  <c r="G60" i="81"/>
  <c r="J27" i="81"/>
  <c r="G60" i="82"/>
  <c r="J27" i="82"/>
  <c r="G60" i="83"/>
  <c r="J27" i="83"/>
  <c r="G60" i="84"/>
  <c r="J27" i="84"/>
  <c r="G60" i="85"/>
  <c r="J27" i="85"/>
  <c r="G60" i="86"/>
  <c r="J27" i="86"/>
  <c r="G60" i="87"/>
  <c r="J27" i="87"/>
  <c r="G60" i="88"/>
  <c r="J27" i="88"/>
  <c r="G60" i="89"/>
  <c r="J27" i="89"/>
  <c r="G60" i="90"/>
  <c r="J27" i="90"/>
  <c r="G60" i="91"/>
  <c r="J27" i="91"/>
  <c r="G60" i="92"/>
  <c r="J27" i="92"/>
  <c r="G60" i="93"/>
  <c r="J27" i="93"/>
  <c r="G60" i="94"/>
  <c r="J27" i="94"/>
  <c r="G60" i="95"/>
  <c r="J27" i="95"/>
  <c r="G60" i="96"/>
  <c r="J27" i="96"/>
  <c r="G60" i="97"/>
  <c r="J27" i="97"/>
  <c r="G60" i="98"/>
  <c r="J27" i="98"/>
  <c r="G60" i="99"/>
  <c r="J27" i="99"/>
  <c r="G60" i="100"/>
  <c r="J27" i="100"/>
  <c r="J131" i="101"/>
  <c r="J10" i="101"/>
  <c r="O8" i="101"/>
  <c r="K131" i="101"/>
  <c r="K10" i="101"/>
  <c r="L131" i="101"/>
  <c r="L10" i="101"/>
  <c r="M131" i="101"/>
  <c r="M10" i="101"/>
  <c r="N131" i="101"/>
  <c r="N10" i="101"/>
  <c r="T131" i="101"/>
  <c r="T10" i="101"/>
  <c r="U131" i="101"/>
  <c r="U10" i="101"/>
  <c r="W131" i="101"/>
  <c r="W10" i="101"/>
  <c r="X131" i="101"/>
  <c r="X10" i="101"/>
  <c r="Z131" i="101"/>
  <c r="Z10" i="101"/>
  <c r="AA131" i="101"/>
  <c r="AA10" i="101"/>
  <c r="AC131" i="101"/>
  <c r="AC10" i="101"/>
  <c r="AD131" i="101"/>
  <c r="AD10" i="101"/>
  <c r="J26" i="101"/>
  <c r="O14" i="101"/>
  <c r="L9" i="103"/>
  <c r="Q17" i="101"/>
  <c r="J51" i="101"/>
  <c r="O30" i="101"/>
  <c r="L12" i="104"/>
  <c r="J116" i="101"/>
  <c r="O55" i="101"/>
  <c r="L29" i="105"/>
  <c r="Q102" i="101"/>
  <c r="L57" i="105"/>
  <c r="L62" i="105"/>
  <c r="J129" i="101"/>
  <c r="O120" i="101"/>
  <c r="B6" i="107"/>
  <c r="B61" i="102"/>
  <c r="G6" i="102"/>
  <c r="C6" i="107"/>
  <c r="C60" i="107" s="1"/>
  <c r="C61" i="102"/>
  <c r="D6" i="107"/>
  <c r="D60" i="107" s="1"/>
  <c r="D61" i="102"/>
  <c r="E6" i="107"/>
  <c r="E60" i="107" s="1"/>
  <c r="E61" i="102"/>
  <c r="F6" i="107"/>
  <c r="F60" i="107" s="1"/>
  <c r="F61" i="102"/>
  <c r="B7" i="107"/>
  <c r="G7" i="107" s="1"/>
  <c r="G7" i="102"/>
  <c r="I7" i="102" s="1"/>
  <c r="B8" i="107"/>
  <c r="G8" i="107" s="1"/>
  <c r="G8" i="102"/>
  <c r="I8" i="102" s="1"/>
  <c r="B9" i="107"/>
  <c r="G9" i="107" s="1"/>
  <c r="G9" i="102"/>
  <c r="I9" i="102" s="1"/>
  <c r="B10" i="107"/>
  <c r="G10" i="107" s="1"/>
  <c r="G10" i="102"/>
  <c r="I10" i="102" s="1"/>
  <c r="B11" i="107"/>
  <c r="G11" i="107" s="1"/>
  <c r="G11" i="102"/>
  <c r="I11" i="102" s="1"/>
  <c r="B12" i="107"/>
  <c r="G12" i="107" s="1"/>
  <c r="G12" i="102"/>
  <c r="I12" i="102" s="1"/>
  <c r="B13" i="107"/>
  <c r="G13" i="107" s="1"/>
  <c r="G13" i="102"/>
  <c r="I13" i="102" s="1"/>
  <c r="B14" i="107"/>
  <c r="G14" i="107" s="1"/>
  <c r="G14" i="102"/>
  <c r="I14" i="102" s="1"/>
  <c r="B15" i="107"/>
  <c r="G15" i="107" s="1"/>
  <c r="G15" i="102"/>
  <c r="I15" i="102" s="1"/>
  <c r="B16" i="107"/>
  <c r="G16" i="107" s="1"/>
  <c r="G16" i="102"/>
  <c r="I16" i="102" s="1"/>
  <c r="B17" i="107"/>
  <c r="G17" i="107" s="1"/>
  <c r="G17" i="102"/>
  <c r="I17" i="102" s="1"/>
  <c r="B18" i="107"/>
  <c r="G18" i="107" s="1"/>
  <c r="G18" i="102"/>
  <c r="I18" i="102" s="1"/>
  <c r="B19" i="107"/>
  <c r="G19" i="107" s="1"/>
  <c r="G19" i="102"/>
  <c r="I19" i="102" s="1"/>
  <c r="B20" i="107"/>
  <c r="G20" i="107" s="1"/>
  <c r="G20" i="102"/>
  <c r="I20" i="102" s="1"/>
  <c r="B21" i="107"/>
  <c r="G21" i="107" s="1"/>
  <c r="G21" i="102"/>
  <c r="I21" i="102" s="1"/>
  <c r="B22" i="107"/>
  <c r="G22" i="107" s="1"/>
  <c r="G22" i="102"/>
  <c r="I22" i="102" s="1"/>
  <c r="B23" i="107"/>
  <c r="G23" i="107" s="1"/>
  <c r="G23" i="102"/>
  <c r="I23" i="102" s="1"/>
  <c r="B24" i="107"/>
  <c r="G24" i="107" s="1"/>
  <c r="G24" i="102"/>
  <c r="I24" i="102" s="1"/>
  <c r="B25" i="107"/>
  <c r="G25" i="107" s="1"/>
  <c r="G25" i="102"/>
  <c r="I25" i="102" s="1"/>
  <c r="B26" i="107"/>
  <c r="G26" i="107" s="1"/>
  <c r="G26" i="102"/>
  <c r="I26" i="102" s="1"/>
  <c r="B27" i="107"/>
  <c r="G27" i="107" s="1"/>
  <c r="G27" i="102"/>
  <c r="I27" i="102" s="1"/>
  <c r="B28" i="107"/>
  <c r="G28" i="107" s="1"/>
  <c r="G28" i="102"/>
  <c r="I28" i="102" s="1"/>
  <c r="B29" i="107"/>
  <c r="G29" i="107" s="1"/>
  <c r="G29" i="102"/>
  <c r="I29" i="102" s="1"/>
  <c r="B30" i="107"/>
  <c r="G30" i="107" s="1"/>
  <c r="G30" i="102"/>
  <c r="I30" i="102" s="1"/>
  <c r="B31" i="107"/>
  <c r="G31" i="107" s="1"/>
  <c r="G31" i="102"/>
  <c r="I31" i="102" s="1"/>
  <c r="B32" i="107"/>
  <c r="G32" i="107" s="1"/>
  <c r="G32" i="102"/>
  <c r="I32" i="102" s="1"/>
  <c r="B33" i="107"/>
  <c r="G33" i="107" s="1"/>
  <c r="G33" i="102"/>
  <c r="I33" i="102" s="1"/>
  <c r="B34" i="107"/>
  <c r="G34" i="107" s="1"/>
  <c r="G34" i="102"/>
  <c r="I34" i="102" s="1"/>
  <c r="B35" i="107"/>
  <c r="G35" i="107" s="1"/>
  <c r="G35" i="102"/>
  <c r="I35" i="102" s="1"/>
  <c r="B36" i="107"/>
  <c r="G36" i="107" s="1"/>
  <c r="G36" i="102"/>
  <c r="I36" i="102" s="1"/>
  <c r="B37" i="107"/>
  <c r="G37" i="107" s="1"/>
  <c r="G37" i="102"/>
  <c r="I37" i="102" s="1"/>
  <c r="B38" i="107"/>
  <c r="G38" i="107" s="1"/>
  <c r="G38" i="102"/>
  <c r="I38" i="102" s="1"/>
  <c r="B39" i="107"/>
  <c r="G39" i="107" s="1"/>
  <c r="G39" i="102"/>
  <c r="I39" i="102" s="1"/>
  <c r="B40" i="107"/>
  <c r="G40" i="107" s="1"/>
  <c r="G40" i="102"/>
  <c r="I40" i="102" s="1"/>
  <c r="B41" i="107"/>
  <c r="G41" i="107" s="1"/>
  <c r="G41" i="102"/>
  <c r="I41" i="102" s="1"/>
  <c r="B42" i="107"/>
  <c r="G42" i="107" s="1"/>
  <c r="G42" i="102"/>
  <c r="I42" i="102" s="1"/>
  <c r="B43" i="107"/>
  <c r="G43" i="107" s="1"/>
  <c r="G43" i="102"/>
  <c r="I43" i="102" s="1"/>
  <c r="B44" i="107"/>
  <c r="G44" i="107" s="1"/>
  <c r="G44" i="102"/>
  <c r="I44" i="102" s="1"/>
  <c r="B45" i="107"/>
  <c r="G45" i="107" s="1"/>
  <c r="G45" i="102"/>
  <c r="I45" i="102" s="1"/>
  <c r="B46" i="107"/>
  <c r="G46" i="107" s="1"/>
  <c r="G46" i="102"/>
  <c r="I46" i="102" s="1"/>
  <c r="B47" i="107"/>
  <c r="G47" i="107" s="1"/>
  <c r="G47" i="102"/>
  <c r="I47" i="102" s="1"/>
  <c r="B48" i="107"/>
  <c r="G48" i="107" s="1"/>
  <c r="G48" i="102"/>
  <c r="I48" i="102" s="1"/>
  <c r="B49" i="107"/>
  <c r="G49" i="107" s="1"/>
  <c r="G49" i="102"/>
  <c r="I49" i="102" s="1"/>
  <c r="B50" i="107"/>
  <c r="G50" i="107" s="1"/>
  <c r="G50" i="102"/>
  <c r="I50" i="102" s="1"/>
  <c r="B51" i="107"/>
  <c r="G51" i="107" s="1"/>
  <c r="G51" i="102"/>
  <c r="I51" i="102" s="1"/>
  <c r="B52" i="107"/>
  <c r="G52" i="107" s="1"/>
  <c r="G52" i="102"/>
  <c r="I52" i="102" s="1"/>
  <c r="B53" i="107"/>
  <c r="G53" i="107" s="1"/>
  <c r="G53" i="102"/>
  <c r="I53" i="102" s="1"/>
  <c r="B54" i="107"/>
  <c r="G54" i="107" s="1"/>
  <c r="G54" i="102"/>
  <c r="I54" i="102" s="1"/>
  <c r="B55" i="107"/>
  <c r="G55" i="107" s="1"/>
  <c r="G55" i="102"/>
  <c r="I55" i="102" s="1"/>
  <c r="B56" i="107"/>
  <c r="G56" i="107" s="1"/>
  <c r="G56" i="102"/>
  <c r="I56" i="102" s="1"/>
  <c r="B57" i="107"/>
  <c r="G57" i="107" s="1"/>
  <c r="G57" i="102"/>
  <c r="I57" i="102" s="1"/>
  <c r="B58" i="107"/>
  <c r="G58" i="107" s="1"/>
  <c r="G58" i="102"/>
  <c r="I58" i="102" s="1"/>
  <c r="B61" i="103"/>
  <c r="G6" i="103"/>
  <c r="I7" i="103"/>
  <c r="I8" i="103"/>
  <c r="I9" i="103"/>
  <c r="I10" i="103"/>
  <c r="I11" i="103"/>
  <c r="I12" i="103"/>
  <c r="I13" i="103"/>
  <c r="I14" i="103"/>
  <c r="I15" i="103"/>
  <c r="I17" i="103"/>
  <c r="I18" i="103"/>
  <c r="I19" i="103"/>
  <c r="I20" i="103"/>
  <c r="I21" i="103"/>
  <c r="I22" i="103"/>
  <c r="I23" i="103"/>
  <c r="I24" i="103"/>
  <c r="I25" i="103"/>
  <c r="I26" i="103"/>
  <c r="I27" i="103"/>
  <c r="I28" i="103"/>
  <c r="I29" i="103"/>
  <c r="I30" i="103"/>
  <c r="I31" i="103"/>
  <c r="I32" i="103"/>
  <c r="I33" i="103"/>
  <c r="I34" i="103"/>
  <c r="I35" i="103"/>
  <c r="I36" i="103"/>
  <c r="I37" i="103"/>
  <c r="I38" i="103"/>
  <c r="I39" i="103"/>
  <c r="I40" i="103"/>
  <c r="I41" i="103"/>
  <c r="I42" i="103"/>
  <c r="I43" i="103"/>
  <c r="I44" i="103"/>
  <c r="I45" i="103"/>
  <c r="I46" i="103"/>
  <c r="I47" i="103"/>
  <c r="I48" i="103"/>
  <c r="I49" i="103"/>
  <c r="I50" i="103"/>
  <c r="I51" i="103"/>
  <c r="I52" i="103"/>
  <c r="I53" i="103"/>
  <c r="I54" i="103"/>
  <c r="I55" i="103"/>
  <c r="I56" i="103"/>
  <c r="I57" i="103"/>
  <c r="I58" i="103"/>
  <c r="B61" i="104"/>
  <c r="G6" i="104"/>
  <c r="I7" i="104"/>
  <c r="I8" i="104"/>
  <c r="I9" i="104"/>
  <c r="I10" i="104"/>
  <c r="I11" i="104"/>
  <c r="I12" i="104"/>
  <c r="I13" i="104"/>
  <c r="I14" i="104"/>
  <c r="I15" i="104"/>
  <c r="I16" i="104"/>
  <c r="I17" i="104"/>
  <c r="I18" i="104"/>
  <c r="I19" i="104"/>
  <c r="I20" i="104"/>
  <c r="I21" i="104"/>
  <c r="I22" i="104"/>
  <c r="I23" i="104"/>
  <c r="I24" i="104"/>
  <c r="I25" i="104"/>
  <c r="I26" i="104"/>
  <c r="I27" i="104"/>
  <c r="I28" i="104"/>
  <c r="I29" i="104"/>
  <c r="I30" i="104"/>
  <c r="I31" i="104"/>
  <c r="I32" i="104"/>
  <c r="I33" i="104"/>
  <c r="I34" i="104"/>
  <c r="I35" i="104"/>
  <c r="I36" i="104"/>
  <c r="I37" i="104"/>
  <c r="I38" i="104"/>
  <c r="I39" i="104"/>
  <c r="I40" i="104"/>
  <c r="I41" i="104"/>
  <c r="I42" i="104"/>
  <c r="I43" i="104"/>
  <c r="I44" i="104"/>
  <c r="I45" i="104"/>
  <c r="I46" i="104"/>
  <c r="I47" i="104"/>
  <c r="I48" i="104"/>
  <c r="I49" i="104"/>
  <c r="I50" i="104"/>
  <c r="I51" i="104"/>
  <c r="I52" i="104"/>
  <c r="I53" i="104"/>
  <c r="I54" i="104"/>
  <c r="I55" i="104"/>
  <c r="I56" i="104"/>
  <c r="I57" i="104"/>
  <c r="I58" i="104"/>
  <c r="B61" i="105"/>
  <c r="G6" i="105"/>
  <c r="I7" i="105"/>
  <c r="I8" i="105"/>
  <c r="I9" i="105"/>
  <c r="I10" i="105"/>
  <c r="I11" i="105"/>
  <c r="I12" i="105"/>
  <c r="I13" i="105"/>
  <c r="I14" i="105"/>
  <c r="I15" i="105"/>
  <c r="I16" i="105"/>
  <c r="I17" i="105"/>
  <c r="I18" i="105"/>
  <c r="I19" i="105"/>
  <c r="I20" i="105"/>
  <c r="I21" i="105"/>
  <c r="I22" i="105"/>
  <c r="I23" i="105"/>
  <c r="I24" i="105"/>
  <c r="I25" i="105"/>
  <c r="I26" i="105"/>
  <c r="I27" i="105"/>
  <c r="I28" i="105"/>
  <c r="I29" i="105"/>
  <c r="I30" i="105"/>
  <c r="I31" i="105"/>
  <c r="I32" i="105"/>
  <c r="I33" i="105"/>
  <c r="I34" i="105"/>
  <c r="I35" i="105"/>
  <c r="I36" i="105"/>
  <c r="I37" i="105"/>
  <c r="I38" i="105"/>
  <c r="I39" i="105"/>
  <c r="I40" i="105"/>
  <c r="I41" i="105"/>
  <c r="I42" i="105"/>
  <c r="I43" i="105"/>
  <c r="I44" i="105"/>
  <c r="I45" i="105"/>
  <c r="I46" i="105"/>
  <c r="I47" i="105"/>
  <c r="I48" i="105"/>
  <c r="I49" i="105"/>
  <c r="I50" i="105"/>
  <c r="I51" i="105"/>
  <c r="I52" i="105"/>
  <c r="I53" i="105"/>
  <c r="I54" i="105"/>
  <c r="I55" i="105"/>
  <c r="I56" i="105"/>
  <c r="I57" i="105"/>
  <c r="I58" i="105"/>
  <c r="B61" i="106"/>
  <c r="G6" i="106"/>
  <c r="I7" i="106"/>
  <c r="I8" i="106"/>
  <c r="I9" i="106"/>
  <c r="I10" i="106"/>
  <c r="I11" i="106"/>
  <c r="I12" i="106"/>
  <c r="I13" i="106"/>
  <c r="I14" i="106"/>
  <c r="I15" i="106"/>
  <c r="I16" i="106"/>
  <c r="I17" i="106"/>
  <c r="I18" i="106"/>
  <c r="I19" i="106"/>
  <c r="I20" i="106"/>
  <c r="I21" i="106"/>
  <c r="I22" i="106"/>
  <c r="I23" i="106"/>
  <c r="I24" i="106"/>
  <c r="I25" i="106"/>
  <c r="I26" i="106"/>
  <c r="I27" i="106"/>
  <c r="I28" i="106"/>
  <c r="I29" i="106"/>
  <c r="I30" i="106"/>
  <c r="I31" i="106"/>
  <c r="I32" i="106"/>
  <c r="I33" i="106"/>
  <c r="I34" i="106"/>
  <c r="I35" i="106"/>
  <c r="I36" i="106"/>
  <c r="I37" i="106"/>
  <c r="I38" i="106"/>
  <c r="I39" i="106"/>
  <c r="I40" i="106"/>
  <c r="I41" i="106"/>
  <c r="I42" i="106"/>
  <c r="I43" i="106"/>
  <c r="I44" i="106"/>
  <c r="I45" i="106"/>
  <c r="I46" i="106"/>
  <c r="I47" i="106"/>
  <c r="I48" i="106"/>
  <c r="I49" i="106"/>
  <c r="I50" i="106"/>
  <c r="I51" i="106"/>
  <c r="I52" i="106"/>
  <c r="I53" i="106"/>
  <c r="I54" i="106"/>
  <c r="I55" i="106"/>
  <c r="I56" i="106"/>
  <c r="I57" i="106"/>
  <c r="I58" i="106"/>
  <c r="L56" i="105" l="1"/>
  <c r="L8" i="104"/>
  <c r="Q69" i="101"/>
  <c r="L41" i="105"/>
  <c r="L58" i="105"/>
  <c r="L24" i="105"/>
  <c r="L15" i="105"/>
  <c r="L61" i="105"/>
  <c r="L26" i="104"/>
  <c r="L54" i="105"/>
  <c r="L27" i="105"/>
  <c r="L44" i="105"/>
  <c r="Q59" i="101"/>
  <c r="L51" i="105"/>
  <c r="L9" i="106"/>
  <c r="L47" i="105"/>
  <c r="Q35" i="101"/>
  <c r="Q103" i="101"/>
  <c r="L40" i="105"/>
  <c r="Q62" i="101"/>
  <c r="Q79" i="101"/>
  <c r="Q39" i="101"/>
  <c r="L12" i="106"/>
  <c r="L26" i="105"/>
  <c r="L63" i="105"/>
  <c r="L19" i="104"/>
  <c r="Q83" i="101"/>
  <c r="Q61" i="101"/>
  <c r="Q110" i="101"/>
  <c r="Q44" i="101"/>
  <c r="Q121" i="101"/>
  <c r="Q65" i="101"/>
  <c r="L49" i="105"/>
  <c r="L13" i="103"/>
  <c r="L36" i="105"/>
  <c r="L11" i="103"/>
  <c r="L19" i="105"/>
  <c r="L25" i="105"/>
  <c r="Q87" i="101"/>
  <c r="L23" i="105"/>
  <c r="L64" i="105"/>
  <c r="L14" i="105"/>
  <c r="L59" i="105"/>
  <c r="L32" i="105"/>
  <c r="Q100" i="101"/>
  <c r="Q85" i="101"/>
  <c r="L45" i="105"/>
  <c r="L18" i="105"/>
  <c r="Q15" i="101"/>
  <c r="L12" i="103"/>
  <c r="Q70" i="101"/>
  <c r="L20" i="104"/>
  <c r="Q80" i="101"/>
  <c r="Q56" i="101"/>
  <c r="L17" i="105"/>
  <c r="L24" i="104"/>
  <c r="Q112" i="101"/>
  <c r="L8" i="105"/>
  <c r="Q18" i="101"/>
  <c r="L15" i="103"/>
  <c r="L11" i="106"/>
  <c r="Q107" i="101"/>
  <c r="Q36" i="101"/>
  <c r="Q24" i="101"/>
  <c r="L11" i="105"/>
  <c r="L13" i="106"/>
  <c r="L9" i="104"/>
  <c r="Q78" i="101"/>
  <c r="L8" i="106"/>
  <c r="L8" i="103"/>
  <c r="Q92" i="101"/>
  <c r="L28" i="105"/>
  <c r="Q34" i="101"/>
  <c r="L23" i="104"/>
  <c r="Q84" i="101"/>
  <c r="L13" i="104"/>
  <c r="L38" i="105"/>
  <c r="L10" i="106"/>
  <c r="L55" i="105"/>
  <c r="L52" i="105"/>
  <c r="L53" i="105"/>
  <c r="L13" i="105"/>
  <c r="L12" i="105"/>
  <c r="L10" i="105"/>
  <c r="Q111" i="101"/>
  <c r="L15" i="104"/>
  <c r="Q45" i="101"/>
  <c r="L16" i="105"/>
  <c r="Q89" i="101"/>
  <c r="L33" i="105"/>
  <c r="L22" i="104"/>
  <c r="Q74" i="101"/>
  <c r="Q126" i="101"/>
  <c r="L7" i="106"/>
  <c r="L21" i="104"/>
  <c r="Q73" i="101"/>
  <c r="Q122" i="101"/>
  <c r="Q88" i="101"/>
  <c r="L37" i="105"/>
  <c r="Q41" i="101"/>
  <c r="Q81" i="101"/>
  <c r="Q58" i="101"/>
  <c r="L9" i="105"/>
  <c r="L10" i="104"/>
  <c r="L7" i="105"/>
  <c r="L21" i="105"/>
  <c r="Q113" i="101"/>
  <c r="L20" i="105"/>
  <c r="Q94" i="101"/>
  <c r="L46" i="105"/>
  <c r="Q40" i="101"/>
  <c r="L7" i="104"/>
  <c r="Q77" i="101"/>
  <c r="L17" i="104"/>
  <c r="L18" i="104"/>
  <c r="L60" i="105"/>
  <c r="Q96" i="101"/>
  <c r="Q31" i="101"/>
  <c r="Q48" i="101"/>
  <c r="L25" i="104"/>
  <c r="Q114" i="101"/>
  <c r="L42" i="105"/>
  <c r="Q22" i="101"/>
  <c r="L14" i="103"/>
  <c r="L11" i="104"/>
  <c r="Q72" i="101"/>
  <c r="Q68" i="101"/>
  <c r="L16" i="103"/>
  <c r="Q16" i="101"/>
  <c r="Q95" i="101"/>
  <c r="L35" i="105"/>
  <c r="Q63" i="101"/>
  <c r="Q109" i="101"/>
  <c r="Q82" i="101"/>
  <c r="Q21" i="101"/>
  <c r="Q99" i="101"/>
  <c r="Q71" i="101"/>
  <c r="L50" i="105"/>
  <c r="Q19" i="101"/>
  <c r="L22" i="105"/>
  <c r="Q106" i="101"/>
  <c r="Q98" i="101"/>
  <c r="L48" i="105"/>
  <c r="Q86" i="101"/>
  <c r="Q97" i="101"/>
  <c r="Q23" i="101"/>
  <c r="L31" i="105"/>
  <c r="Q127" i="101"/>
  <c r="L43" i="105"/>
  <c r="Q33" i="101"/>
  <c r="Q67" i="101"/>
  <c r="Q38" i="101"/>
  <c r="L30" i="105"/>
  <c r="Q60" i="101"/>
  <c r="Q49" i="101"/>
  <c r="L14" i="104"/>
  <c r="Q20" i="101"/>
  <c r="L7" i="103"/>
  <c r="L10" i="103"/>
  <c r="Q108" i="101"/>
  <c r="Q90" i="101"/>
  <c r="Q42" i="101"/>
  <c r="Q93" i="101"/>
  <c r="Q43" i="101"/>
  <c r="Q125" i="101"/>
  <c r="Q101" i="101"/>
  <c r="L34" i="105"/>
  <c r="L39" i="105"/>
  <c r="Q64" i="101"/>
  <c r="Q105" i="101"/>
  <c r="Q91" i="101"/>
  <c r="Q76" i="101"/>
  <c r="Q57" i="101"/>
  <c r="Q47" i="101"/>
  <c r="Q124" i="101"/>
  <c r="Q66" i="101"/>
  <c r="Q104" i="101"/>
  <c r="Q37" i="101"/>
  <c r="Q75" i="101"/>
  <c r="Q123" i="101"/>
  <c r="Q46" i="101"/>
  <c r="Q32" i="101"/>
  <c r="G61" i="106"/>
  <c r="L16" i="106"/>
  <c r="I6" i="106"/>
  <c r="I61" i="106" s="1"/>
  <c r="L67" i="105"/>
  <c r="G61" i="105"/>
  <c r="I6" i="105"/>
  <c r="I61" i="105" s="1"/>
  <c r="G61" i="104"/>
  <c r="L29" i="104"/>
  <c r="I6" i="104"/>
  <c r="I61" i="104" s="1"/>
  <c r="G61" i="103"/>
  <c r="I6" i="103"/>
  <c r="I61" i="103" s="1"/>
  <c r="G61" i="102"/>
  <c r="L9" i="102"/>
  <c r="I6" i="102"/>
  <c r="I61" i="102" s="1"/>
  <c r="B60" i="107"/>
  <c r="G6" i="107"/>
  <c r="G60" i="107" s="1"/>
  <c r="L6" i="106"/>
  <c r="O129" i="101"/>
  <c r="Q120" i="101"/>
  <c r="L6" i="105"/>
  <c r="O116" i="101"/>
  <c r="Q55" i="101"/>
  <c r="L6" i="104"/>
  <c r="O51" i="101"/>
  <c r="Q30" i="101"/>
  <c r="L6" i="103"/>
  <c r="O26" i="101"/>
  <c r="Q14" i="101"/>
  <c r="L6" i="102"/>
  <c r="O131" i="101"/>
  <c r="O10" i="101"/>
  <c r="Q8" i="101"/>
  <c r="Q26" i="101" l="1"/>
  <c r="Q51" i="101"/>
  <c r="Q129" i="101"/>
  <c r="Q116" i="101"/>
  <c r="Q131" i="101"/>
  <c r="Q10" i="101"/>
  <c r="L8" i="102"/>
  <c r="L10" i="102"/>
  <c r="L18" i="103"/>
  <c r="L20" i="103"/>
  <c r="L28" i="104"/>
  <c r="L30" i="104"/>
  <c r="L66" i="105"/>
  <c r="L68" i="105"/>
  <c r="L15" i="106"/>
  <c r="L17" i="10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Katie Lembrich</author>
    <author>Paul Peterson</author>
    <author>ppeterson</author>
  </authors>
  <commentList>
    <comment ref="F6" authorId="0" shapeId="0" xr:uid="{53BF8A34-B8F9-4E00-8CB4-FBC3B0303877}">
      <text>
        <r>
          <rPr>
            <b/>
            <sz val="9"/>
            <color indexed="81"/>
            <rFont val="Tahoma"/>
            <family val="2"/>
          </rPr>
          <t>Katie Lembrich:</t>
        </r>
        <r>
          <rPr>
            <sz val="9"/>
            <color indexed="81"/>
            <rFont val="Tahoma"/>
            <family val="2"/>
          </rPr>
          <t xml:space="preserve">
Note formula in column F for states with Restated Allocated Annuities and LA &amp; TN.  Look for additional states (NV) new in 2013.</t>
        </r>
      </text>
    </comment>
    <comment ref="D19" authorId="1" shapeId="0" xr:uid="{C84E1EBC-380F-40BA-96FD-3B33C894ADD5}">
      <text>
        <r>
          <rPr>
            <b/>
            <sz val="8"/>
            <color indexed="81"/>
            <rFont val="Tahoma"/>
            <family val="2"/>
          </rPr>
          <t>Paul Peterson:</t>
        </r>
        <r>
          <rPr>
            <sz val="8"/>
            <color indexed="81"/>
            <rFont val="Tahoma"/>
            <family val="2"/>
          </rPr>
          <t xml:space="preserve">
revised to include 67059,69132 in all states (prev adj inc 70025, subseqeuntly found they were incl in orig #'s</t>
        </r>
      </text>
    </comment>
    <comment ref="E94" authorId="1" shapeId="0" xr:uid="{9C42E91F-411F-40DC-AA33-AF1F4F2A4334}">
      <text>
        <r>
          <rPr>
            <b/>
            <sz val="8"/>
            <color indexed="81"/>
            <rFont val="Tahoma"/>
            <family val="2"/>
          </rPr>
          <t>Paul Peterson:</t>
        </r>
        <r>
          <rPr>
            <sz val="8"/>
            <color indexed="81"/>
            <rFont val="Tahoma"/>
            <family val="2"/>
          </rPr>
          <t xml:space="preserve">
corrected from ind prpt</t>
        </r>
      </text>
    </comment>
    <comment ref="G287" authorId="2" shapeId="0" xr:uid="{9213A0A9-8EE8-4B9C-9139-9678A9E31D66}">
      <text>
        <r>
          <rPr>
            <b/>
            <sz val="8"/>
            <color indexed="81"/>
            <rFont val="Tahoma"/>
            <family val="2"/>
          </rPr>
          <t>ppeterson:</t>
        </r>
        <r>
          <rPr>
            <sz val="8"/>
            <color indexed="81"/>
            <rFont val="Tahoma"/>
            <family val="2"/>
          </rPr>
          <t xml:space="preserve">
ME entered 323,205,801</t>
        </r>
      </text>
    </comment>
    <comment ref="G1234" authorId="1" shapeId="0" xr:uid="{D10330C3-432F-49B9-A5B2-76CA4F7C8529}">
      <text>
        <r>
          <rPr>
            <b/>
            <sz val="8"/>
            <color indexed="81"/>
            <rFont val="Tahoma"/>
            <family val="2"/>
          </rPr>
          <t>Paul Peterson:</t>
        </r>
        <r>
          <rPr>
            <sz val="8"/>
            <color indexed="81"/>
            <rFont val="Tahoma"/>
            <family val="2"/>
          </rPr>
          <t xml:space="preserve">
corrected from ind prpt</t>
        </r>
      </text>
    </comment>
    <comment ref="G1313" authorId="2" shapeId="0" xr:uid="{119B2DC6-B5C9-498A-8761-455A955B28D1}">
      <text>
        <r>
          <rPr>
            <b/>
            <sz val="8"/>
            <color indexed="81"/>
            <rFont val="Tahoma"/>
            <family val="2"/>
          </rPr>
          <t>ppeterson:</t>
        </r>
        <r>
          <rPr>
            <sz val="8"/>
            <color indexed="81"/>
            <rFont val="Tahoma"/>
            <family val="2"/>
          </rPr>
          <t xml:space="preserve">
Me entered 719,647,561</t>
        </r>
      </text>
    </comment>
    <comment ref="F1652" authorId="1" shapeId="0" xr:uid="{C6D50910-A542-4BA1-9BC0-F8C04D6F4C32}">
      <text>
        <r>
          <rPr>
            <b/>
            <sz val="8"/>
            <color indexed="81"/>
            <rFont val="Tahoma"/>
            <family val="2"/>
          </rPr>
          <t>Paul Peterson:</t>
        </r>
        <r>
          <rPr>
            <sz val="8"/>
            <color indexed="81"/>
            <rFont val="Tahoma"/>
            <family val="2"/>
          </rPr>
          <t xml:space="preserve">
correected from idnd rprt</t>
        </r>
      </text>
    </comment>
    <comment ref="G1652" authorId="1" shapeId="0" xr:uid="{D038C8D9-37D3-4BCC-BA09-A12D85D5FA58}">
      <text>
        <r>
          <rPr>
            <b/>
            <sz val="8"/>
            <color indexed="81"/>
            <rFont val="Tahoma"/>
            <family val="2"/>
          </rPr>
          <t>Paul Peterson:</t>
        </r>
        <r>
          <rPr>
            <sz val="8"/>
            <color indexed="81"/>
            <rFont val="Tahoma"/>
            <family val="2"/>
          </rPr>
          <t xml:space="preserve">
corrected from ind rprt</t>
        </r>
      </text>
    </comment>
  </commentList>
</comments>
</file>

<file path=xl/sharedStrings.xml><?xml version="1.0" encoding="utf-8"?>
<sst xmlns="http://schemas.openxmlformats.org/spreadsheetml/2006/main" count="16203" uniqueCount="826">
  <si>
    <t>AF&amp;L Insurance Company</t>
  </si>
  <si>
    <r>
      <rPr>
        <b/>
        <sz val="11"/>
        <color rgb="FF000000"/>
        <rFont val="Calibri"/>
      </rPr>
      <t xml:space="preserve">Estimated Net Costs as of </t>
    </r>
    <r>
      <rPr>
        <b/>
        <sz val="11"/>
        <color rgb="FFFF0000"/>
        <rFont val="Calibri"/>
      </rPr>
      <t>September 30, 2025</t>
    </r>
  </si>
  <si>
    <r>
      <rPr>
        <b/>
        <sz val="11"/>
        <color rgb="FF000000"/>
        <rFont val="Calibri"/>
      </rPr>
      <t xml:space="preserve">Assessments Called (Billed) or Refunded as of </t>
    </r>
    <r>
      <rPr>
        <b/>
        <sz val="11"/>
        <color rgb="FFFF0000"/>
        <rFont val="Calibri"/>
      </rPr>
      <t>December 31, 2024</t>
    </r>
  </si>
  <si>
    <t>Life</t>
  </si>
  <si>
    <t>Allocated Annuity</t>
  </si>
  <si>
    <t>A&amp;H</t>
  </si>
  <si>
    <t>Unallocated Annuity</t>
  </si>
  <si>
    <t>LTC</t>
  </si>
  <si>
    <t>Total</t>
  </si>
  <si>
    <t>Assessments Called (i.e. Billed)</t>
  </si>
  <si>
    <t>Assessments Refunded</t>
  </si>
  <si>
    <t>Alabama</t>
  </si>
  <si>
    <t>Alaska</t>
  </si>
  <si>
    <t>Arizona</t>
  </si>
  <si>
    <t>Summary:</t>
  </si>
  <si>
    <t>Arkansas</t>
  </si>
  <si>
    <t>California</t>
  </si>
  <si>
    <t>GA Covered Obligations</t>
  </si>
  <si>
    <t>Colorado</t>
  </si>
  <si>
    <t>Connecticut</t>
  </si>
  <si>
    <t>Add:</t>
  </si>
  <si>
    <t>Delaware</t>
  </si>
  <si>
    <t xml:space="preserve">  GA claims incurred directly</t>
  </si>
  <si>
    <t>Dist. of Columbia</t>
  </si>
  <si>
    <t xml:space="preserve">  GA expenses incurred directly</t>
  </si>
  <si>
    <t>Florida</t>
  </si>
  <si>
    <t xml:space="preserve">  NOLHGA expenses</t>
  </si>
  <si>
    <t>Georgia</t>
  </si>
  <si>
    <t xml:space="preserve">  Remaining Inforce estimate</t>
  </si>
  <si>
    <t>Hawaii</t>
  </si>
  <si>
    <t>Idaho</t>
  </si>
  <si>
    <t>Less:</t>
  </si>
  <si>
    <t>Illinois</t>
  </si>
  <si>
    <t xml:space="preserve">  Estate/other distributions</t>
  </si>
  <si>
    <t>Indiana</t>
  </si>
  <si>
    <t xml:space="preserve">  Other adjustments</t>
  </si>
  <si>
    <t>Iowa</t>
  </si>
  <si>
    <t xml:space="preserve">  Ceding commissions/</t>
  </si>
  <si>
    <t>Kansas</t>
  </si>
  <si>
    <t xml:space="preserve">    policy enhancements</t>
  </si>
  <si>
    <t>Kentucky</t>
  </si>
  <si>
    <t xml:space="preserve">  Other recoveries (litigation,</t>
  </si>
  <si>
    <t>Louisiana</t>
  </si>
  <si>
    <t xml:space="preserve">    estate distributions, etc.)</t>
  </si>
  <si>
    <t>Maine</t>
  </si>
  <si>
    <t>Maryland</t>
  </si>
  <si>
    <t>Adjusted GA Costs</t>
  </si>
  <si>
    <t>Massachusetts</t>
  </si>
  <si>
    <t>Per State Breakdown</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</si>
  <si>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</si>
  <si>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</si>
  <si>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</si>
  <si>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</si>
  <si>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</si>
  <si>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</si>
  <si>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</si>
  <si>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</si>
  <si>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</si>
  <si>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</si>
  <si>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</si>
  <si>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</si>
  <si>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</si>
  <si>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</si>
  <si>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</si>
  <si>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</si>
  <si>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</si>
  <si>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</si>
  <si>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</si>
  <si>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</si>
  <si>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</si>
  <si>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</si>
  <si>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</si>
  <si>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</si>
  <si>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</si>
  <si>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Virginia</t>
  </si>
  <si>
    <t>Washington</t>
  </si>
  <si>
    <t>West Virginia</t>
  </si>
  <si>
    <t>Wisconsin</t>
  </si>
  <si>
    <t>Wyoming</t>
  </si>
  <si>
    <t>Other</t>
  </si>
  <si>
    <t>Assessment information is compiled annually from state guaranty associations.  This information is NOT audited or verified by NOLHGA.  NOLHGA cannot comment as to the completeness nor accuracy of the information shown herein.  Any such inquiries should be directed to each individual state guaranty association.</t>
  </si>
  <si>
    <t>Alabama Life Insurance Company</t>
  </si>
  <si>
    <t>American Chambers Life Insurance Company</t>
  </si>
  <si>
    <t>American Community Mutual Insurance Company</t>
  </si>
  <si>
    <t>American Educators Life Insurance Company</t>
  </si>
  <si>
    <t>American Integrity Insurance Company</t>
  </si>
  <si>
    <t>American Life Assurance Corporation</t>
  </si>
  <si>
    <t>American Medical and Life Insurance Company</t>
  </si>
  <si>
    <t>American Network Insurance Company</t>
  </si>
  <si>
    <t>American Standard Life &amp; Accident Insurance Company</t>
  </si>
  <si>
    <t>American Western Life Insurance Company</t>
  </si>
  <si>
    <t>AMS Life Insurance Company</t>
  </si>
  <si>
    <t>Andrew Jackson Life Insurance Company</t>
  </si>
  <si>
    <t>Bankers Commercial Life Insurance Company</t>
  </si>
  <si>
    <t>Bankers Life Insurance Company</t>
  </si>
  <si>
    <t>Benicorp Insurance Company</t>
  </si>
  <si>
    <t>Booker T Washington Insurance Company, Inc.</t>
  </si>
  <si>
    <t>Centennial Life Insurance Company</t>
  </si>
  <si>
    <t>Coastal States Life Insurance Company</t>
  </si>
  <si>
    <t>Colorado Bankers Life Insurance Company</t>
  </si>
  <si>
    <t>Colorado Health Insurance Cooperative Inc. d/b/a Colorado HealthOP</t>
  </si>
  <si>
    <t>Compass Cooperative Mutual Health Network, Inc. d/b/a Meritus Mutual Health Partners</t>
  </si>
  <si>
    <t>Confederation Life Insurance &amp; Annuity Co (CLIAC)</t>
  </si>
  <si>
    <t>Confederation Life Insurance Company (CLIC)</t>
  </si>
  <si>
    <t>Consolidated National Life Insurance Company</t>
  </si>
  <si>
    <t>Consumers Choice Health Insurance Company d/b/a Consumers’ Choice Health Plan</t>
  </si>
  <si>
    <t>Consumers Mutual Insurance of Michigan</t>
  </si>
  <si>
    <t>Consumers United Insurance Company</t>
  </si>
  <si>
    <t>CoOportunity Health</t>
  </si>
  <si>
    <t>Coordinated Health (dba InHealth Mutual)</t>
  </si>
  <si>
    <t>Corporate Life Insurance Company</t>
  </si>
  <si>
    <t>Diamond Benefits Life Insurance Company/Life Assurance Company of Pennsylvania</t>
  </si>
  <si>
    <t>EBL Life Insurance Company</t>
  </si>
  <si>
    <t>Executive Life Insurance Company</t>
  </si>
  <si>
    <t>Executive Life Insurance Company of New York</t>
  </si>
  <si>
    <t>Family Guaranty Life Insurance Company</t>
  </si>
  <si>
    <t>Fidelity Bankers Life Insurance Company</t>
  </si>
  <si>
    <t>Fidelity Mutual Life Insurance Company</t>
  </si>
  <si>
    <t>First Capital Life Insurance Company</t>
  </si>
  <si>
    <t>First National Life Insurance Company</t>
  </si>
  <si>
    <t>First National Life Insurance Company of America</t>
  </si>
  <si>
    <t>Franklin American Life Insurance Company</t>
  </si>
  <si>
    <t>Franklin Protective Life Insurance Company</t>
  </si>
  <si>
    <t>Freelancers CO-OP of NJ (dba Health Republic of NJ)</t>
  </si>
  <si>
    <t>Freestone Insurance Company</t>
  </si>
  <si>
    <t>George Washington Life Insurance Company</t>
  </si>
  <si>
    <t>Golden State Mutual Life Insurance Company</t>
  </si>
  <si>
    <t>Guarantee Security Life Insurance Company</t>
  </si>
  <si>
    <t>HealthyCT, Inc.</t>
  </si>
  <si>
    <t>Imerica Life and Health Insurance Company</t>
  </si>
  <si>
    <t>Inter-American Insurance Company of Illinois</t>
  </si>
  <si>
    <t>International Financial Services Life Insurance Company</t>
  </si>
  <si>
    <t>Investment Life Insurance Company of America</t>
  </si>
  <si>
    <t>Investors Equity Life Insurance Company of Hawaii, LTD</t>
  </si>
  <si>
    <t>Kentucky Central Life Insurance Company</t>
  </si>
  <si>
    <t>Land of Lincoln Health Mutual Health Insurance Company</t>
  </si>
  <si>
    <t>Legion Insurance Company</t>
  </si>
  <si>
    <t>Life &amp; Health Insurance Company of America</t>
  </si>
  <si>
    <t>Lincoln Memorial Life Insurance Company</t>
  </si>
  <si>
    <t>London Pacific Life &amp; Annuity Company</t>
  </si>
  <si>
    <t>Lumbermens Mutual Casualty Company</t>
  </si>
  <si>
    <t>Medical Savings Insurance Company</t>
  </si>
  <si>
    <t>Memorial Service Life Insurance Company</t>
  </si>
  <si>
    <t>Mid-Continent Life Insurance Company</t>
  </si>
  <si>
    <t>Midwest Life Insurance Company</t>
  </si>
  <si>
    <t>Monarch Life Insurance Company</t>
  </si>
  <si>
    <t>Mutual Benefit Life Insurance Company</t>
  </si>
  <si>
    <t>Mutual Security Life Insurance Company</t>
  </si>
  <si>
    <t>National Affiliated Investors Life Insurance Company</t>
  </si>
  <si>
    <t>National American Life Insurance Co of Pennsylvania</t>
  </si>
  <si>
    <t>National Heritage Life Insurance Company</t>
  </si>
  <si>
    <t>National States Insurance Company</t>
  </si>
  <si>
    <t>New Jersey Life Insurance Company</t>
  </si>
  <si>
    <t>North Carolina Mutual Life Insurance Company</t>
  </si>
  <si>
    <t>Northwestern National Insurance Company of Milwaukee Wisconsin</t>
  </si>
  <si>
    <t>Old Colony Life Insurance Company</t>
  </si>
  <si>
    <t>Old Faithful Life Insurance Company</t>
  </si>
  <si>
    <t>Pacific Standard Life Insurance Company</t>
  </si>
  <si>
    <t>Pavonia Life Insurance Company of Michigan</t>
  </si>
  <si>
    <t>Penn Treaty Network America Insurance Company</t>
  </si>
  <si>
    <t>Red Rock Insurance Company.</t>
  </si>
  <si>
    <t>Reliance Insurance Company</t>
  </si>
  <si>
    <t>SeeChange Health Insurance Company</t>
  </si>
  <si>
    <t>Senior American Insurance Company</t>
  </si>
  <si>
    <t>Settlers Life Insurance Company</t>
  </si>
  <si>
    <t>Shenandoah Life Insurance Company</t>
  </si>
  <si>
    <t>Southland National Insurance Corporation</t>
  </si>
  <si>
    <t>Standard Life Insurance Company of Indiana</t>
  </si>
  <si>
    <t>States General Life Insurance Company</t>
  </si>
  <si>
    <t>Statesman National Life Insurance Company</t>
  </si>
  <si>
    <t>Summit National Life Insurance Company</t>
  </si>
  <si>
    <t>Supreme Life Insurance Company of America</t>
  </si>
  <si>
    <t>Time Insurance Company</t>
  </si>
  <si>
    <t>Underwriters Life Insurance Company</t>
  </si>
  <si>
    <t>Unison International Life Insurance Company</t>
  </si>
  <si>
    <t>United Republic Life Insurance Company</t>
  </si>
  <si>
    <t>Universal Health Care Insurance Company, Inc.</t>
  </si>
  <si>
    <t>Universal Life Insurance Company</t>
  </si>
  <si>
    <t>Universe Life Insurance Company</t>
  </si>
  <si>
    <t>Villanova Insurance Company</t>
  </si>
  <si>
    <t>NAIC Code</t>
  </si>
  <si>
    <t>Domicile</t>
  </si>
  <si>
    <t>Rehabiliation Date</t>
  </si>
  <si>
    <t>Liquidation Date</t>
  </si>
  <si>
    <t>Closing Date</t>
  </si>
  <si>
    <t>Estate Closing Date</t>
  </si>
  <si>
    <t>Comments</t>
  </si>
  <si>
    <t>Total Report 2025</t>
  </si>
  <si>
    <t>Total Report 2024</t>
  </si>
  <si>
    <t>Change</t>
  </si>
  <si>
    <t>Overview "Pre-Liquidation" Insolvencies</t>
  </si>
  <si>
    <t>Monarch Life Ins. Co.</t>
  </si>
  <si>
    <t xml:space="preserve">66265     </t>
  </si>
  <si>
    <t>MA</t>
  </si>
  <si>
    <t>6/9/1994</t>
  </si>
  <si>
    <t>Total "Pre-Liquidation"</t>
  </si>
  <si>
    <t>Overview "Open" Insolvencies</t>
  </si>
  <si>
    <t>American Network Ins. Co.</t>
  </si>
  <si>
    <t xml:space="preserve">81078     </t>
  </si>
  <si>
    <t>PA</t>
  </si>
  <si>
    <t>1/6/2009</t>
  </si>
  <si>
    <t>3/1/2017</t>
  </si>
  <si>
    <t>12/27/2024</t>
  </si>
  <si>
    <t>Bankers Life Ins. Co.</t>
  </si>
  <si>
    <t xml:space="preserve">81043     </t>
  </si>
  <si>
    <t>NC</t>
  </si>
  <si>
    <t>6/27/2019</t>
  </si>
  <si>
    <t>11/30/2024</t>
  </si>
  <si>
    <t>Booker T Washington Ins Co Inc</t>
  </si>
  <si>
    <t xml:space="preserve">61468     </t>
  </si>
  <si>
    <t>AL</t>
  </si>
  <si>
    <t>2/22/2006</t>
  </si>
  <si>
    <t>5/5/2010</t>
  </si>
  <si>
    <t>3/12/2015</t>
  </si>
  <si>
    <t>Colorado Bankers Life Ins.Co.</t>
  </si>
  <si>
    <t xml:space="preserve">84786     </t>
  </si>
  <si>
    <t>Freestone Ins. Co,</t>
  </si>
  <si>
    <t xml:space="preserve">32271     </t>
  </si>
  <si>
    <t>DE</t>
  </si>
  <si>
    <t>4/28/2014</t>
  </si>
  <si>
    <t>8/15/2014</t>
  </si>
  <si>
    <t>Life &amp; Health Ins. Co. of America</t>
  </si>
  <si>
    <t xml:space="preserve">77887     </t>
  </si>
  <si>
    <t>7/2/2004</t>
  </si>
  <si>
    <t>4/1/2005</t>
  </si>
  <si>
    <t>National States Ins. Co.</t>
  </si>
  <si>
    <t xml:space="preserve">60593     </t>
  </si>
  <si>
    <t>MO</t>
  </si>
  <si>
    <t>4/1/2010</t>
  </si>
  <si>
    <t>11/15/2010</t>
  </si>
  <si>
    <t>North Carolina Mutual Life</t>
  </si>
  <si>
    <t xml:space="preserve">67032     </t>
  </si>
  <si>
    <t>12/3/2018</t>
  </si>
  <si>
    <t>10/31/2022</t>
  </si>
  <si>
    <t>Penn Treaty Network</t>
  </si>
  <si>
    <t xml:space="preserve">63282     </t>
  </si>
  <si>
    <t>Senior American Ins Co</t>
  </si>
  <si>
    <t xml:space="preserve">76759     </t>
  </si>
  <si>
    <t>2/28/2005</t>
  </si>
  <si>
    <t>9/3/2019</t>
  </si>
  <si>
    <t>Southland National Ins. Corp.</t>
  </si>
  <si>
    <t xml:space="preserve">79057     </t>
  </si>
  <si>
    <t>5/2/2023</t>
  </si>
  <si>
    <t>Universal Life Ins Co</t>
  </si>
  <si>
    <t xml:space="preserve">70157     </t>
  </si>
  <si>
    <t>4/24/2009</t>
  </si>
  <si>
    <t>Total "Open"</t>
  </si>
  <si>
    <t>Overview "Closed" Insolvencies</t>
  </si>
  <si>
    <t>AF&amp;L Ins Co</t>
  </si>
  <si>
    <t xml:space="preserve">35963     </t>
  </si>
  <si>
    <t>Colorado Health Ins. Coop. Inc.</t>
  </si>
  <si>
    <t xml:space="preserve">15126     </t>
  </si>
  <si>
    <t>CO</t>
  </si>
  <si>
    <t>11/10/2015</t>
  </si>
  <si>
    <t>1/4/2016</t>
  </si>
  <si>
    <t>Meritus Mutual Health Partners</t>
  </si>
  <si>
    <t xml:space="preserve">15092     </t>
  </si>
  <si>
    <t>AZ</t>
  </si>
  <si>
    <t>10/30/2015</t>
  </si>
  <si>
    <t>8/10/2016</t>
  </si>
  <si>
    <t>Consumers Choice Health Plan</t>
  </si>
  <si>
    <t xml:space="preserve">15145     </t>
  </si>
  <si>
    <t>SC</t>
  </si>
  <si>
    <t>1/8/2016</t>
  </si>
  <si>
    <t>3/28/2016</t>
  </si>
  <si>
    <t xml:space="preserve">15093     </t>
  </si>
  <si>
    <t>IA</t>
  </si>
  <si>
    <t>12/23/2014</t>
  </si>
  <si>
    <t>2/28/2015</t>
  </si>
  <si>
    <t>Coordinated Health</t>
  </si>
  <si>
    <t xml:space="preserve">15314     </t>
  </si>
  <si>
    <t>OH</t>
  </si>
  <si>
    <t>5/26/2016</t>
  </si>
  <si>
    <t>Executive Life Ins. Co.</t>
  </si>
  <si>
    <t xml:space="preserve">63010     </t>
  </si>
  <si>
    <t>CA</t>
  </si>
  <si>
    <t>4/11/1991</t>
  </si>
  <si>
    <t>12/6/1991</t>
  </si>
  <si>
    <t>9/3/1993</t>
  </si>
  <si>
    <t>8/15/2022</t>
  </si>
  <si>
    <t>Executive Life Ins. Co. of New York</t>
  </si>
  <si>
    <t xml:space="preserve">61913     </t>
  </si>
  <si>
    <t>NY</t>
  </si>
  <si>
    <t>4/23/1991</t>
  </si>
  <si>
    <t>8/8/2013</t>
  </si>
  <si>
    <t>First National Life Ins. Co. of America</t>
  </si>
  <si>
    <t xml:space="preserve">63525     </t>
  </si>
  <si>
    <t>MS</t>
  </si>
  <si>
    <t>5/10/1999</t>
  </si>
  <si>
    <t>6/29/1999</t>
  </si>
  <si>
    <t>12/9/1999</t>
  </si>
  <si>
    <t>Freelancers CO-OP of NJ</t>
  </si>
  <si>
    <t xml:space="preserve">15197     </t>
  </si>
  <si>
    <t>NJ</t>
  </si>
  <si>
    <t>10/19/2016</t>
  </si>
  <si>
    <t>2/3/2017</t>
  </si>
  <si>
    <t xml:space="preserve">15046     </t>
  </si>
  <si>
    <t>CT</t>
  </si>
  <si>
    <t>7/1/2016</t>
  </si>
  <si>
    <t>12/31/2016</t>
  </si>
  <si>
    <t>Land of Lincoln Health</t>
  </si>
  <si>
    <t xml:space="preserve">15102     </t>
  </si>
  <si>
    <t>IL</t>
  </si>
  <si>
    <t>7/14/2016</t>
  </si>
  <si>
    <t>9/29/2016</t>
  </si>
  <si>
    <t>Lincoln Memorial Life Ins. Co.</t>
  </si>
  <si>
    <t xml:space="preserve">69833     </t>
  </si>
  <si>
    <t>TX</t>
  </si>
  <si>
    <t>5/14/2008</t>
  </si>
  <si>
    <t>9/22/2008</t>
  </si>
  <si>
    <t>Lumbermens Mutual</t>
  </si>
  <si>
    <t xml:space="preserve">22977     </t>
  </si>
  <si>
    <t>7/2/2012</t>
  </si>
  <si>
    <t>5/10/2013</t>
  </si>
  <si>
    <t>6/10/2013</t>
  </si>
  <si>
    <t>Memorial Service Life Ins. Co.</t>
  </si>
  <si>
    <t xml:space="preserve">74926     </t>
  </si>
  <si>
    <t>7/6/2011</t>
  </si>
  <si>
    <t>Northwestern National Ins Co of Milwaukee</t>
  </si>
  <si>
    <t xml:space="preserve">23914     </t>
  </si>
  <si>
    <t>WI</t>
  </si>
  <si>
    <t>2/22/2017</t>
  </si>
  <si>
    <t>5/2/2019</t>
  </si>
  <si>
    <t>12/5/2023</t>
  </si>
  <si>
    <t>Reliance Ins. Co.</t>
  </si>
  <si>
    <t xml:space="preserve">24457     </t>
  </si>
  <si>
    <t>5/29/2001</t>
  </si>
  <si>
    <t>10/3/2001</t>
  </si>
  <si>
    <t>9/1/2005</t>
  </si>
  <si>
    <t>1/31/2022</t>
  </si>
  <si>
    <t>Standard Life Ins Co of IN</t>
  </si>
  <si>
    <t xml:space="preserve">69051     </t>
  </si>
  <si>
    <t>IN</t>
  </si>
  <si>
    <t>12/18/2008</t>
  </si>
  <si>
    <t>7/26/2012</t>
  </si>
  <si>
    <t>sold without GA involvement</t>
  </si>
  <si>
    <t>Time Ins Co</t>
  </si>
  <si>
    <t xml:space="preserve">69477     </t>
  </si>
  <si>
    <t>7/29/2020</t>
  </si>
  <si>
    <t>9/1/2022</t>
  </si>
  <si>
    <t>5/30/2024</t>
  </si>
  <si>
    <t>Universal Health Care Ins. Co.</t>
  </si>
  <si>
    <t xml:space="preserve">12577     </t>
  </si>
  <si>
    <t>FL</t>
  </si>
  <si>
    <t>3/22/2013</t>
  </si>
  <si>
    <t>4/1/2013</t>
  </si>
  <si>
    <t>Total "Closed"</t>
  </si>
  <si>
    <t>Overview "Estate Closed" Insolvencies</t>
  </si>
  <si>
    <t>Alabama Life Ins. Co.</t>
  </si>
  <si>
    <t xml:space="preserve">98825     </t>
  </si>
  <si>
    <t>12/2/1993</t>
  </si>
  <si>
    <t>10/7/1994</t>
  </si>
  <si>
    <t>10/21/1994</t>
  </si>
  <si>
    <t>6/24/2002</t>
  </si>
  <si>
    <t>American Chambers Life Ins. Co.</t>
  </si>
  <si>
    <t xml:space="preserve">75914     </t>
  </si>
  <si>
    <t>3/13/2000</t>
  </si>
  <si>
    <t>5/8/2000</t>
  </si>
  <si>
    <t>claim runoff</t>
  </si>
  <si>
    <t>12/2/2013</t>
  </si>
  <si>
    <t>American Educators Life Ins. Co.</t>
  </si>
  <si>
    <t xml:space="preserve">60356     </t>
  </si>
  <si>
    <t>8/11/1994</t>
  </si>
  <si>
    <t>9/30/1994</t>
  </si>
  <si>
    <t>2/20/2002</t>
  </si>
  <si>
    <t>American Integrity Ins. Co.</t>
  </si>
  <si>
    <t xml:space="preserve">10197     </t>
  </si>
  <si>
    <t>6/25/1993</t>
  </si>
  <si>
    <t>6/1/1994</t>
  </si>
  <si>
    <t>10/7/2011</t>
  </si>
  <si>
    <t>American Life Assurance Corp.</t>
  </si>
  <si>
    <t xml:space="preserve">88161     </t>
  </si>
  <si>
    <t>2/25/1997</t>
  </si>
  <si>
    <t>5/30/1997</t>
  </si>
  <si>
    <t>3/13/1998</t>
  </si>
  <si>
    <t>6/15/2004</t>
  </si>
  <si>
    <t>American Medical and Life Ins. Co.</t>
  </si>
  <si>
    <t xml:space="preserve">81418     </t>
  </si>
  <si>
    <t>12/28/2016</t>
  </si>
  <si>
    <t>1/18/2024</t>
  </si>
  <si>
    <t>American Standard Life &amp; Accident Ins. Co.</t>
  </si>
  <si>
    <t xml:space="preserve">63452     </t>
  </si>
  <si>
    <t>OK</t>
  </si>
  <si>
    <t>2/22/1991</t>
  </si>
  <si>
    <t>9/22/1998</t>
  </si>
  <si>
    <t>5/28/2004</t>
  </si>
  <si>
    <t>American Western Life Ins. Co.</t>
  </si>
  <si>
    <t xml:space="preserve">60917     </t>
  </si>
  <si>
    <t>UT</t>
  </si>
  <si>
    <t>1/1/1997</t>
  </si>
  <si>
    <t>8/28/1997</t>
  </si>
  <si>
    <t>5/26/2011</t>
  </si>
  <si>
    <t>AMS Life Ins. Co.</t>
  </si>
  <si>
    <t xml:space="preserve">86142     </t>
  </si>
  <si>
    <t>3/27/1992</t>
  </si>
  <si>
    <t>9/3/1992</t>
  </si>
  <si>
    <t>mulitple</t>
  </si>
  <si>
    <t>12/28/2006</t>
  </si>
  <si>
    <t>Andrew Jackson Life Ins. Co.</t>
  </si>
  <si>
    <t xml:space="preserve">60968     </t>
  </si>
  <si>
    <t>2/10/1992</t>
  </si>
  <si>
    <t>3/26/1993</t>
  </si>
  <si>
    <t>8/27/1993</t>
  </si>
  <si>
    <t>11/7/2022</t>
  </si>
  <si>
    <t>Bankers Commercial Life Ins. Co.</t>
  </si>
  <si>
    <t xml:space="preserve">61220     </t>
  </si>
  <si>
    <t>5/15/2000</t>
  </si>
  <si>
    <t>6/19/2000</t>
  </si>
  <si>
    <t>11/8/2002</t>
  </si>
  <si>
    <t>4/7/2003</t>
  </si>
  <si>
    <t>Benicorp Ins. Co.</t>
  </si>
  <si>
    <t xml:space="preserve">69752     </t>
  </si>
  <si>
    <t>8/9/2007</t>
  </si>
  <si>
    <t>10/5/2007</t>
  </si>
  <si>
    <t>2/22/2021</t>
  </si>
  <si>
    <t>Centennial Life Ins. Co.</t>
  </si>
  <si>
    <t xml:space="preserve">61654     </t>
  </si>
  <si>
    <t>KS</t>
  </si>
  <si>
    <t>2/4/1998</t>
  </si>
  <si>
    <t>5/27/1998</t>
  </si>
  <si>
    <t>multiple closings</t>
  </si>
  <si>
    <t>6/12/2020</t>
  </si>
  <si>
    <t>Coastal States Life Ins. Co.</t>
  </si>
  <si>
    <t xml:space="preserve">61980     </t>
  </si>
  <si>
    <t>GA</t>
  </si>
  <si>
    <t>1/24/1996</t>
  </si>
  <si>
    <t>10/1/1996</t>
  </si>
  <si>
    <t>11/8/1996</t>
  </si>
  <si>
    <t>9/17/2004</t>
  </si>
  <si>
    <t>Confederation Life Ins. Co. (CLIC)</t>
  </si>
  <si>
    <t xml:space="preserve">80667     </t>
  </si>
  <si>
    <t>MI</t>
  </si>
  <si>
    <t>8/12/1994</t>
  </si>
  <si>
    <t>multiple</t>
  </si>
  <si>
    <t>11/19/2008</t>
  </si>
  <si>
    <t>Consolidated National Life Ins. Co.</t>
  </si>
  <si>
    <t xml:space="preserve">71382     </t>
  </si>
  <si>
    <t>7/12/1994</t>
  </si>
  <si>
    <t>11/29/1999</t>
  </si>
  <si>
    <t xml:space="preserve">15128     </t>
  </si>
  <si>
    <t>11/13/2015</t>
  </si>
  <si>
    <t>2/10/2016</t>
  </si>
  <si>
    <t>1/26/22</t>
  </si>
  <si>
    <t>Consumers United Ins. Co.</t>
  </si>
  <si>
    <t xml:space="preserve">62278     </t>
  </si>
  <si>
    <t>2/9/1993</t>
  </si>
  <si>
    <t>5/5/1994</t>
  </si>
  <si>
    <t>2/15/1995</t>
  </si>
  <si>
    <t>10/3/2013</t>
  </si>
  <si>
    <t>Corporate Life Ins. Co.</t>
  </si>
  <si>
    <t xml:space="preserve">74705     </t>
  </si>
  <si>
    <t>8/24/1988</t>
  </si>
  <si>
    <t>2/15/1994</t>
  </si>
  <si>
    <t>1/31/1996</t>
  </si>
  <si>
    <t>1/4/2007</t>
  </si>
  <si>
    <t>Diamond Benefits Life Ins. Co./LACOP</t>
  </si>
  <si>
    <t xml:space="preserve">74969     </t>
  </si>
  <si>
    <t>12/19/1988</t>
  </si>
  <si>
    <t>2/28/1992</t>
  </si>
  <si>
    <t>11/30/1992</t>
  </si>
  <si>
    <t>12/21/2007</t>
  </si>
  <si>
    <t>EBL Life Ins. Co.</t>
  </si>
  <si>
    <t xml:space="preserve">87033     </t>
  </si>
  <si>
    <t>4/7/1994</t>
  </si>
  <si>
    <t>11/30/1994</t>
  </si>
  <si>
    <t>8/15/2005</t>
  </si>
  <si>
    <t>Family Guaranty Life Ins. Co.</t>
  </si>
  <si>
    <t xml:space="preserve">75302     </t>
  </si>
  <si>
    <t>8/30/2018</t>
  </si>
  <si>
    <t>Fidelity Bankers Life Ins. Co.</t>
  </si>
  <si>
    <t xml:space="preserve">63266     </t>
  </si>
  <si>
    <t>VA</t>
  </si>
  <si>
    <t>5/13/1991</t>
  </si>
  <si>
    <t>9/29/1992</t>
  </si>
  <si>
    <t>6/12/1993</t>
  </si>
  <si>
    <t>9/26/2012</t>
  </si>
  <si>
    <t>First National Life Ins. Co.</t>
  </si>
  <si>
    <t xml:space="preserve">63517     </t>
  </si>
  <si>
    <t>10/4/1996</t>
  </si>
  <si>
    <t>8/5/1997</t>
  </si>
  <si>
    <t>12/17/2002</t>
  </si>
  <si>
    <t>Franklin American Life Ins. Co.</t>
  </si>
  <si>
    <t xml:space="preserve">68489     </t>
  </si>
  <si>
    <t>TN</t>
  </si>
  <si>
    <t>5/11/1999</t>
  </si>
  <si>
    <t>10/26/1999</t>
  </si>
  <si>
    <t>7/6/2000</t>
  </si>
  <si>
    <t>11/26/2013</t>
  </si>
  <si>
    <t>Franklin Protective Life Ins. Co.</t>
  </si>
  <si>
    <t xml:space="preserve">98655     </t>
  </si>
  <si>
    <t>8/9/2019</t>
  </si>
  <si>
    <t>George Washington Life Ins. Co.</t>
  </si>
  <si>
    <t xml:space="preserve">63770     </t>
  </si>
  <si>
    <t>WV</t>
  </si>
  <si>
    <t>9/5/1990</t>
  </si>
  <si>
    <t>6/3/1991</t>
  </si>
  <si>
    <t>1/21/2005</t>
  </si>
  <si>
    <t>Golden State Mutual Life Ins Co</t>
  </si>
  <si>
    <t xml:space="preserve">63924     </t>
  </si>
  <si>
    <t>6/24/2010</t>
  </si>
  <si>
    <t>1/28/2011</t>
  </si>
  <si>
    <t>10/17/2016</t>
  </si>
  <si>
    <t>Guarantee Security Life Ins. Co.</t>
  </si>
  <si>
    <t xml:space="preserve">84271     </t>
  </si>
  <si>
    <t>8/12/1991</t>
  </si>
  <si>
    <t>12/2/1992</t>
  </si>
  <si>
    <t>4/13/1993</t>
  </si>
  <si>
    <t>7/29/2005</t>
  </si>
  <si>
    <t>Imerica Life and Health Ins. Co.</t>
  </si>
  <si>
    <t xml:space="preserve">63533     </t>
  </si>
  <si>
    <t>AR</t>
  </si>
  <si>
    <t>11/18/2009</t>
  </si>
  <si>
    <t>5/3/2010</t>
  </si>
  <si>
    <t>8/2/2018</t>
  </si>
  <si>
    <t>Inter-American Ins. Co. of Illinois</t>
  </si>
  <si>
    <t xml:space="preserve">67210     </t>
  </si>
  <si>
    <t>10/25/1991</t>
  </si>
  <si>
    <t>12/23/1991</t>
  </si>
  <si>
    <t>9/16/2003</t>
  </si>
  <si>
    <t>International Financial Services Life Ins. Co.</t>
  </si>
  <si>
    <t xml:space="preserve">64084     </t>
  </si>
  <si>
    <t>5/12/1999</t>
  </si>
  <si>
    <t>11/30/1999</t>
  </si>
  <si>
    <t>12/29/2012</t>
  </si>
  <si>
    <t>Investment Life Ins. Co. of America</t>
  </si>
  <si>
    <t xml:space="preserve">76015     </t>
  </si>
  <si>
    <t>8/31/1992</t>
  </si>
  <si>
    <t>4/2/1993</t>
  </si>
  <si>
    <t>9/6/1994</t>
  </si>
  <si>
    <t>12/12/2005</t>
  </si>
  <si>
    <t>Investors Equity Life Ins. Co. of HI, LTD</t>
  </si>
  <si>
    <t xml:space="preserve">64874     </t>
  </si>
  <si>
    <t>HI</t>
  </si>
  <si>
    <t>6/24/1994</t>
  </si>
  <si>
    <t>12/29/1994</t>
  </si>
  <si>
    <t>2/5/1996</t>
  </si>
  <si>
    <t>5/12/2021</t>
  </si>
  <si>
    <t>Kentucky Central Life Ins. Co.</t>
  </si>
  <si>
    <t xml:space="preserve">65188     </t>
  </si>
  <si>
    <t>KY</t>
  </si>
  <si>
    <t>2/12/1993</t>
  </si>
  <si>
    <t>8/18/1994</t>
  </si>
  <si>
    <t>5/31/1995</t>
  </si>
  <si>
    <t>12/10/2007</t>
  </si>
  <si>
    <t>Legion Ins. Co.</t>
  </si>
  <si>
    <t xml:space="preserve">24422     </t>
  </si>
  <si>
    <t>3/28/2002</t>
  </si>
  <si>
    <t>7/28/2003</t>
  </si>
  <si>
    <t>10/1/2019</t>
  </si>
  <si>
    <t>London Pacific Life &amp; Annuity Co.</t>
  </si>
  <si>
    <t xml:space="preserve">68934     </t>
  </si>
  <si>
    <t>8/6/2002</t>
  </si>
  <si>
    <t>9/30/2004</t>
  </si>
  <si>
    <t>10/12/2004</t>
  </si>
  <si>
    <t>12/18/2012</t>
  </si>
  <si>
    <t>Medical Savings Ins. Co.</t>
  </si>
  <si>
    <t xml:space="preserve">74217A    </t>
  </si>
  <si>
    <t>12/1/2008</t>
  </si>
  <si>
    <t>2/26/2009</t>
  </si>
  <si>
    <t>10/7/2015</t>
  </si>
  <si>
    <t>Midwest Life Ins. Co.</t>
  </si>
  <si>
    <t xml:space="preserve">66060     </t>
  </si>
  <si>
    <t>LA</t>
  </si>
  <si>
    <t>6/26/1991</t>
  </si>
  <si>
    <t>8/26/1991</t>
  </si>
  <si>
    <t>6/1/1992</t>
  </si>
  <si>
    <t>6/24/2008</t>
  </si>
  <si>
    <t>Mutual Benefit Life Ins. Co.</t>
  </si>
  <si>
    <t xml:space="preserve">66362     </t>
  </si>
  <si>
    <t>7/16/1991</t>
  </si>
  <si>
    <t>11/3/1993</t>
  </si>
  <si>
    <t>4/30/1994</t>
  </si>
  <si>
    <t>6/30/1999</t>
  </si>
  <si>
    <t>Mutual Security Life Ins. Co.</t>
  </si>
  <si>
    <t xml:space="preserve">66400     </t>
  </si>
  <si>
    <t>10/5/1990</t>
  </si>
  <si>
    <t>National Affiliated Investors Life Ins. Co.</t>
  </si>
  <si>
    <t xml:space="preserve">69370     </t>
  </si>
  <si>
    <t>6/7/1999</t>
  </si>
  <si>
    <t>4/26/2000</t>
  </si>
  <si>
    <t>7/7/2000</t>
  </si>
  <si>
    <t>7/10/2006</t>
  </si>
  <si>
    <t>National American Life Ins. Co of PA</t>
  </si>
  <si>
    <t xml:space="preserve">69221     </t>
  </si>
  <si>
    <t>1/31/1995</t>
  </si>
  <si>
    <t>5/31/1996</t>
  </si>
  <si>
    <t>7/1/1996</t>
  </si>
  <si>
    <t>10/13/2004</t>
  </si>
  <si>
    <t>National Heritage Life Ins. Co.</t>
  </si>
  <si>
    <t xml:space="preserve">97284     </t>
  </si>
  <si>
    <t>5/25/1994</t>
  </si>
  <si>
    <t>11/21/1995</t>
  </si>
  <si>
    <t>7/2/1996</t>
  </si>
  <si>
    <t>5/28/2024</t>
  </si>
  <si>
    <t>New Jersey Life Ins. Co.</t>
  </si>
  <si>
    <t xml:space="preserve">66907     </t>
  </si>
  <si>
    <t>9/5/1991</t>
  </si>
  <si>
    <t>8/12/1993</t>
  </si>
  <si>
    <t>9/9/1993</t>
  </si>
  <si>
    <t>1/8/1999</t>
  </si>
  <si>
    <t>Old Colony Life Ins. Co.</t>
  </si>
  <si>
    <t xml:space="preserve">65161     </t>
  </si>
  <si>
    <t>5/21/1992</t>
  </si>
  <si>
    <t>6/30/1994</t>
  </si>
  <si>
    <t>10/20/1994</t>
  </si>
  <si>
    <t>11/1/2006</t>
  </si>
  <si>
    <t>Old Faithful Life Ins. Co.</t>
  </si>
  <si>
    <t xml:space="preserve">67229     </t>
  </si>
  <si>
    <t>WY</t>
  </si>
  <si>
    <t>2/19/1992</t>
  </si>
  <si>
    <t>11/16/1992</t>
  </si>
  <si>
    <t>3/1/1993</t>
  </si>
  <si>
    <t>11/4/1996</t>
  </si>
  <si>
    <t>Pacific Standard Life Ins. Co.</t>
  </si>
  <si>
    <t xml:space="preserve">72842     </t>
  </si>
  <si>
    <t>12/11/1989</t>
  </si>
  <si>
    <t>5/11/1994</t>
  </si>
  <si>
    <t>12/30/1999</t>
  </si>
  <si>
    <t>Red Rock Ins. Co.</t>
  </si>
  <si>
    <t xml:space="preserve">18538     </t>
  </si>
  <si>
    <t>5/19/2014</t>
  </si>
  <si>
    <t>8/21/2014</t>
  </si>
  <si>
    <t>SeeChange Health Ins. Co.</t>
  </si>
  <si>
    <t xml:space="preserve">63541     </t>
  </si>
  <si>
    <t>11/19/2014</t>
  </si>
  <si>
    <t>1/28/2015</t>
  </si>
  <si>
    <t>States General Life Ins. Co.</t>
  </si>
  <si>
    <t xml:space="preserve">69175     </t>
  </si>
  <si>
    <t>1/14/2005</t>
  </si>
  <si>
    <t>3/9/2005</t>
  </si>
  <si>
    <t>7/1/2005</t>
  </si>
  <si>
    <t>10/18/2010</t>
  </si>
  <si>
    <t>Statesman National Life Ins. Co.</t>
  </si>
  <si>
    <t xml:space="preserve">69183     </t>
  </si>
  <si>
    <t>2/8/1999</t>
  </si>
  <si>
    <t>5/15/1999</t>
  </si>
  <si>
    <t>6/18/1999</t>
  </si>
  <si>
    <t>12/22/2003</t>
  </si>
  <si>
    <t>Summit National Life Ins. Co.</t>
  </si>
  <si>
    <t xml:space="preserve">71080     </t>
  </si>
  <si>
    <t>5/6/1994</t>
  </si>
  <si>
    <t>11/1/1994</t>
  </si>
  <si>
    <t>3/3/2006</t>
  </si>
  <si>
    <t>Supreme Life Ins. Co. of America</t>
  </si>
  <si>
    <t xml:space="preserve">69302     </t>
  </si>
  <si>
    <t>7/12/1995</t>
  </si>
  <si>
    <t>5/12/2000</t>
  </si>
  <si>
    <t>Underwriters Life Ins. Co.</t>
  </si>
  <si>
    <t xml:space="preserve">88188     </t>
  </si>
  <si>
    <t>SD</t>
  </si>
  <si>
    <t>11/2/1990</t>
  </si>
  <si>
    <t>1/27/1991</t>
  </si>
  <si>
    <t>10/31/1992</t>
  </si>
  <si>
    <t>12/14/1998</t>
  </si>
  <si>
    <t>Unison International Life Ins. Co.</t>
  </si>
  <si>
    <t xml:space="preserve">68055     </t>
  </si>
  <si>
    <t>9/25/1992</t>
  </si>
  <si>
    <t>United Republic Life Ins. Co.</t>
  </si>
  <si>
    <t xml:space="preserve">93238     </t>
  </si>
  <si>
    <t>1/26/1994</t>
  </si>
  <si>
    <t>11/18/1994</t>
  </si>
  <si>
    <t>10/1/1994</t>
  </si>
  <si>
    <t>7/25/2001</t>
  </si>
  <si>
    <t>Universe Life Ins. Co.</t>
  </si>
  <si>
    <t xml:space="preserve">70181     </t>
  </si>
  <si>
    <t>ID</t>
  </si>
  <si>
    <t>3/5/1996</t>
  </si>
  <si>
    <t>12/4/1998</t>
  </si>
  <si>
    <t>10/29/1999</t>
  </si>
  <si>
    <t>5/24/2013</t>
  </si>
  <si>
    <t>Villanova Ins. Co.</t>
  </si>
  <si>
    <t xml:space="preserve">19577     </t>
  </si>
  <si>
    <t>Total "Estate Closed"</t>
  </si>
  <si>
    <t>Overview "Released from Oversight" Insolvencies</t>
  </si>
  <si>
    <t>American Community Mutual Ins. Co.</t>
  </si>
  <si>
    <t xml:space="preserve">60305     </t>
  </si>
  <si>
    <t>4/8/2010</t>
  </si>
  <si>
    <t>Confederation Life Ins. &amp; Annuity Co. (CLIAC)</t>
  </si>
  <si>
    <t xml:space="preserve">99384     </t>
  </si>
  <si>
    <t>9/1/1994</t>
  </si>
  <si>
    <t>10/2/1995</t>
  </si>
  <si>
    <t>No GA Fund Required</t>
  </si>
  <si>
    <t>No GA funding involved</t>
  </si>
  <si>
    <t>Fidelity Mutual Life Ins. Co.</t>
  </si>
  <si>
    <t xml:space="preserve">63304     </t>
  </si>
  <si>
    <t>11/6/1992</t>
  </si>
  <si>
    <t>no GA participation</t>
  </si>
  <si>
    <t>1/1/2008</t>
  </si>
  <si>
    <t>First Capital Life Ins. Co.</t>
  </si>
  <si>
    <t xml:space="preserve">65447     </t>
  </si>
  <si>
    <t>5/14/1991</t>
  </si>
  <si>
    <t>7/2/2002</t>
  </si>
  <si>
    <t>Mid-Continent Life Ins. Co.</t>
  </si>
  <si>
    <t xml:space="preserve">66001     </t>
  </si>
  <si>
    <t>6/6/1997</t>
  </si>
  <si>
    <t>Pavonia Life Ins. Co.</t>
  </si>
  <si>
    <t xml:space="preserve">93777     </t>
  </si>
  <si>
    <t>7/9/2019</t>
  </si>
  <si>
    <t>Settlers Life Ins. Co.</t>
  </si>
  <si>
    <t xml:space="preserve">64220     </t>
  </si>
  <si>
    <t>5/14/1999</t>
  </si>
  <si>
    <t>Shenandoah Life Ins. Co.</t>
  </si>
  <si>
    <t xml:space="preserve">68845     </t>
  </si>
  <si>
    <t>2/12/2009</t>
  </si>
  <si>
    <t>No Data Available</t>
  </si>
  <si>
    <t>Total "Released from Oversight"</t>
  </si>
  <si>
    <t>Grand Total</t>
  </si>
  <si>
    <t>Pre-Liquidation Insolvencies Summary by State</t>
  </si>
  <si>
    <t>Allocated</t>
  </si>
  <si>
    <t>Unallocated</t>
  </si>
  <si>
    <t>Annuity</t>
  </si>
  <si>
    <t>Per state breakdown</t>
  </si>
  <si>
    <t>Open Insolvencies Summary by State</t>
  </si>
  <si>
    <t>Closed Insolvencies Summary by State</t>
  </si>
  <si>
    <t>Estate Closed Insolvencies Summary by State</t>
  </si>
  <si>
    <t>Released from Oversight Insolvencies Summary by State</t>
  </si>
  <si>
    <t>Total All Insolvencies Summary by State</t>
  </si>
  <si>
    <t>OVERVIEW:  ESTIMATED GA COSTS</t>
  </si>
  <si>
    <t>Revised Assessable Premium Licensed Only (88-93 Includes Resurvey Changes)</t>
  </si>
  <si>
    <t>1988 - 2024 Data</t>
  </si>
  <si>
    <t xml:space="preserve"> </t>
  </si>
  <si>
    <t>Assessable</t>
  </si>
  <si>
    <t>State</t>
  </si>
  <si>
    <t>Premium</t>
  </si>
  <si>
    <t>Year adopted</t>
  </si>
  <si>
    <t>Abbreviation</t>
  </si>
  <si>
    <t>Basis</t>
  </si>
  <si>
    <t>Year</t>
  </si>
  <si>
    <t>403(b)</t>
  </si>
  <si>
    <t>Notes</t>
  </si>
  <si>
    <t>LTC allocation</t>
  </si>
  <si>
    <t>CAL</t>
  </si>
  <si>
    <t>" "</t>
  </si>
  <si>
    <t>AK</t>
  </si>
  <si>
    <t>All, 403(b) included in UA</t>
  </si>
  <si>
    <t>NewModel Act, acct structure unalloc 403b in aa (L5.2+6.3), COLI/BOLE assessed(no deduct), outside index, struc sett,book val adj,plan sponsor</t>
  </si>
  <si>
    <t>UA 403b (A,L5.2+6.3)</t>
  </si>
  <si>
    <t>UA 403b (A,L5.2+6.3), A&amp;H includes HMO beg 2018</t>
  </si>
  <si>
    <t>UA 403b (A,L5.2+6.3), A&amp;H includes HMO</t>
  </si>
  <si>
    <t>A&amp;H includes HMO</t>
  </si>
  <si>
    <t>A&amp;H includes HMO beg 2018</t>
  </si>
  <si>
    <t>1M, except for UA DO NOT</t>
  </si>
  <si>
    <t>fnd gov't lotry and PBGC</t>
  </si>
  <si>
    <t>403(b) included in UA</t>
  </si>
  <si>
    <t>New Act, Collect Trst, Book value adj, plan sponsor, struc settl payee, COLI/BOLI,</t>
  </si>
  <si>
    <t>NewModel Act, unalloc 403b in aa (L5.2+6.3)</t>
  </si>
  <si>
    <t>UA 403b (A,L5.2+6.3), A&amp;H includes HMO beg 2019</t>
  </si>
  <si>
    <t>CAL, COLI/BOLI,</t>
  </si>
  <si>
    <t>CAL, struc settlmnt payee, outside index</t>
  </si>
  <si>
    <t>HMO premium excluded</t>
  </si>
  <si>
    <t>Yes</t>
  </si>
  <si>
    <t>Model</t>
  </si>
  <si>
    <t>New Act, Book value adj, outside index, plan sponsor, struc settl payee, COLI/BOLI, unalloc 403b in aa (L5.2+6.3)</t>
  </si>
  <si>
    <r>
      <t>UA 403b (A,L5.2+6.3),</t>
    </r>
    <r>
      <rPr>
        <sz val="10"/>
        <color rgb="FFFF0000"/>
        <rFont val="Calibri"/>
        <family val="2"/>
      </rPr>
      <t xml:space="preserve"> A&amp;H includes HMO beg 2018</t>
    </r>
  </si>
  <si>
    <t>1M, except All for gov't</t>
  </si>
  <si>
    <t>ret pln for 401,457,403(b)</t>
  </si>
  <si>
    <t>same, except er owned life</t>
  </si>
  <si>
    <t>Book value adj, outside index, plan sponsor, struc settl payee, COLI/BOLI</t>
  </si>
  <si>
    <t>Dist. Of Columbia</t>
  </si>
  <si>
    <t>DC</t>
  </si>
  <si>
    <t>A&amp;H includes HMO beg in 2024</t>
  </si>
  <si>
    <t>restated to excluded HMO as FL has a separate HMO account</t>
  </si>
  <si>
    <t>Model, Base Exhibit</t>
  </si>
  <si>
    <t>A&amp;H includes HMO beg 2020</t>
  </si>
  <si>
    <t>Act change to eliminate all unalloc anty</t>
  </si>
  <si>
    <t>All</t>
  </si>
  <si>
    <t>5M UA gov't ltry, ee ben pln, 0 for DO NOT fnd</t>
  </si>
  <si>
    <t>Assess all (AA&amp;UA) gov't ret 401,457,403(b) and PBGC</t>
  </si>
  <si>
    <t>UA 403b (A,L5.2+6.3), HMO premium excluded</t>
  </si>
  <si>
    <t>All, except for UA DO NOT</t>
  </si>
  <si>
    <t>book value, outside index</t>
  </si>
  <si>
    <t>Book value adj, struc settl payee, COLI/BOLI.  BUT UA excluded, COLI/BOI still assessed</t>
  </si>
  <si>
    <t>A&amp;H includes HMO beg 2019</t>
  </si>
  <si>
    <t>CAL, 403(b) separate</t>
  </si>
  <si>
    <t>A, L2, C2</t>
  </si>
  <si>
    <r>
      <t xml:space="preserve">A, L2, C2, </t>
    </r>
    <r>
      <rPr>
        <sz val="10"/>
        <color rgb="FFFF0000"/>
        <rFont val="Calibri"/>
        <family val="2"/>
      </rPr>
      <t>A&amp;H includes HMO beg 2018</t>
    </r>
  </si>
  <si>
    <r>
      <t xml:space="preserve">A, L2, C2, </t>
    </r>
    <r>
      <rPr>
        <sz val="10"/>
        <color rgb="FFFF0000"/>
        <rFont val="Calibri"/>
        <family val="2"/>
      </rPr>
      <t>A&amp;H includes HMO</t>
    </r>
  </si>
  <si>
    <r>
      <t xml:space="preserve">Pt 2, Line 14, Col 4 &amp; Line 19.7, Col 4; </t>
    </r>
    <r>
      <rPr>
        <sz val="10"/>
        <color rgb="FFFF0000"/>
        <rFont val="Calibri"/>
        <family val="2"/>
      </rPr>
      <t>A&amp;H includes HMO</t>
    </r>
  </si>
  <si>
    <t>ME</t>
  </si>
  <si>
    <t>MD</t>
  </si>
  <si>
    <t>MN</t>
  </si>
  <si>
    <t>same, except gov't ltry, ee ben pln</t>
  </si>
  <si>
    <t>now 7.5M per part in MN</t>
  </si>
  <si>
    <t>same, except now 7.5M per contract</t>
  </si>
  <si>
    <t>Book value adj</t>
  </si>
  <si>
    <t>outside index</t>
  </si>
  <si>
    <t>New Act, Book value adj, plan sponsor, struc settl payee, COLI/BOLI, 403b in aa (L5.2+6.3)</t>
  </si>
  <si>
    <t>UA 403b (A,L5.2+6.3), A&amp;H includes HMO beg 2020</t>
  </si>
  <si>
    <t>MT</t>
  </si>
  <si>
    <t>NE</t>
  </si>
  <si>
    <t>Book value adj, outside index, struc settl payee, COLI/BOLI</t>
  </si>
  <si>
    <t>NV</t>
  </si>
  <si>
    <t>Book value adj, outside index, struc settl payee, COLI/BOLI, plan sponsor.  UA still not covered</t>
  </si>
  <si>
    <t>NH</t>
  </si>
  <si>
    <t>2M, gov't ret. pln</t>
  </si>
  <si>
    <t>for 401,457,403(b)</t>
  </si>
  <si>
    <t>2M, gov't lottry</t>
  </si>
  <si>
    <t>2M, ee ben plans</t>
  </si>
  <si>
    <t>same, 2M for PBGC</t>
  </si>
  <si>
    <t>NM</t>
  </si>
  <si>
    <t>1M, UA DO NOT fnd gov't</t>
  </si>
  <si>
    <t>1M, gov't lotry, ee ben plan</t>
  </si>
  <si>
    <t>1M, gov't ret. pln</t>
  </si>
  <si>
    <t>1M PBGC</t>
  </si>
  <si>
    <t>CAL, except all variable assessed</t>
  </si>
  <si>
    <t>ND</t>
  </si>
  <si>
    <t>New Act, Book value adj, plan sponsor, struc settl payee, COLI/BOLI, account structure (5.2+6.3)</t>
  </si>
  <si>
    <t>OR</t>
  </si>
  <si>
    <t>CAL, except for All for gov't</t>
  </si>
  <si>
    <t>ret pln 401,457,403(b)</t>
  </si>
  <si>
    <t>UA 403b (A,L5.2+6.3) beg 2020</t>
  </si>
  <si>
    <t>PR</t>
  </si>
  <si>
    <t>RI</t>
  </si>
  <si>
    <t>Model, Base Exhibit, struc sett payee</t>
  </si>
  <si>
    <t>Book value adj, struc settl payee, COLI/BOLI, account structure (5.2+6.3)</t>
  </si>
  <si>
    <t>Adopted LTC allocation, however HMO's are still nonmembers</t>
  </si>
  <si>
    <t>Change in account structure - no longer capturing 403(b) separately</t>
  </si>
  <si>
    <t>Change in account structure - no longer capturing 403(b) separately; A&amp;H includes HMO beg 2019</t>
  </si>
  <si>
    <t>Change in account structure - no longer capturing 403(b) separately; A&amp;H includes HMO</t>
  </si>
  <si>
    <t>Book value adj, outside index, plan sponsor, struc settl payee, COLI/BOLI, unalloc 403b in aa (L5.2+6.3)</t>
  </si>
  <si>
    <t>VT</t>
  </si>
  <si>
    <t>New Act, struc settlmnt payee</t>
  </si>
  <si>
    <t>WA</t>
  </si>
  <si>
    <t>Book value adj, outside index</t>
  </si>
  <si>
    <t>restated to excluded HMO as WI has a separate HMO account</t>
  </si>
  <si>
    <t>All States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</si>
</sst>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
    <numFmt numFmtId="165" formatCode="0_);\(0\)"/>
    <numFmt numFmtId="166" formatCode="_(* #,##0_);_(* \(#,##0\);_(* &quot;-&quot;??_);_(@_)"/>
  </numFmts>
  <fonts count="23">
    <font>
      <sz val="11"/>
      <name val="Calibri"/>
    </font>
    <font>
      <b/>
      <sz val="11"/>
      <name val="Calibri"/>
    </font>
    <font>
      <b/>
      <i/>
      <sz val="11"/>
      <name val="Calibri"/>
    </font>
    <font>
      <b/>
      <sz val="11"/>
      <color rgb="FF000000"/>
      <name val="Calibri"/>
    </font>
    <font>
      <b/>
      <sz val="11"/>
      <color rgb="FFFF0000"/>
      <name val="Calibri"/>
    </font>
    <font>
      <b/>
      <sz val="20"/>
      <name val="Calibri"/>
      <family val="2"/>
    </font>
    <font>
      <b/>
      <sz val="20"/>
      <color rgb="FF0070C0"/>
      <name val="Calibri"/>
      <family val="2"/>
    </font>
    <font>
      <sz val="11"/>
      <name val="Calibri"/>
    </font>
    <font>
      <b/>
      <i/>
      <sz val="12"/>
      <name val="Geneva"/>
    </font>
    <font>
      <sz val="10"/>
      <name val="Geneva"/>
    </font>
    <font>
      <b/>
      <sz val="10"/>
      <name val="Geneva"/>
    </font>
    <font>
      <sz val="10"/>
      <name val="Arial"/>
      <family val="2"/>
    </font>
    <font>
      <sz val="10"/>
      <color rgb="FFFF0000"/>
      <name val="Geneva"/>
    </font>
    <font>
      <sz val="10"/>
      <name val="Calibri"/>
      <family val="2"/>
      <scheme val="minor"/>
    </font>
    <font>
      <sz val="10"/>
      <color rgb="FFFF0000"/>
      <name val="Calibri"/>
      <family val="2"/>
    </font>
    <font>
      <sz val="10"/>
      <name val="Calibri"/>
      <family val="2"/>
    </font>
    <font>
      <sz val="10"/>
      <color indexed="10"/>
      <name val="Geneva"/>
    </font>
    <font>
      <sz val="10"/>
      <color rgb="FFFF0000"/>
      <name val="Calibri"/>
      <family val="2"/>
      <scheme val="minor"/>
    </font>
    <font>
      <sz val="10"/>
      <color indexed="12"/>
      <name val="Geneva"/>
    </font>
    <font>
      <b/>
      <sz val="9"/>
      <color indexed="81"/>
      <name val="Tahoma"/>
      <family val="2"/>
    </font>
    <font>
      <sz val="9"/>
      <color indexed="81"/>
      <name val="Tahoma"/>
      <family val="2"/>
    </font>
    <font>
      <b/>
      <sz val="8"/>
      <color indexed="81"/>
      <name val="Tahoma"/>
      <family val="2"/>
    </font>
    <font>
      <sz val="8"/>
      <color indexed="81"/>
      <name val="Tahoma"/>
      <family val="2"/>
    </font>
  </fonts>
  <fills count="3">
    <fill>
      <patternFill patternType="none"/>
    </fill>
    <fill>
      <patternFill patternType="gray125"/>
    </fill>
    <fill>
      <patternFill patternType="solid">
        <fgColor theme="0" tint="-0.14999847407452621"/>
        <bgColor indexed="64"/>
      </patternFill>
    </fill>
  </fills>
  <borders count="22">
    <border>
      <left/>
      <right/>
      <top/>
      <bottom/>
      <diagonal/>
    </border>
    <border>
      <left/>
      <right/>
      <top style="medium">
        <color auto="1"/>
      </top>
      <bottom/>
      <diagonal/>
    </border>
    <border>
      <left/>
      <right/>
      <top/>
      <bottom style="medium">
        <color auto="1"/>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medium">
        <color auto="1"/>
      </left>
      <right/>
      <top/>
      <bottom style="thin">
        <color auto="1"/>
      </bottom>
      <diagonal/>
    </border>
    <border>
      <left/>
      <right style="medium">
        <color auto="1"/>
      </right>
      <top/>
      <bottom style="thin">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thin">
        <color indexed="64"/>
      </top>
      <bottom/>
      <diagonal/>
    </border>
  </borders>
  <cellStyleXfs count="2">
    <xf numFmtId="0" fontId="0" fillId="0" borderId="0"/>
    <xf numFmtId="43" fontId="7" fillId="0" borderId="0" applyFont="0" applyFill="0" applyBorder="0" applyAlignment="0" applyProtection="0"/>
  </cellStyleXfs>
  <cellXfs count="102">
    <xf numFmtId="0" fontId="0" fillId="0" borderId="0" xfId="0"/>
    <xf numFmtId="164" fontId="0" fillId="0" borderId="0" xfId="0" applyNumberFormat="1" applyAlignment="1">
      <alignment wrapText="1"/>
    </xf>
    <xf numFmtId="164" fontId="0" fillId="0" borderId="0" xfId="0" applyNumberFormat="1" applyAlignment="1">
      <alignment horizontal="center" wrapText="1"/>
    </xf>
    <xf numFmtId="164" fontId="1" fillId="0" borderId="0" xfId="0" applyNumberFormat="1" applyFont="1" applyAlignment="1">
      <alignment wrapText="1"/>
    </xf>
    <xf numFmtId="164" fontId="1" fillId="0" borderId="0" xfId="0" applyNumberFormat="1" applyFont="1" applyAlignment="1">
      <alignment horizontal="center" vertical="center" wrapText="1"/>
    </xf>
    <xf numFmtId="164" fontId="0" fillId="0" borderId="2" xfId="0" applyNumberFormat="1" applyBorder="1" applyAlignment="1">
      <alignment wrapText="1"/>
    </xf>
    <xf numFmtId="164" fontId="0" fillId="0" borderId="4" xfId="0" applyNumberFormat="1" applyBorder="1" applyAlignment="1">
      <alignment wrapText="1"/>
    </xf>
    <xf numFmtId="164" fontId="1" fillId="0" borderId="4" xfId="0" applyNumberFormat="1" applyFont="1" applyBorder="1" applyAlignment="1">
      <alignment horizontal="center" vertical="center" wrapText="1"/>
    </xf>
    <xf numFmtId="164" fontId="0" fillId="0" borderId="5" xfId="0" applyNumberFormat="1" applyBorder="1" applyAlignment="1">
      <alignment wrapText="1"/>
    </xf>
    <xf numFmtId="164" fontId="0" fillId="0" borderId="7" xfId="0" applyNumberFormat="1" applyBorder="1" applyAlignment="1">
      <alignment wrapText="1"/>
    </xf>
    <xf numFmtId="164" fontId="1" fillId="0" borderId="7" xfId="0" applyNumberFormat="1" applyFont="1" applyBorder="1" applyAlignment="1">
      <alignment horizontal="center" vertical="center" wrapText="1"/>
    </xf>
    <xf numFmtId="164" fontId="0" fillId="0" borderId="8" xfId="0" applyNumberFormat="1" applyBorder="1" applyAlignment="1">
      <alignment wrapText="1"/>
    </xf>
    <xf numFmtId="164" fontId="0" fillId="0" borderId="10" xfId="0" applyNumberFormat="1" applyBorder="1" applyAlignment="1">
      <alignment wrapText="1"/>
    </xf>
    <xf numFmtId="164" fontId="0" fillId="0" borderId="11" xfId="0" applyNumberFormat="1" applyBorder="1" applyAlignment="1">
      <alignment wrapText="1"/>
    </xf>
    <xf numFmtId="164" fontId="0" fillId="0" borderId="12" xfId="0" applyNumberFormat="1" applyBorder="1" applyAlignment="1">
      <alignment wrapText="1"/>
    </xf>
    <xf numFmtId="164" fontId="0" fillId="0" borderId="13" xfId="0" applyNumberFormat="1" applyBorder="1" applyAlignment="1">
      <alignment wrapText="1"/>
    </xf>
    <xf numFmtId="164" fontId="0" fillId="0" borderId="14" xfId="0" applyNumberFormat="1" applyBorder="1" applyAlignment="1">
      <alignment wrapText="1"/>
    </xf>
    <xf numFmtId="164" fontId="0" fillId="0" borderId="15" xfId="0" applyNumberFormat="1" applyBorder="1" applyAlignment="1">
      <alignment wrapText="1"/>
    </xf>
    <xf numFmtId="164" fontId="0" fillId="0" borderId="0" xfId="0" applyNumberFormat="1" applyAlignment="1">
      <alignment horizontal="center" vertical="center" wrapText="1"/>
    </xf>
    <xf numFmtId="164" fontId="0" fillId="0" borderId="4" xfId="0" applyNumberFormat="1" applyBorder="1" applyAlignment="1">
      <alignment horizontal="center" vertical="center" wrapText="1"/>
    </xf>
    <xf numFmtId="164" fontId="0" fillId="0" borderId="7" xfId="0" applyNumberFormat="1" applyBorder="1" applyAlignment="1">
      <alignment horizontal="center" vertical="center" wrapText="1"/>
    </xf>
    <xf numFmtId="164" fontId="0" fillId="0" borderId="2" xfId="0" applyNumberFormat="1" applyBorder="1" applyAlignment="1">
      <alignment horizontal="center" wrapText="1"/>
    </xf>
    <xf numFmtId="164" fontId="0" fillId="0" borderId="4" xfId="0" applyNumberFormat="1" applyBorder="1" applyAlignment="1">
      <alignment horizontal="center" wrapText="1"/>
    </xf>
    <xf numFmtId="164" fontId="0" fillId="0" borderId="5" xfId="0" applyNumberFormat="1" applyBorder="1" applyAlignment="1">
      <alignment horizontal="center" wrapText="1"/>
    </xf>
    <xf numFmtId="164" fontId="0" fillId="0" borderId="7" xfId="0" applyNumberFormat="1" applyBorder="1" applyAlignment="1">
      <alignment horizontal="center" wrapText="1"/>
    </xf>
    <xf numFmtId="164" fontId="0" fillId="0" borderId="8" xfId="0" applyNumberFormat="1" applyBorder="1" applyAlignment="1">
      <alignment horizontal="center" wrapText="1"/>
    </xf>
    <xf numFmtId="164" fontId="0" fillId="0" borderId="1" xfId="0" applyNumberFormat="1" applyBorder="1" applyAlignment="1">
      <alignment wrapText="1"/>
    </xf>
    <xf numFmtId="164" fontId="2" fillId="0" borderId="3" xfId="0" applyNumberFormat="1" applyFont="1" applyBorder="1" applyAlignment="1">
      <alignment wrapText="1"/>
    </xf>
    <xf numFmtId="164" fontId="0" fillId="0" borderId="6" xfId="0" applyNumberFormat="1" applyBorder="1" applyAlignment="1">
      <alignment wrapText="1"/>
    </xf>
    <xf numFmtId="164" fontId="0" fillId="0" borderId="3" xfId="0" applyNumberFormat="1" applyBorder="1" applyAlignment="1">
      <alignment wrapText="1"/>
    </xf>
    <xf numFmtId="164" fontId="0" fillId="0" borderId="18" xfId="0" applyNumberFormat="1" applyBorder="1" applyAlignment="1">
      <alignment wrapText="1"/>
    </xf>
    <xf numFmtId="164" fontId="2" fillId="0" borderId="19" xfId="0" applyNumberFormat="1" applyFont="1" applyBorder="1" applyAlignment="1">
      <alignment wrapText="1"/>
    </xf>
    <xf numFmtId="164" fontId="0" fillId="0" borderId="20" xfId="0" applyNumberFormat="1" applyBorder="1" applyAlignment="1">
      <alignment wrapText="1"/>
    </xf>
    <xf numFmtId="164" fontId="0" fillId="0" borderId="19" xfId="0" applyNumberFormat="1" applyBorder="1" applyAlignment="1">
      <alignment wrapText="1"/>
    </xf>
    <xf numFmtId="164" fontId="5" fillId="0" borderId="0" xfId="0" applyNumberFormat="1" applyFont="1"/>
    <xf numFmtId="164" fontId="0" fillId="0" borderId="18" xfId="0" applyNumberFormat="1" applyBorder="1" applyAlignment="1">
      <alignment horizontal="center" wrapText="1"/>
    </xf>
    <xf numFmtId="38" fontId="0" fillId="0" borderId="0" xfId="1" applyNumberFormat="1" applyFont="1" applyFill="1" applyAlignment="1">
      <alignment horizontal="center"/>
    </xf>
    <xf numFmtId="38" fontId="9" fillId="0" borderId="0" xfId="1" applyNumberFormat="1" applyFont="1" applyFill="1"/>
    <xf numFmtId="0" fontId="0" fillId="0" borderId="0" xfId="0" applyAlignment="1">
      <alignment horizontal="center"/>
    </xf>
    <xf numFmtId="38" fontId="0" fillId="0" borderId="0" xfId="0" applyNumberFormat="1" applyAlignment="1">
      <alignment horizontal="center"/>
    </xf>
    <xf numFmtId="38" fontId="10" fillId="0" borderId="0" xfId="0" applyNumberFormat="1" applyFont="1" applyAlignment="1">
      <alignment horizontal="center"/>
    </xf>
    <xf numFmtId="37" fontId="10" fillId="0" borderId="0" xfId="0" applyNumberFormat="1" applyFont="1" applyAlignment="1">
      <alignment horizontal="center"/>
    </xf>
    <xf numFmtId="165" fontId="10" fillId="0" borderId="0" xfId="0" applyNumberFormat="1" applyFont="1" applyAlignment="1">
      <alignment horizontal="center"/>
    </xf>
    <xf numFmtId="38" fontId="10" fillId="0" borderId="0" xfId="1" applyNumberFormat="1" applyFont="1" applyFill="1" applyAlignment="1">
      <alignment horizontal="center" vertical="center" wrapText="1"/>
    </xf>
    <xf numFmtId="38" fontId="10" fillId="0" borderId="0" xfId="1" applyNumberFormat="1" applyFont="1" applyFill="1" applyAlignment="1">
      <alignment horizontal="center" vertical="center"/>
    </xf>
    <xf numFmtId="37" fontId="0" fillId="0" borderId="0" xfId="0" applyNumberFormat="1"/>
    <xf numFmtId="37" fontId="0" fillId="0" borderId="0" xfId="0" applyNumberFormat="1" applyAlignment="1">
      <alignment horizontal="center"/>
    </xf>
    <xf numFmtId="165" fontId="0" fillId="0" borderId="0" xfId="0" applyNumberFormat="1" applyAlignment="1">
      <alignment horizontal="center"/>
    </xf>
    <xf numFmtId="37" fontId="10" fillId="0" borderId="0" xfId="0" applyNumberFormat="1" applyFont="1"/>
    <xf numFmtId="37" fontId="9" fillId="0" borderId="0" xfId="0" applyNumberFormat="1" applyFont="1"/>
    <xf numFmtId="37" fontId="9" fillId="0" borderId="0" xfId="0" applyNumberFormat="1" applyFont="1" applyAlignment="1">
      <alignment horizontal="center"/>
    </xf>
    <xf numFmtId="165" fontId="9" fillId="0" borderId="0" xfId="0" applyNumberFormat="1" applyFont="1" applyAlignment="1">
      <alignment horizontal="center"/>
    </xf>
    <xf numFmtId="38" fontId="0" fillId="0" borderId="0" xfId="1" applyNumberFormat="1" applyFont="1" applyFill="1"/>
    <xf numFmtId="38" fontId="0" fillId="0" borderId="0" xfId="1" applyNumberFormat="1" applyFont="1" applyFill="1" applyAlignment="1">
      <alignment horizontal="right"/>
    </xf>
    <xf numFmtId="38" fontId="10" fillId="2" borderId="0" xfId="1" applyNumberFormat="1" applyFont="1" applyFill="1"/>
    <xf numFmtId="38" fontId="11" fillId="0" borderId="0" xfId="1" applyNumberFormat="1" applyFont="1" applyFill="1"/>
    <xf numFmtId="38" fontId="0" fillId="0" borderId="0" xfId="1" applyNumberFormat="1" applyFont="1"/>
    <xf numFmtId="0" fontId="9" fillId="0" borderId="0" xfId="0" applyFont="1" applyAlignment="1">
      <alignment horizontal="center"/>
    </xf>
    <xf numFmtId="38" fontId="0" fillId="2" borderId="0" xfId="1" applyNumberFormat="1" applyFont="1" applyFill="1"/>
    <xf numFmtId="166" fontId="0" fillId="0" borderId="0" xfId="0" applyNumberFormat="1"/>
    <xf numFmtId="0" fontId="12" fillId="0" borderId="0" xfId="0" applyFont="1"/>
    <xf numFmtId="38" fontId="12" fillId="0" borderId="0" xfId="0" applyNumberFormat="1" applyFont="1"/>
    <xf numFmtId="38" fontId="0" fillId="0" borderId="0" xfId="0" applyNumberFormat="1"/>
    <xf numFmtId="38" fontId="11" fillId="0" borderId="0" xfId="1" applyNumberFormat="1" applyFont="1" applyFill="1" applyBorder="1"/>
    <xf numFmtId="38" fontId="12" fillId="0" borderId="0" xfId="1" applyNumberFormat="1" applyFont="1"/>
    <xf numFmtId="38" fontId="9" fillId="0" borderId="0" xfId="1" applyNumberFormat="1" applyFont="1"/>
    <xf numFmtId="38" fontId="13" fillId="0" borderId="0" xfId="0" applyNumberFormat="1" applyFont="1"/>
    <xf numFmtId="38" fontId="15" fillId="0" borderId="0" xfId="0" applyNumberFormat="1" applyFont="1"/>
    <xf numFmtId="38" fontId="16" fillId="0" borderId="0" xfId="1" applyNumberFormat="1" applyFont="1" applyFill="1" applyAlignment="1">
      <alignment horizontal="right"/>
    </xf>
    <xf numFmtId="38" fontId="9" fillId="0" borderId="0" xfId="1" applyNumberFormat="1" applyFont="1" applyFill="1" applyAlignment="1">
      <alignment horizontal="center"/>
    </xf>
    <xf numFmtId="38" fontId="17" fillId="0" borderId="0" xfId="0" applyNumberFormat="1" applyFont="1"/>
    <xf numFmtId="38" fontId="0" fillId="0" borderId="0" xfId="1" applyNumberFormat="1" applyFont="1" applyAlignment="1">
      <alignment horizontal="right"/>
    </xf>
    <xf numFmtId="0" fontId="18" fillId="0" borderId="0" xfId="0" applyFont="1"/>
    <xf numFmtId="38" fontId="11" fillId="0" borderId="0" xfId="1" applyNumberFormat="1" applyFont="1" applyFill="1" applyAlignment="1">
      <alignment horizontal="right"/>
    </xf>
    <xf numFmtId="0" fontId="9" fillId="0" borderId="0" xfId="0" applyFont="1"/>
    <xf numFmtId="38" fontId="10" fillId="0" borderId="0" xfId="1" applyNumberFormat="1" applyFont="1" applyFill="1"/>
    <xf numFmtId="0" fontId="10" fillId="0" borderId="21" xfId="0" applyFont="1" applyBorder="1" applyAlignment="1">
      <alignment horizontal="center"/>
    </xf>
    <xf numFmtId="38" fontId="10" fillId="0" borderId="21" xfId="1" applyNumberFormat="1" applyFont="1" applyFill="1" applyBorder="1"/>
    <xf numFmtId="164" fontId="1" fillId="0" borderId="4" xfId="0" applyNumberFormat="1" applyFont="1" applyBorder="1" applyAlignment="1">
      <alignment horizontal="center" wrapText="1"/>
    </xf>
    <xf numFmtId="164" fontId="0" fillId="0" borderId="0" xfId="0" applyNumberFormat="1" applyAlignment="1">
      <alignment wrapText="1"/>
    </xf>
    <xf numFmtId="164" fontId="0" fillId="0" borderId="7" xfId="0" applyNumberFormat="1" applyBorder="1" applyAlignment="1">
      <alignment wrapText="1"/>
    </xf>
    <xf numFmtId="164" fontId="0" fillId="0" borderId="4" xfId="0" applyNumberFormat="1" applyBorder="1" applyAlignment="1">
      <alignment wrapText="1"/>
    </xf>
    <xf numFmtId="164" fontId="0" fillId="0" borderId="5" xfId="0" applyNumberFormat="1" applyBorder="1" applyAlignment="1">
      <alignment wrapText="1"/>
    </xf>
    <xf numFmtId="164" fontId="0" fillId="0" borderId="2" xfId="0" applyNumberFormat="1" applyBorder="1" applyAlignment="1">
      <alignment wrapText="1"/>
    </xf>
    <xf numFmtId="164" fontId="0" fillId="0" borderId="8" xfId="0" applyNumberFormat="1" applyBorder="1" applyAlignment="1">
      <alignment wrapText="1"/>
    </xf>
    <xf numFmtId="164" fontId="1" fillId="0" borderId="0" xfId="0" applyNumberFormat="1" applyFont="1" applyAlignment="1">
      <alignment horizontal="center" wrapText="1"/>
    </xf>
    <xf numFmtId="164" fontId="0" fillId="0" borderId="3" xfId="0" applyNumberFormat="1" applyBorder="1" applyAlignment="1">
      <alignment horizontal="center" wrapText="1"/>
    </xf>
    <xf numFmtId="164" fontId="0" fillId="0" borderId="1" xfId="0" applyNumberFormat="1" applyBorder="1" applyAlignment="1">
      <alignment horizontal="center" wrapText="1"/>
    </xf>
    <xf numFmtId="164" fontId="0" fillId="0" borderId="6" xfId="0" applyNumberFormat="1" applyBorder="1" applyAlignment="1">
      <alignment horizontal="center" wrapText="1"/>
    </xf>
    <xf numFmtId="164" fontId="1" fillId="0" borderId="3" xfId="0" applyNumberFormat="1" applyFont="1" applyBorder="1" applyAlignment="1">
      <alignment horizontal="center" wrapText="1"/>
    </xf>
    <xf numFmtId="164" fontId="1" fillId="0" borderId="1" xfId="0" applyNumberFormat="1" applyFont="1" applyBorder="1" applyAlignment="1">
      <alignment wrapText="1"/>
    </xf>
    <xf numFmtId="164" fontId="1" fillId="0" borderId="6" xfId="0" applyNumberFormat="1" applyFont="1" applyBorder="1" applyAlignment="1">
      <alignment wrapText="1"/>
    </xf>
    <xf numFmtId="164" fontId="1" fillId="0" borderId="16" xfId="0" applyNumberFormat="1" applyFont="1" applyBorder="1" applyAlignment="1">
      <alignment horizontal="center" wrapText="1"/>
    </xf>
    <xf numFmtId="164" fontId="1" fillId="0" borderId="9" xfId="0" applyNumberFormat="1" applyFont="1" applyBorder="1" applyAlignment="1">
      <alignment wrapText="1"/>
    </xf>
    <xf numFmtId="164" fontId="1" fillId="0" borderId="9" xfId="0" applyNumberFormat="1" applyFont="1" applyBorder="1" applyAlignment="1">
      <alignment horizontal="center" wrapText="1"/>
    </xf>
    <xf numFmtId="164" fontId="1" fillId="0" borderId="17" xfId="0" applyNumberFormat="1" applyFont="1" applyBorder="1" applyAlignment="1">
      <alignment wrapText="1"/>
    </xf>
    <xf numFmtId="164" fontId="0" fillId="0" borderId="16" xfId="0" applyNumberFormat="1" applyBorder="1" applyAlignment="1">
      <alignment horizontal="center" wrapText="1"/>
    </xf>
    <xf numFmtId="164" fontId="0" fillId="0" borderId="9" xfId="0" applyNumberFormat="1" applyBorder="1" applyAlignment="1">
      <alignment horizontal="center" wrapText="1"/>
    </xf>
    <xf numFmtId="164" fontId="0" fillId="0" borderId="17" xfId="0" applyNumberFormat="1" applyBorder="1" applyAlignment="1">
      <alignment horizontal="center" wrapText="1"/>
    </xf>
    <xf numFmtId="164" fontId="6" fillId="0" borderId="0" xfId="0" applyNumberFormat="1" applyFont="1" applyAlignment="1">
      <alignment horizontal="center"/>
    </xf>
    <xf numFmtId="164" fontId="2" fillId="0" borderId="0" xfId="0" applyNumberFormat="1" applyFont="1" applyAlignment="1">
      <alignment horizontal="center" wrapText="1"/>
    </xf>
    <xf numFmtId="37" fontId="8" fillId="0" borderId="0" xfId="0" applyNumberFormat="1"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customXml" Target="../customXml/item3.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sharedStrings" Target="sharedStrings.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microsoft.com/office/2017/10/relationships/person" Target="persons/person.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externalLink" Target="externalLinks/externalLink1.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theme" Target="theme/theme1.xml"/><Relationship Id="rId115" Type="http://schemas.openxmlformats.org/officeDocument/2006/relationships/customXml" Target="../customXml/item1.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styles" Target="styles.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KeithSheridan\Downloads\NOLHGA%20ADS%202024%20-%20Internal%20premium%20spreadsheet.xlsx" TargetMode="External"/><Relationship Id="rId1" Type="http://schemas.openxmlformats.org/officeDocument/2006/relationships/externalLinkPath" Target="file:///C:\Users\KeithSheridan\Downloads\NOLHGA%20ADS%202024%20-%20Internal%20premium%20spread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vprm MEMBER"/>
      <sheetName val="revprm NONMBR NOT LIC"/>
      <sheetName val="totrevprm"/>
      <sheetName val="chg MEMBER"/>
      <sheetName val="prcnt chg MEMBER"/>
      <sheetName val="prcnt review MEMBER"/>
      <sheetName val="chg NONMBR NOT LIC"/>
      <sheetName val="prcnt chg NONMBR NOT LIC"/>
      <sheetName val="prcnt review NONMBR NOT LIC"/>
      <sheetName val="Not Updated or Used&gt;&gt;&gt;&gt;"/>
      <sheetName val="Lic"/>
      <sheetName val="UnLic"/>
      <sheetName val="403b States"/>
      <sheetName val="Pivot Lic"/>
      <sheetName val="Pivot Unlic"/>
      <sheetName val="rbc"/>
      <sheetName val="hi"/>
      <sheetName val="il"/>
    </sheetNames>
    <sheetDataSet>
      <sheetData sheetId="0"/>
      <sheetData sheetId="1"/>
      <sheetData sheetId="2">
        <row r="75">
          <cell r="O75" t="str">
            <v>Yes</v>
          </cell>
        </row>
        <row r="113">
          <cell r="O113" t="str">
            <v>Yes</v>
          </cell>
        </row>
        <row r="152">
          <cell r="O152" t="str">
            <v>Yes</v>
          </cell>
        </row>
        <row r="265">
          <cell r="O265" t="str">
            <v>Yes</v>
          </cell>
        </row>
        <row r="304">
          <cell r="O304" t="str">
            <v>Yes</v>
          </cell>
        </row>
        <row r="380">
          <cell r="O380" t="str">
            <v>Yes</v>
          </cell>
        </row>
        <row r="419">
          <cell r="O419" t="str">
            <v>Yes</v>
          </cell>
        </row>
        <row r="493">
          <cell r="O493" t="str">
            <v>Yes</v>
          </cell>
        </row>
        <row r="531">
          <cell r="O531" t="str">
            <v>Yes</v>
          </cell>
        </row>
        <row r="569">
          <cell r="O569" t="str">
            <v>Yes</v>
          </cell>
        </row>
        <row r="608">
          <cell r="O608" t="str">
            <v>Yes</v>
          </cell>
        </row>
        <row r="684">
          <cell r="O684" t="str">
            <v>Yes</v>
          </cell>
        </row>
        <row r="721">
          <cell r="O721" t="str">
            <v>Yes</v>
          </cell>
        </row>
        <row r="759">
          <cell r="O759" t="str">
            <v>Yes</v>
          </cell>
        </row>
        <row r="799">
          <cell r="O799" t="str">
            <v>Yes</v>
          </cell>
        </row>
        <row r="913">
          <cell r="O913" t="str">
            <v>Yes</v>
          </cell>
        </row>
        <row r="951">
          <cell r="O951" t="str">
            <v>Yes</v>
          </cell>
        </row>
        <row r="987">
          <cell r="O987" t="str">
            <v>Yes</v>
          </cell>
        </row>
        <row r="1027">
          <cell r="O1027" t="str">
            <v>Yes</v>
          </cell>
        </row>
        <row r="1064">
          <cell r="O1064" t="str">
            <v>Yes</v>
          </cell>
        </row>
        <row r="1103">
          <cell r="O1103" t="str">
            <v>Yes</v>
          </cell>
        </row>
        <row r="1141">
          <cell r="O1141" t="str">
            <v>Yes</v>
          </cell>
        </row>
        <row r="1291">
          <cell r="O1291" t="str">
            <v>Yes</v>
          </cell>
        </row>
        <row r="1330">
          <cell r="O1330" t="str">
            <v>Yes</v>
          </cell>
        </row>
        <row r="1406">
          <cell r="O1406" t="str">
            <v>Yes</v>
          </cell>
        </row>
        <row r="1483">
          <cell r="O1483" t="str">
            <v>Yes</v>
          </cell>
        </row>
        <row r="1597">
          <cell r="O1597" t="str">
            <v>Yes</v>
          </cell>
        </row>
        <row r="1635">
          <cell r="O1635" t="str">
            <v>Yes</v>
          </cell>
        </row>
        <row r="1672">
          <cell r="O1672" t="str">
            <v>Yes</v>
          </cell>
        </row>
        <row r="1710">
          <cell r="O1710" t="str">
            <v>Yes</v>
          </cell>
        </row>
        <row r="1748">
          <cell r="O1748" t="str">
            <v>Yes</v>
          </cell>
        </row>
        <row r="1823">
          <cell r="O1823" t="str">
            <v>Yes</v>
          </cell>
        </row>
        <row r="1899">
          <cell r="O1899" t="str">
            <v>Yes</v>
          </cell>
        </row>
        <row r="1976">
          <cell r="O1976" t="str">
            <v>Yes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64"/>
  <sheetViews>
    <sheetView zoomScale="75" workbookViewId="0">
      <selection sqref="A1:G1"/>
    </sheetView>
  </sheetViews>
  <sheetFormatPr defaultColWidth="9.109375" defaultRowHeight="14.4"/>
  <cols>
    <col min="1" max="1" width="20" style="1" customWidth="1"/>
    <col min="2" max="7" width="15" style="1" customWidth="1"/>
    <col min="8" max="8" width="1" style="1" customWidth="1"/>
    <col min="9" max="9" width="30" style="1" customWidth="1"/>
    <col min="10" max="10" width="15" style="1" customWidth="1"/>
    <col min="11" max="11" width="1" style="1" customWidth="1"/>
    <col min="12" max="13" width="15" style="1" customWidth="1"/>
    <col min="14" max="14" width="1" style="1" customWidth="1"/>
    <col min="15" max="16" width="15" style="1" customWidth="1"/>
    <col min="17" max="17" width="1" style="1" customWidth="1"/>
    <col min="18" max="19" width="15" style="1" customWidth="1"/>
    <col min="20" max="20" width="1" style="1" customWidth="1"/>
    <col min="21" max="22" width="15" style="1" customWidth="1"/>
    <col min="23" max="23" width="9.109375" style="1" customWidth="1"/>
    <col min="24" max="16384" width="9.109375" style="1"/>
  </cols>
  <sheetData>
    <row r="1" spans="1:22">
      <c r="A1" s="85" t="s">
        <v>0</v>
      </c>
      <c r="B1" s="79"/>
      <c r="C1" s="79"/>
      <c r="D1" s="79"/>
      <c r="E1" s="79"/>
      <c r="F1" s="79"/>
      <c r="G1" s="79"/>
    </row>
    <row r="3" spans="1:22">
      <c r="B3" s="86" t="s">
        <v>1</v>
      </c>
      <c r="C3" s="87"/>
      <c r="D3" s="87"/>
      <c r="E3" s="87"/>
      <c r="F3" s="87"/>
      <c r="G3" s="88"/>
      <c r="L3" s="89" t="s">
        <v>2</v>
      </c>
      <c r="M3" s="90"/>
      <c r="N3" s="90"/>
      <c r="O3" s="90"/>
      <c r="P3" s="90"/>
      <c r="Q3" s="90"/>
      <c r="R3" s="90"/>
      <c r="S3" s="90"/>
      <c r="T3" s="90"/>
      <c r="U3" s="90"/>
      <c r="V3" s="91"/>
    </row>
    <row r="4" spans="1:22">
      <c r="B4" s="6"/>
      <c r="G4" s="9"/>
      <c r="L4" s="92" t="s">
        <v>3</v>
      </c>
      <c r="M4" s="93"/>
      <c r="N4" s="3"/>
      <c r="O4" s="94" t="s">
        <v>4</v>
      </c>
      <c r="P4" s="93"/>
      <c r="Q4" s="3"/>
      <c r="R4" s="94" t="s">
        <v>5</v>
      </c>
      <c r="S4" s="93"/>
      <c r="T4" s="3"/>
      <c r="U4" s="94" t="s">
        <v>6</v>
      </c>
      <c r="V4" s="95"/>
    </row>
    <row r="5" spans="1:22" ht="60" customHeight="1">
      <c r="B5" s="7" t="s">
        <v>3</v>
      </c>
      <c r="C5" s="4" t="s">
        <v>4</v>
      </c>
      <c r="D5" s="4" t="s">
        <v>5</v>
      </c>
      <c r="E5" s="4" t="s">
        <v>6</v>
      </c>
      <c r="F5" s="4" t="s">
        <v>7</v>
      </c>
      <c r="G5" s="10" t="s">
        <v>8</v>
      </c>
      <c r="L5" s="19" t="s">
        <v>9</v>
      </c>
      <c r="M5" s="18" t="s">
        <v>10</v>
      </c>
      <c r="N5" s="18"/>
      <c r="O5" s="18" t="s">
        <v>9</v>
      </c>
      <c r="P5" s="18" t="s">
        <v>10</v>
      </c>
      <c r="Q5" s="18"/>
      <c r="R5" s="18" t="s">
        <v>9</v>
      </c>
      <c r="S5" s="18" t="s">
        <v>10</v>
      </c>
      <c r="T5" s="18"/>
      <c r="U5" s="18" t="s">
        <v>9</v>
      </c>
      <c r="V5" s="20" t="s">
        <v>10</v>
      </c>
    </row>
    <row r="6" spans="1:22">
      <c r="A6" s="1" t="s">
        <v>11</v>
      </c>
      <c r="B6" s="6">
        <v>0</v>
      </c>
      <c r="C6" s="1">
        <v>0</v>
      </c>
      <c r="D6" s="1">
        <v>31.945562268055419</v>
      </c>
      <c r="E6" s="1">
        <v>0</v>
      </c>
      <c r="F6" s="1">
        <v>0</v>
      </c>
      <c r="G6" s="9">
        <f>SUM(AL_FINANCIAL)</f>
        <v>31.945562268055419</v>
      </c>
      <c r="L6" s="6"/>
      <c r="V6" s="9"/>
    </row>
    <row r="7" spans="1:22">
      <c r="A7" s="1" t="s">
        <v>12</v>
      </c>
      <c r="B7" s="6">
        <v>0</v>
      </c>
      <c r="C7" s="1">
        <v>0</v>
      </c>
      <c r="D7" s="1">
        <v>0</v>
      </c>
      <c r="E7" s="1">
        <v>0</v>
      </c>
      <c r="F7" s="1">
        <v>0</v>
      </c>
      <c r="G7" s="9">
        <f>SUM(AK_FINANCIAL)</f>
        <v>0</v>
      </c>
      <c r="I7" s="12"/>
      <c r="J7" s="15"/>
      <c r="L7" s="6"/>
      <c r="V7" s="9"/>
    </row>
    <row r="8" spans="1:22">
      <c r="A8" s="1" t="s">
        <v>13</v>
      </c>
      <c r="B8" s="6">
        <v>0</v>
      </c>
      <c r="C8" s="1">
        <v>0</v>
      </c>
      <c r="D8" s="1">
        <v>0</v>
      </c>
      <c r="E8" s="1">
        <v>0</v>
      </c>
      <c r="F8" s="1">
        <v>0</v>
      </c>
      <c r="G8" s="9">
        <f>SUM(AZ_FINANCIAL)</f>
        <v>0</v>
      </c>
      <c r="I8" s="13" t="s">
        <v>14</v>
      </c>
      <c r="J8" s="16"/>
      <c r="L8" s="6"/>
      <c r="V8" s="9"/>
    </row>
    <row r="9" spans="1:22">
      <c r="A9" s="1" t="s">
        <v>15</v>
      </c>
      <c r="B9" s="6">
        <v>0</v>
      </c>
      <c r="C9" s="1">
        <v>0</v>
      </c>
      <c r="D9" s="1">
        <v>33.047133380746992</v>
      </c>
      <c r="E9" s="1">
        <v>0</v>
      </c>
      <c r="F9" s="1">
        <v>0</v>
      </c>
      <c r="G9" s="9">
        <f>SUM(AR_FINANCIAL)</f>
        <v>33.047133380746992</v>
      </c>
      <c r="I9" s="13"/>
      <c r="J9" s="16"/>
      <c r="L9" s="6"/>
      <c r="V9" s="9"/>
    </row>
    <row r="10" spans="1:22">
      <c r="A10" s="1" t="s">
        <v>16</v>
      </c>
      <c r="B10" s="6">
        <v>0</v>
      </c>
      <c r="C10" s="1">
        <v>0</v>
      </c>
      <c r="D10" s="1">
        <v>0</v>
      </c>
      <c r="E10" s="1">
        <v>0</v>
      </c>
      <c r="F10" s="1">
        <v>0</v>
      </c>
      <c r="G10" s="9">
        <f>SUM(CA_FINANCIAL)</f>
        <v>0</v>
      </c>
      <c r="I10" s="13" t="s">
        <v>17</v>
      </c>
      <c r="J10" s="16">
        <v>0</v>
      </c>
      <c r="L10" s="6"/>
      <c r="V10" s="9"/>
    </row>
    <row r="11" spans="1:22">
      <c r="A11" s="1" t="s">
        <v>18</v>
      </c>
      <c r="B11" s="6">
        <v>0</v>
      </c>
      <c r="C11" s="1">
        <v>0</v>
      </c>
      <c r="D11" s="1">
        <v>0</v>
      </c>
      <c r="E11" s="1">
        <v>0</v>
      </c>
      <c r="F11" s="1">
        <v>0</v>
      </c>
      <c r="G11" s="9">
        <f>SUM(CO_FINANCIAL)</f>
        <v>0</v>
      </c>
      <c r="I11" s="13"/>
      <c r="J11" s="16"/>
      <c r="L11" s="6"/>
      <c r="V11" s="9"/>
    </row>
    <row r="12" spans="1:22">
      <c r="A12" s="1" t="s">
        <v>19</v>
      </c>
      <c r="B12" s="6">
        <v>0</v>
      </c>
      <c r="C12" s="1">
        <v>0</v>
      </c>
      <c r="D12" s="1">
        <v>0</v>
      </c>
      <c r="E12" s="1">
        <v>0</v>
      </c>
      <c r="F12" s="1">
        <v>0</v>
      </c>
      <c r="G12" s="9">
        <f>SUM(CT_FINANCIAL)</f>
        <v>0</v>
      </c>
      <c r="I12" s="13" t="s">
        <v>20</v>
      </c>
      <c r="J12" s="16"/>
      <c r="L12" s="6"/>
      <c r="V12" s="9"/>
    </row>
    <row r="13" spans="1:22">
      <c r="A13" s="1" t="s">
        <v>21</v>
      </c>
      <c r="B13" s="6">
        <v>0</v>
      </c>
      <c r="C13" s="1">
        <v>0</v>
      </c>
      <c r="D13" s="1">
        <v>1.1015711126915664</v>
      </c>
      <c r="E13" s="1">
        <v>0</v>
      </c>
      <c r="F13" s="1">
        <v>0</v>
      </c>
      <c r="G13" s="9">
        <f>SUM(DE_FINANCIAL)</f>
        <v>1.1015711126915664</v>
      </c>
      <c r="I13" s="13" t="s">
        <v>22</v>
      </c>
      <c r="J13" s="16">
        <v>0</v>
      </c>
      <c r="L13" s="6"/>
      <c r="V13" s="9"/>
    </row>
    <row r="14" spans="1:22">
      <c r="A14" s="1" t="s">
        <v>23</v>
      </c>
      <c r="B14" s="6">
        <v>0</v>
      </c>
      <c r="C14" s="1">
        <v>0</v>
      </c>
      <c r="D14" s="1">
        <v>0</v>
      </c>
      <c r="E14" s="1">
        <v>0</v>
      </c>
      <c r="F14" s="1">
        <v>0</v>
      </c>
      <c r="G14" s="9">
        <f>SUM(DC_FINANCIAL)</f>
        <v>0</v>
      </c>
      <c r="I14" s="13" t="s">
        <v>24</v>
      </c>
      <c r="J14" s="16">
        <v>0</v>
      </c>
      <c r="L14" s="6"/>
      <c r="V14" s="9"/>
    </row>
    <row r="15" spans="1:22">
      <c r="A15" s="1" t="s">
        <v>25</v>
      </c>
      <c r="B15" s="6">
        <v>0</v>
      </c>
      <c r="C15" s="1">
        <v>0</v>
      </c>
      <c r="D15" s="1">
        <v>2162.3840942135448</v>
      </c>
      <c r="E15" s="1">
        <v>0</v>
      </c>
      <c r="F15" s="1">
        <v>0</v>
      </c>
      <c r="G15" s="9">
        <f>SUM(FL_FINANCIAL)</f>
        <v>2162.3840942135448</v>
      </c>
      <c r="I15" s="13" t="s">
        <v>26</v>
      </c>
      <c r="J15" s="16">
        <v>18885.335155984209</v>
      </c>
      <c r="L15" s="6"/>
      <c r="V15" s="9"/>
    </row>
    <row r="16" spans="1:22">
      <c r="A16" s="1" t="s">
        <v>27</v>
      </c>
      <c r="B16" s="6">
        <v>0</v>
      </c>
      <c r="C16" s="1">
        <v>0</v>
      </c>
      <c r="D16" s="1">
        <v>524.34784964118558</v>
      </c>
      <c r="E16" s="1">
        <v>0</v>
      </c>
      <c r="F16" s="1">
        <v>0</v>
      </c>
      <c r="G16" s="9">
        <f>SUM(GA_FINANCIAL)</f>
        <v>524.34784964118558</v>
      </c>
      <c r="I16" s="13" t="s">
        <v>28</v>
      </c>
      <c r="J16" s="16">
        <v>0</v>
      </c>
      <c r="L16" s="6"/>
      <c r="V16" s="9"/>
    </row>
    <row r="17" spans="1:22">
      <c r="A17" s="1" t="s">
        <v>29</v>
      </c>
      <c r="B17" s="6">
        <v>0</v>
      </c>
      <c r="C17" s="1">
        <v>0</v>
      </c>
      <c r="D17" s="1">
        <v>0</v>
      </c>
      <c r="E17" s="1">
        <v>0</v>
      </c>
      <c r="F17" s="1">
        <v>0</v>
      </c>
      <c r="G17" s="9">
        <f>SUM(HI_FINANCIAL)</f>
        <v>0</v>
      </c>
      <c r="I17" s="13"/>
      <c r="J17" s="16"/>
      <c r="L17" s="6"/>
      <c r="V17" s="9"/>
    </row>
    <row r="18" spans="1:22">
      <c r="A18" s="1" t="s">
        <v>30</v>
      </c>
      <c r="B18" s="6">
        <v>0</v>
      </c>
      <c r="C18" s="1">
        <v>0</v>
      </c>
      <c r="D18" s="1">
        <v>7.710997788840964</v>
      </c>
      <c r="E18" s="1">
        <v>0</v>
      </c>
      <c r="F18" s="1">
        <v>0</v>
      </c>
      <c r="G18" s="9">
        <f>SUM(ID_FINANCIAL)</f>
        <v>7.710997788840964</v>
      </c>
      <c r="I18" s="13" t="s">
        <v>31</v>
      </c>
      <c r="J18" s="16"/>
      <c r="L18" s="6"/>
      <c r="V18" s="9"/>
    </row>
    <row r="19" spans="1:22">
      <c r="A19" s="1" t="s">
        <v>32</v>
      </c>
      <c r="B19" s="6">
        <v>0</v>
      </c>
      <c r="C19" s="1">
        <v>0</v>
      </c>
      <c r="D19" s="1">
        <v>918.71030798476613</v>
      </c>
      <c r="E19" s="1">
        <v>0</v>
      </c>
      <c r="F19" s="1">
        <v>0</v>
      </c>
      <c r="G19" s="9">
        <f>SUM(IL_FINANCIAL)</f>
        <v>918.71030798476613</v>
      </c>
      <c r="I19" s="13" t="s">
        <v>33</v>
      </c>
      <c r="J19" s="16">
        <v>0</v>
      </c>
      <c r="L19" s="6"/>
      <c r="V19" s="9"/>
    </row>
    <row r="20" spans="1:22">
      <c r="A20" s="1" t="s">
        <v>34</v>
      </c>
      <c r="B20" s="6">
        <v>0</v>
      </c>
      <c r="C20" s="1">
        <v>0</v>
      </c>
      <c r="D20" s="1">
        <v>810.7563389409928</v>
      </c>
      <c r="E20" s="1">
        <v>0</v>
      </c>
      <c r="F20" s="1">
        <v>0</v>
      </c>
      <c r="G20" s="9">
        <f>SUM(IN_FINANCIAL)</f>
        <v>810.7563389409928</v>
      </c>
      <c r="I20" s="13" t="s">
        <v>35</v>
      </c>
      <c r="J20" s="16">
        <v>0</v>
      </c>
      <c r="L20" s="6"/>
      <c r="V20" s="9"/>
    </row>
    <row r="21" spans="1:22">
      <c r="A21" s="1" t="s">
        <v>36</v>
      </c>
      <c r="B21" s="6">
        <v>0</v>
      </c>
      <c r="C21" s="1">
        <v>0</v>
      </c>
      <c r="D21" s="1">
        <v>0</v>
      </c>
      <c r="E21" s="1">
        <v>0</v>
      </c>
      <c r="F21" s="1">
        <v>0</v>
      </c>
      <c r="G21" s="9">
        <f>SUM(IA_FINANCIAL)</f>
        <v>0</v>
      </c>
      <c r="I21" s="13" t="s">
        <v>37</v>
      </c>
      <c r="J21" s="16"/>
      <c r="L21" s="6"/>
      <c r="V21" s="9"/>
    </row>
    <row r="22" spans="1:22">
      <c r="A22" s="1" t="s">
        <v>38</v>
      </c>
      <c r="B22" s="6">
        <v>0</v>
      </c>
      <c r="C22" s="1">
        <v>0</v>
      </c>
      <c r="D22" s="1">
        <v>439.52687396393497</v>
      </c>
      <c r="E22" s="1">
        <v>0</v>
      </c>
      <c r="F22" s="1">
        <v>0</v>
      </c>
      <c r="G22" s="9">
        <f>SUM(KS_FINANCIAL)</f>
        <v>439.52687396393497</v>
      </c>
      <c r="I22" s="13" t="s">
        <v>39</v>
      </c>
      <c r="J22" s="16">
        <v>0</v>
      </c>
      <c r="L22" s="6"/>
      <c r="V22" s="9"/>
    </row>
    <row r="23" spans="1:22">
      <c r="A23" s="1" t="s">
        <v>40</v>
      </c>
      <c r="B23" s="6">
        <v>0</v>
      </c>
      <c r="C23" s="1">
        <v>0</v>
      </c>
      <c r="D23" s="1">
        <v>912.10088130861686</v>
      </c>
      <c r="E23" s="1">
        <v>0</v>
      </c>
      <c r="F23" s="1">
        <v>0</v>
      </c>
      <c r="G23" s="9">
        <f>SUM(KY_FINANCIAL)</f>
        <v>912.10088130861686</v>
      </c>
      <c r="I23" s="13" t="s">
        <v>41</v>
      </c>
      <c r="J23" s="16"/>
      <c r="L23" s="6"/>
      <c r="V23" s="9"/>
    </row>
    <row r="24" spans="1:22">
      <c r="A24" s="1" t="s">
        <v>42</v>
      </c>
      <c r="B24" s="6">
        <v>0</v>
      </c>
      <c r="C24" s="1">
        <v>0</v>
      </c>
      <c r="D24" s="1">
        <v>0</v>
      </c>
      <c r="E24" s="1">
        <v>0</v>
      </c>
      <c r="F24" s="1">
        <v>0</v>
      </c>
      <c r="G24" s="9">
        <f>SUM(LA_FINANCIAL)</f>
        <v>0</v>
      </c>
      <c r="I24" s="13" t="s">
        <v>43</v>
      </c>
      <c r="J24" s="16">
        <v>0</v>
      </c>
      <c r="L24" s="6"/>
      <c r="V24" s="9"/>
    </row>
    <row r="25" spans="1:22">
      <c r="A25" s="1" t="s">
        <v>44</v>
      </c>
      <c r="B25" s="6">
        <v>0</v>
      </c>
      <c r="C25" s="1">
        <v>0</v>
      </c>
      <c r="D25" s="1">
        <v>0</v>
      </c>
      <c r="E25" s="1">
        <v>0</v>
      </c>
      <c r="F25" s="1">
        <v>0</v>
      </c>
      <c r="G25" s="9">
        <f>SUM(ME_FINANCIAL)</f>
        <v>0</v>
      </c>
      <c r="I25" s="13"/>
      <c r="J25" s="16"/>
      <c r="L25" s="6"/>
      <c r="V25" s="9"/>
    </row>
    <row r="26" spans="1:22">
      <c r="A26" s="1" t="s">
        <v>45</v>
      </c>
      <c r="B26" s="6">
        <v>0</v>
      </c>
      <c r="C26" s="1">
        <v>0</v>
      </c>
      <c r="D26" s="1">
        <v>37.453417831513249</v>
      </c>
      <c r="E26" s="1">
        <v>0</v>
      </c>
      <c r="F26" s="1">
        <v>0</v>
      </c>
      <c r="G26" s="9">
        <f>SUM(MD_FINANCIAL)</f>
        <v>37.453417831513249</v>
      </c>
      <c r="I26" s="13" t="s">
        <v>46</v>
      </c>
      <c r="J26" s="16">
        <f>SUM(ADD_FINANCIAL)-SUM(LESS_FINANCIAL)</f>
        <v>18885.335155984209</v>
      </c>
      <c r="L26" s="6"/>
      <c r="V26" s="9"/>
    </row>
    <row r="27" spans="1:22">
      <c r="A27" s="1" t="s">
        <v>47</v>
      </c>
      <c r="B27" s="6">
        <v>0</v>
      </c>
      <c r="C27" s="1">
        <v>0</v>
      </c>
      <c r="D27" s="1">
        <v>0</v>
      </c>
      <c r="E27" s="1">
        <v>0</v>
      </c>
      <c r="F27" s="1">
        <v>0</v>
      </c>
      <c r="G27" s="9">
        <f>SUM(MA_FINANCIAL)</f>
        <v>0</v>
      </c>
      <c r="I27" s="13" t="s">
        <v>48</v>
      </c>
      <c r="J27" s="16">
        <f>SUM(ALL_BLOCKS)</f>
        <v>18885.335155984209</v>
      </c>
      <c r="L27" s="6"/>
      <c r="V27" s="9"/>
    </row>
    <row r="28" spans="1:22">
      <c r="A28" s="1" t="s">
        <v>49</v>
      </c>
      <c r="B28" s="6">
        <v>0</v>
      </c>
      <c r="C28" s="1">
        <v>0</v>
      </c>
      <c r="D28" s="1">
        <v>0</v>
      </c>
      <c r="E28" s="1">
        <v>0</v>
      </c>
      <c r="F28" s="1">
        <v>0</v>
      </c>
      <c r="G28" s="9">
        <f>SUM(MI_FINANCIAL)</f>
        <v>0</v>
      </c>
      <c r="I28" s="14"/>
      <c r="J28" s="17"/>
      <c r="L28" s="6"/>
      <c r="V28" s="9"/>
    </row>
    <row r="29" spans="1:22">
      <c r="A29" s="1" t="s">
        <v>50</v>
      </c>
      <c r="B29" s="6">
        <v>0</v>
      </c>
      <c r="C29" s="1">
        <v>0</v>
      </c>
      <c r="D29" s="1">
        <v>0</v>
      </c>
      <c r="E29" s="1">
        <v>0</v>
      </c>
      <c r="F29" s="1">
        <v>0</v>
      </c>
      <c r="G29" s="9">
        <f>SUM(MN_FINANCIAL)</f>
        <v>0</v>
      </c>
      <c r="L29" s="6"/>
      <c r="V29" s="9"/>
    </row>
    <row r="30" spans="1:22">
      <c r="A30" s="1" t="s">
        <v>51</v>
      </c>
      <c r="B30" s="6">
        <v>0</v>
      </c>
      <c r="C30" s="1">
        <v>0</v>
      </c>
      <c r="D30" s="1">
        <v>0</v>
      </c>
      <c r="E30" s="1">
        <v>0</v>
      </c>
      <c r="F30" s="1">
        <v>0</v>
      </c>
      <c r="G30" s="9">
        <f>SUM(MS_FINANCIAL)</f>
        <v>0</v>
      </c>
      <c r="L30" s="6"/>
      <c r="V30" s="9"/>
    </row>
    <row r="31" spans="1:22">
      <c r="A31" s="1" t="s">
        <v>52</v>
      </c>
      <c r="B31" s="6">
        <v>0</v>
      </c>
      <c r="C31" s="1">
        <v>0</v>
      </c>
      <c r="D31" s="1">
        <v>1164.3606661149856</v>
      </c>
      <c r="E31" s="1">
        <v>0</v>
      </c>
      <c r="F31" s="1">
        <v>0</v>
      </c>
      <c r="G31" s="9">
        <f>SUM(MO_FINANCIAL)</f>
        <v>1164.3606661149856</v>
      </c>
      <c r="L31" s="6"/>
      <c r="V31" s="9"/>
    </row>
    <row r="32" spans="1:22">
      <c r="A32" s="1" t="s">
        <v>53</v>
      </c>
      <c r="B32" s="6">
        <v>0</v>
      </c>
      <c r="C32" s="1">
        <v>0</v>
      </c>
      <c r="D32" s="1">
        <v>305.13519821556383</v>
      </c>
      <c r="E32" s="1">
        <v>0</v>
      </c>
      <c r="F32" s="1">
        <v>0</v>
      </c>
      <c r="G32" s="9">
        <f>SUM(MT_FINANCIAL)</f>
        <v>305.13519821556383</v>
      </c>
      <c r="L32" s="6"/>
      <c r="V32" s="9"/>
    </row>
    <row r="33" spans="1:22">
      <c r="A33" s="1" t="s">
        <v>54</v>
      </c>
      <c r="B33" s="6">
        <v>0</v>
      </c>
      <c r="C33" s="1">
        <v>0</v>
      </c>
      <c r="D33" s="1">
        <v>869.13960791364582</v>
      </c>
      <c r="E33" s="1">
        <v>0</v>
      </c>
      <c r="F33" s="1">
        <v>0</v>
      </c>
      <c r="G33" s="9">
        <f>SUM(NE_FINANCIAL)</f>
        <v>869.13960791364582</v>
      </c>
      <c r="L33" s="6"/>
      <c r="V33" s="9"/>
    </row>
    <row r="34" spans="1:22">
      <c r="A34" s="1" t="s">
        <v>55</v>
      </c>
      <c r="B34" s="6">
        <v>0</v>
      </c>
      <c r="C34" s="1">
        <v>0</v>
      </c>
      <c r="D34" s="1">
        <v>45.16441562035422</v>
      </c>
      <c r="E34" s="1">
        <v>0</v>
      </c>
      <c r="F34" s="1">
        <v>0</v>
      </c>
      <c r="G34" s="9">
        <f>SUM(NV_FINANCIAL)</f>
        <v>45.16441562035422</v>
      </c>
      <c r="L34" s="6"/>
      <c r="V34" s="9"/>
    </row>
    <row r="35" spans="1:22">
      <c r="A35" s="1" t="s">
        <v>56</v>
      </c>
      <c r="B35" s="6">
        <v>0</v>
      </c>
      <c r="C35" s="1">
        <v>0</v>
      </c>
      <c r="D35" s="1">
        <v>0</v>
      </c>
      <c r="E35" s="1">
        <v>0</v>
      </c>
      <c r="F35" s="1">
        <v>0</v>
      </c>
      <c r="G35" s="9">
        <f>SUM(NH_FINANCIAL)</f>
        <v>0</v>
      </c>
      <c r="L35" s="6"/>
      <c r="V35" s="9"/>
    </row>
    <row r="36" spans="1:22">
      <c r="A36" s="1" t="s">
        <v>57</v>
      </c>
      <c r="B36" s="6">
        <v>0</v>
      </c>
      <c r="C36" s="1">
        <v>0</v>
      </c>
      <c r="D36" s="1">
        <v>0</v>
      </c>
      <c r="E36" s="1">
        <v>0</v>
      </c>
      <c r="F36" s="1">
        <v>0</v>
      </c>
      <c r="G36" s="9">
        <f>SUM(NJ_FINANCIAL)</f>
        <v>0</v>
      </c>
      <c r="L36" s="6"/>
      <c r="V36" s="9"/>
    </row>
    <row r="37" spans="1:22">
      <c r="A37" s="1" t="s">
        <v>58</v>
      </c>
      <c r="B37" s="6">
        <v>0</v>
      </c>
      <c r="C37" s="1">
        <v>0</v>
      </c>
      <c r="D37" s="1">
        <v>0</v>
      </c>
      <c r="E37" s="1">
        <v>0</v>
      </c>
      <c r="F37" s="1">
        <v>0</v>
      </c>
      <c r="G37" s="9">
        <f>SUM(NM_FINANCIAL)</f>
        <v>0</v>
      </c>
      <c r="L37" s="6"/>
      <c r="V37" s="9"/>
    </row>
    <row r="38" spans="1:22">
      <c r="A38" s="1" t="s">
        <v>59</v>
      </c>
      <c r="B38" s="6">
        <v>0</v>
      </c>
      <c r="C38" s="1">
        <v>0</v>
      </c>
      <c r="D38" s="1">
        <v>0</v>
      </c>
      <c r="E38" s="1">
        <v>0</v>
      </c>
      <c r="F38" s="1">
        <v>0</v>
      </c>
      <c r="G38" s="9">
        <f>SUM(NY_FINANCIAL)</f>
        <v>0</v>
      </c>
      <c r="L38" s="6"/>
      <c r="V38" s="9"/>
    </row>
    <row r="39" spans="1:22">
      <c r="A39" s="1" t="s">
        <v>60</v>
      </c>
      <c r="B39" s="6">
        <v>0</v>
      </c>
      <c r="C39" s="1">
        <v>0</v>
      </c>
      <c r="D39" s="1">
        <v>0</v>
      </c>
      <c r="E39" s="1">
        <v>0</v>
      </c>
      <c r="F39" s="1">
        <v>0</v>
      </c>
      <c r="G39" s="9">
        <f>SUM(NC_FINANCIAL)</f>
        <v>0</v>
      </c>
      <c r="L39" s="6"/>
      <c r="V39" s="9"/>
    </row>
    <row r="40" spans="1:22">
      <c r="A40" s="1" t="s">
        <v>61</v>
      </c>
      <c r="B40" s="6">
        <v>0</v>
      </c>
      <c r="C40" s="1">
        <v>0</v>
      </c>
      <c r="D40" s="1">
        <v>663.14580984032284</v>
      </c>
      <c r="E40" s="1">
        <v>0</v>
      </c>
      <c r="F40" s="1">
        <v>0</v>
      </c>
      <c r="G40" s="9">
        <f>SUM(ND_FINANCIAL)</f>
        <v>663.14580984032284</v>
      </c>
      <c r="L40" s="6"/>
      <c r="V40" s="9"/>
    </row>
    <row r="41" spans="1:22">
      <c r="A41" s="1" t="s">
        <v>62</v>
      </c>
      <c r="B41" s="6">
        <v>0</v>
      </c>
      <c r="C41" s="1">
        <v>0</v>
      </c>
      <c r="D41" s="1">
        <v>1667.7786646150312</v>
      </c>
      <c r="E41" s="1">
        <v>0</v>
      </c>
      <c r="F41" s="1">
        <v>0</v>
      </c>
      <c r="G41" s="9">
        <f>SUM(OH_FINANCIAL)</f>
        <v>1667.7786646150312</v>
      </c>
      <c r="L41" s="6"/>
      <c r="V41" s="9"/>
    </row>
    <row r="42" spans="1:22">
      <c r="A42" s="1" t="s">
        <v>63</v>
      </c>
      <c r="B42" s="6">
        <v>0</v>
      </c>
      <c r="C42" s="1">
        <v>0</v>
      </c>
      <c r="D42" s="1">
        <v>407.58131169587955</v>
      </c>
      <c r="E42" s="1">
        <v>0</v>
      </c>
      <c r="F42" s="1">
        <v>0</v>
      </c>
      <c r="G42" s="9">
        <f>SUM(OK_FINANCIAL)</f>
        <v>407.58131169587955</v>
      </c>
      <c r="L42" s="6"/>
      <c r="V42" s="9"/>
    </row>
    <row r="43" spans="1:22">
      <c r="A43" s="1" t="s">
        <v>64</v>
      </c>
      <c r="B43" s="6">
        <v>0</v>
      </c>
      <c r="C43" s="1">
        <v>0</v>
      </c>
      <c r="D43" s="1">
        <v>82.617833451867455</v>
      </c>
      <c r="E43" s="1">
        <v>0</v>
      </c>
      <c r="F43" s="1">
        <v>0</v>
      </c>
      <c r="G43" s="9">
        <f>SUM(OR_FINANCIAL)</f>
        <v>82.617833451867455</v>
      </c>
      <c r="L43" s="6"/>
      <c r="V43" s="9"/>
    </row>
    <row r="44" spans="1:22">
      <c r="A44" s="1" t="s">
        <v>65</v>
      </c>
      <c r="B44" s="6">
        <v>0</v>
      </c>
      <c r="C44" s="1">
        <v>0</v>
      </c>
      <c r="D44" s="1">
        <v>3580.1061162475899</v>
      </c>
      <c r="E44" s="1">
        <v>0</v>
      </c>
      <c r="F44" s="1">
        <v>0</v>
      </c>
      <c r="G44" s="9">
        <f>SUM(PA_FINANCIAL)</f>
        <v>3580.1061162475899</v>
      </c>
      <c r="L44" s="6"/>
      <c r="V44" s="9"/>
    </row>
    <row r="45" spans="1:22">
      <c r="A45" s="1" t="s">
        <v>66</v>
      </c>
      <c r="B45" s="6">
        <v>0</v>
      </c>
      <c r="C45" s="1">
        <v>0</v>
      </c>
      <c r="D45" s="1">
        <v>0</v>
      </c>
      <c r="E45" s="1">
        <v>0</v>
      </c>
      <c r="F45" s="1">
        <v>0</v>
      </c>
      <c r="G45" s="9">
        <f>SUM(PR_FINANCIAL)</f>
        <v>0</v>
      </c>
      <c r="L45" s="6"/>
      <c r="V45" s="9"/>
    </row>
    <row r="46" spans="1:22">
      <c r="A46" s="1" t="s">
        <v>67</v>
      </c>
      <c r="B46" s="6">
        <v>0</v>
      </c>
      <c r="C46" s="1">
        <v>0</v>
      </c>
      <c r="D46" s="1">
        <v>0</v>
      </c>
      <c r="E46" s="1">
        <v>0</v>
      </c>
      <c r="F46" s="1">
        <v>0</v>
      </c>
      <c r="G46" s="9">
        <f>SUM(RI_FINANCIAL)</f>
        <v>0</v>
      </c>
      <c r="L46" s="6"/>
      <c r="V46" s="9"/>
    </row>
    <row r="47" spans="1:22">
      <c r="A47" s="1" t="s">
        <v>68</v>
      </c>
      <c r="B47" s="6">
        <v>0</v>
      </c>
      <c r="C47" s="1">
        <v>0</v>
      </c>
      <c r="D47" s="1">
        <v>255.56449814444335</v>
      </c>
      <c r="E47" s="1">
        <v>0</v>
      </c>
      <c r="F47" s="1">
        <v>0</v>
      </c>
      <c r="G47" s="9">
        <f>SUM(SC_FINANCIAL)</f>
        <v>255.56449814444335</v>
      </c>
      <c r="L47" s="6"/>
      <c r="V47" s="9"/>
    </row>
    <row r="48" spans="1:22">
      <c r="A48" s="1" t="s">
        <v>69</v>
      </c>
      <c r="B48" s="6">
        <v>0</v>
      </c>
      <c r="C48" s="1">
        <v>0</v>
      </c>
      <c r="D48" s="1">
        <v>174.04823580526747</v>
      </c>
      <c r="E48" s="1">
        <v>0</v>
      </c>
      <c r="F48" s="1">
        <v>0</v>
      </c>
      <c r="G48" s="9">
        <f>SUM(SD_FINANCIAL)</f>
        <v>174.04823580526747</v>
      </c>
      <c r="L48" s="6"/>
      <c r="V48" s="9"/>
    </row>
    <row r="49" spans="1:22">
      <c r="A49" s="1" t="s">
        <v>70</v>
      </c>
      <c r="B49" s="6">
        <v>0</v>
      </c>
      <c r="C49" s="1">
        <v>0</v>
      </c>
      <c r="D49" s="1">
        <v>814.06105227906755</v>
      </c>
      <c r="E49" s="1">
        <v>0</v>
      </c>
      <c r="F49" s="1">
        <v>0</v>
      </c>
      <c r="G49" s="9">
        <f>SUM(TN_FINANCIAL)</f>
        <v>814.06105227906755</v>
      </c>
      <c r="L49" s="6"/>
      <c r="V49" s="9"/>
    </row>
    <row r="50" spans="1:22">
      <c r="A50" s="1" t="s">
        <v>71</v>
      </c>
      <c r="B50" s="6">
        <v>0</v>
      </c>
      <c r="C50" s="1">
        <v>0</v>
      </c>
      <c r="D50" s="1">
        <v>2499.4648546971639</v>
      </c>
      <c r="E50" s="1">
        <v>0</v>
      </c>
      <c r="F50" s="1">
        <v>0</v>
      </c>
      <c r="G50" s="9">
        <f>SUM(TX_FINANCIAL)</f>
        <v>2499.4648546971639</v>
      </c>
      <c r="L50" s="6"/>
      <c r="V50" s="9"/>
    </row>
    <row r="51" spans="1:22">
      <c r="A51" s="1" t="s">
        <v>72</v>
      </c>
      <c r="B51" s="6">
        <v>0</v>
      </c>
      <c r="C51" s="1">
        <v>0</v>
      </c>
      <c r="D51" s="1">
        <v>49.570700071120484</v>
      </c>
      <c r="E51" s="1">
        <v>0</v>
      </c>
      <c r="F51" s="1">
        <v>0</v>
      </c>
      <c r="G51" s="9">
        <f>SUM(UT_FINANCIAL)</f>
        <v>49.570700071120484</v>
      </c>
      <c r="L51" s="6"/>
      <c r="V51" s="9"/>
    </row>
    <row r="52" spans="1:22">
      <c r="A52" s="1" t="s">
        <v>73</v>
      </c>
      <c r="B52" s="6">
        <v>0</v>
      </c>
      <c r="C52" s="1">
        <v>0</v>
      </c>
      <c r="D52" s="1">
        <v>0</v>
      </c>
      <c r="E52" s="1">
        <v>0</v>
      </c>
      <c r="F52" s="1">
        <v>0</v>
      </c>
      <c r="G52" s="9">
        <f>SUM(VT_FINANCIAL)</f>
        <v>0</v>
      </c>
      <c r="L52" s="6"/>
      <c r="V52" s="9"/>
    </row>
    <row r="53" spans="1:22">
      <c r="A53" s="1" t="s">
        <v>74</v>
      </c>
      <c r="B53" s="6">
        <v>0</v>
      </c>
      <c r="C53" s="1">
        <v>0</v>
      </c>
      <c r="D53" s="1">
        <v>396.56560056896387</v>
      </c>
      <c r="E53" s="1">
        <v>0</v>
      </c>
      <c r="F53" s="1">
        <v>0</v>
      </c>
      <c r="G53" s="9">
        <f>SUM(VA_FINANCIAL)</f>
        <v>396.56560056896387</v>
      </c>
      <c r="L53" s="6"/>
      <c r="V53" s="9"/>
    </row>
    <row r="54" spans="1:22">
      <c r="A54" s="1" t="s">
        <v>75</v>
      </c>
      <c r="B54" s="6">
        <v>0</v>
      </c>
      <c r="C54" s="1">
        <v>0</v>
      </c>
      <c r="D54" s="1">
        <v>0</v>
      </c>
      <c r="E54" s="1">
        <v>0</v>
      </c>
      <c r="F54" s="1">
        <v>0</v>
      </c>
      <c r="G54" s="9">
        <f>SUM(WA_FINANCIAL)</f>
        <v>0</v>
      </c>
      <c r="L54" s="6"/>
      <c r="V54" s="9"/>
    </row>
    <row r="55" spans="1:22">
      <c r="A55" s="1" t="s">
        <v>76</v>
      </c>
      <c r="B55" s="6">
        <v>0</v>
      </c>
      <c r="C55" s="1">
        <v>0</v>
      </c>
      <c r="D55" s="1">
        <v>15.421995577681928</v>
      </c>
      <c r="E55" s="1">
        <v>0</v>
      </c>
      <c r="F55" s="1">
        <v>0</v>
      </c>
      <c r="G55" s="9">
        <f>SUM(WV_FINANCIAL)</f>
        <v>15.421995577681928</v>
      </c>
      <c r="L55" s="6"/>
      <c r="V55" s="9"/>
    </row>
    <row r="56" spans="1:22">
      <c r="A56" s="1" t="s">
        <v>77</v>
      </c>
      <c r="B56" s="6">
        <v>0</v>
      </c>
      <c r="C56" s="1">
        <v>0</v>
      </c>
      <c r="D56" s="1">
        <v>0</v>
      </c>
      <c r="E56" s="1">
        <v>0</v>
      </c>
      <c r="F56" s="1">
        <v>0</v>
      </c>
      <c r="G56" s="9">
        <f>SUM(WI_FINANCIAL)</f>
        <v>0</v>
      </c>
      <c r="L56" s="6"/>
      <c r="V56" s="9"/>
    </row>
    <row r="57" spans="1:22">
      <c r="A57" s="1" t="s">
        <v>78</v>
      </c>
      <c r="B57" s="6">
        <v>0</v>
      </c>
      <c r="C57" s="1">
        <v>0</v>
      </c>
      <c r="D57" s="1">
        <v>16.523566690373496</v>
      </c>
      <c r="E57" s="1">
        <v>0</v>
      </c>
      <c r="F57" s="1">
        <v>0</v>
      </c>
      <c r="G57" s="9">
        <f>SUM(WY_FINANCIAL)</f>
        <v>16.523566690373496</v>
      </c>
      <c r="L57" s="6"/>
      <c r="V57" s="9"/>
    </row>
    <row r="58" spans="1:22">
      <c r="A58" s="1" t="s">
        <v>79</v>
      </c>
      <c r="B58" s="6">
        <v>0</v>
      </c>
      <c r="C58" s="1">
        <v>0</v>
      </c>
      <c r="D58" s="1">
        <v>0</v>
      </c>
      <c r="E58" s="1">
        <v>0</v>
      </c>
      <c r="F58" s="1">
        <v>0</v>
      </c>
      <c r="G58" s="9">
        <f>SUM(OT_FINANCIAL)</f>
        <v>0</v>
      </c>
      <c r="L58" s="6"/>
      <c r="V58" s="9"/>
    </row>
    <row r="59" spans="1:22">
      <c r="B59" s="6"/>
      <c r="G59" s="9"/>
      <c r="L59" s="6"/>
      <c r="V59" s="9"/>
    </row>
    <row r="60" spans="1:22">
      <c r="A60" s="1" t="s">
        <v>8</v>
      </c>
      <c r="B60" s="6">
        <f>SUM(LIFE)</f>
        <v>0</v>
      </c>
      <c r="C60" s="1">
        <f>SUM(ALLOCATED)</f>
        <v>0</v>
      </c>
      <c r="D60" s="1">
        <f>SUM(HEALTH)</f>
        <v>18885.335155984209</v>
      </c>
      <c r="E60" s="1">
        <f>SUM(UNALLOCATED)</f>
        <v>0</v>
      </c>
      <c r="F60" s="1">
        <f>SUM(LTC)</f>
        <v>0</v>
      </c>
      <c r="G60" s="9">
        <f>SUM(ALL_BLOCKS)</f>
        <v>18885.335155984209</v>
      </c>
      <c r="L60" s="6">
        <f>SUM(LIFE_CALLED)</f>
        <v>0</v>
      </c>
      <c r="M60" s="1">
        <f>SUM(LIFE_REFUNDED)</f>
        <v>0</v>
      </c>
      <c r="O60" s="1">
        <f>SUM(ALLOC_CALLED)</f>
        <v>0</v>
      </c>
      <c r="P60" s="1">
        <f>SUM(ALLOC_REFUNDED)</f>
        <v>0</v>
      </c>
      <c r="R60" s="1">
        <f>SUM(HEALTH_CALLED)</f>
        <v>0</v>
      </c>
      <c r="S60" s="1">
        <f>SUM(HEALTH_REFUNDED)</f>
        <v>0</v>
      </c>
      <c r="U60" s="1">
        <f>SUM(UNALLOC_CALLED)</f>
        <v>0</v>
      </c>
      <c r="V60" s="9">
        <f>SUM(UNALLOC_REFUNDED)</f>
        <v>0</v>
      </c>
    </row>
    <row r="61" spans="1:22" ht="5.0999999999999996" customHeight="1">
      <c r="B61" s="6"/>
      <c r="G61" s="9"/>
      <c r="L61" s="6"/>
      <c r="V61" s="9"/>
    </row>
    <row r="62" spans="1:22">
      <c r="B62" s="6"/>
      <c r="G62" s="9"/>
      <c r="L62" s="78" t="s">
        <v>80</v>
      </c>
      <c r="M62" s="79"/>
      <c r="N62" s="79"/>
      <c r="O62" s="79"/>
      <c r="P62" s="79"/>
      <c r="Q62" s="79"/>
      <c r="R62" s="79"/>
      <c r="S62" s="79"/>
      <c r="T62" s="79"/>
      <c r="U62" s="79"/>
      <c r="V62" s="80"/>
    </row>
    <row r="63" spans="1:22">
      <c r="B63" s="6"/>
      <c r="G63" s="9"/>
      <c r="L63" s="81"/>
      <c r="M63" s="79"/>
      <c r="N63" s="79"/>
      <c r="O63" s="79"/>
      <c r="P63" s="79"/>
      <c r="Q63" s="79"/>
      <c r="R63" s="79"/>
      <c r="S63" s="79"/>
      <c r="T63" s="79"/>
      <c r="U63" s="79"/>
      <c r="V63" s="80"/>
    </row>
    <row r="64" spans="1:22">
      <c r="B64" s="8"/>
      <c r="C64" s="5"/>
      <c r="D64" s="5"/>
      <c r="E64" s="5"/>
      <c r="F64" s="5"/>
      <c r="G64" s="11"/>
      <c r="L64" s="82"/>
      <c r="M64" s="83"/>
      <c r="N64" s="83"/>
      <c r="O64" s="83"/>
      <c r="P64" s="83"/>
      <c r="Q64" s="83"/>
      <c r="R64" s="83"/>
      <c r="S64" s="83"/>
      <c r="T64" s="83"/>
      <c r="U64" s="83"/>
      <c r="V64" s="84"/>
    </row>
  </sheetData>
  <mergeCells count="8">
    <mergeCell ref="L62:V64"/>
    <mergeCell ref="A1:G1"/>
    <mergeCell ref="B3:G3"/>
    <mergeCell ref="L3:V3"/>
    <mergeCell ref="L4:M4"/>
    <mergeCell ref="O4:P4"/>
    <mergeCell ref="R4:S4"/>
    <mergeCell ref="U4:V4"/>
  </mergeCells>
  <pageMargins left="0" right="0" top="0" bottom="0" header="0" footer="0"/>
  <pageSetup scale="48"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V64"/>
  <sheetViews>
    <sheetView zoomScale="75" workbookViewId="0">
      <selection sqref="A1:G1"/>
    </sheetView>
  </sheetViews>
  <sheetFormatPr defaultColWidth="9.109375" defaultRowHeight="14.4"/>
  <cols>
    <col min="1" max="1" width="20" style="1" customWidth="1"/>
    <col min="2" max="7" width="15" style="1" customWidth="1"/>
    <col min="8" max="8" width="1" style="1" customWidth="1"/>
    <col min="9" max="9" width="30" style="1" customWidth="1"/>
    <col min="10" max="10" width="15" style="1" customWidth="1"/>
    <col min="11" max="11" width="1" style="1" customWidth="1"/>
    <col min="12" max="13" width="15" style="1" customWidth="1"/>
    <col min="14" max="14" width="1" style="1" customWidth="1"/>
    <col min="15" max="16" width="15" style="1" customWidth="1"/>
    <col min="17" max="17" width="1" style="1" customWidth="1"/>
    <col min="18" max="19" width="15" style="1" customWidth="1"/>
    <col min="20" max="20" width="1" style="1" customWidth="1"/>
    <col min="21" max="22" width="15" style="1" customWidth="1"/>
    <col min="23" max="23" width="9.109375" style="1" customWidth="1"/>
    <col min="24" max="16384" width="9.109375" style="1"/>
  </cols>
  <sheetData>
    <row r="1" spans="1:22">
      <c r="A1" s="85" t="s">
        <v>89</v>
      </c>
      <c r="B1" s="79"/>
      <c r="C1" s="79"/>
      <c r="D1" s="79"/>
      <c r="E1" s="79"/>
      <c r="F1" s="79"/>
      <c r="G1" s="79"/>
    </row>
    <row r="3" spans="1:22">
      <c r="B3" s="86" t="s">
        <v>1</v>
      </c>
      <c r="C3" s="87"/>
      <c r="D3" s="87"/>
      <c r="E3" s="87"/>
      <c r="F3" s="87"/>
      <c r="G3" s="88"/>
      <c r="L3" s="89" t="s">
        <v>2</v>
      </c>
      <c r="M3" s="90"/>
      <c r="N3" s="90"/>
      <c r="O3" s="90"/>
      <c r="P3" s="90"/>
      <c r="Q3" s="90"/>
      <c r="R3" s="90"/>
      <c r="S3" s="90"/>
      <c r="T3" s="90"/>
      <c r="U3" s="90"/>
      <c r="V3" s="91"/>
    </row>
    <row r="4" spans="1:22">
      <c r="B4" s="6"/>
      <c r="G4" s="9"/>
      <c r="L4" s="92" t="s">
        <v>3</v>
      </c>
      <c r="M4" s="93"/>
      <c r="N4" s="3"/>
      <c r="O4" s="94" t="s">
        <v>4</v>
      </c>
      <c r="P4" s="93"/>
      <c r="Q4" s="3"/>
      <c r="R4" s="94" t="s">
        <v>5</v>
      </c>
      <c r="S4" s="93"/>
      <c r="T4" s="3"/>
      <c r="U4" s="94" t="s">
        <v>6</v>
      </c>
      <c r="V4" s="95"/>
    </row>
    <row r="5" spans="1:22" ht="60" customHeight="1">
      <c r="B5" s="7" t="s">
        <v>3</v>
      </c>
      <c r="C5" s="4" t="s">
        <v>4</v>
      </c>
      <c r="D5" s="4" t="s">
        <v>5</v>
      </c>
      <c r="E5" s="4" t="s">
        <v>6</v>
      </c>
      <c r="F5" s="4" t="s">
        <v>7</v>
      </c>
      <c r="G5" s="10" t="s">
        <v>8</v>
      </c>
      <c r="L5" s="19" t="s">
        <v>9</v>
      </c>
      <c r="M5" s="18" t="s">
        <v>10</v>
      </c>
      <c r="N5" s="18"/>
      <c r="O5" s="18" t="s">
        <v>9</v>
      </c>
      <c r="P5" s="18" t="s">
        <v>10</v>
      </c>
      <c r="Q5" s="18"/>
      <c r="R5" s="18" t="s">
        <v>9</v>
      </c>
      <c r="S5" s="18" t="s">
        <v>10</v>
      </c>
      <c r="T5" s="18"/>
      <c r="U5" s="18" t="s">
        <v>9</v>
      </c>
      <c r="V5" s="20" t="s">
        <v>10</v>
      </c>
    </row>
    <row r="6" spans="1:22">
      <c r="A6" s="1" t="s">
        <v>11</v>
      </c>
      <c r="B6" s="6">
        <v>4471.5138840532927</v>
      </c>
      <c r="C6" s="1">
        <v>0</v>
      </c>
      <c r="D6" s="1">
        <v>243.11027272026081</v>
      </c>
      <c r="E6" s="1">
        <v>0</v>
      </c>
      <c r="F6" s="1">
        <v>0</v>
      </c>
      <c r="G6" s="9">
        <f>SUM(AL_FINANCIAL)</f>
        <v>4714.6241567735533</v>
      </c>
      <c r="L6" s="6"/>
      <c r="V6" s="9"/>
    </row>
    <row r="7" spans="1:22">
      <c r="A7" s="1" t="s">
        <v>12</v>
      </c>
      <c r="B7" s="6">
        <v>2453.0758684889806</v>
      </c>
      <c r="C7" s="1">
        <v>0</v>
      </c>
      <c r="D7" s="1">
        <v>5.2622292495294403</v>
      </c>
      <c r="E7" s="1">
        <v>0</v>
      </c>
      <c r="F7" s="1">
        <v>0</v>
      </c>
      <c r="G7" s="9">
        <f>SUM(AK_FINANCIAL)</f>
        <v>2458.33809773851</v>
      </c>
      <c r="I7" s="12"/>
      <c r="J7" s="15"/>
      <c r="L7" s="6">
        <v>50000</v>
      </c>
      <c r="M7" s="1">
        <v>0</v>
      </c>
      <c r="O7" s="1">
        <v>0</v>
      </c>
      <c r="P7" s="1">
        <v>0</v>
      </c>
      <c r="R7" s="1">
        <v>0</v>
      </c>
      <c r="S7" s="1">
        <v>0</v>
      </c>
      <c r="U7" s="1">
        <v>0</v>
      </c>
      <c r="V7" s="9">
        <v>0</v>
      </c>
    </row>
    <row r="8" spans="1:22">
      <c r="A8" s="1" t="s">
        <v>13</v>
      </c>
      <c r="B8" s="6">
        <v>543096.88009524858</v>
      </c>
      <c r="C8" s="1">
        <v>271614.57342739403</v>
      </c>
      <c r="D8" s="1">
        <v>16028.356391664012</v>
      </c>
      <c r="E8" s="1">
        <v>0</v>
      </c>
      <c r="F8" s="1">
        <v>0</v>
      </c>
      <c r="G8" s="9">
        <f>SUM(AZ_FINANCIAL)</f>
        <v>830739.80991430662</v>
      </c>
      <c r="I8" s="13" t="s">
        <v>14</v>
      </c>
      <c r="J8" s="16"/>
      <c r="L8" s="6">
        <v>0</v>
      </c>
      <c r="M8" s="1">
        <v>0</v>
      </c>
      <c r="O8" s="1">
        <v>0</v>
      </c>
      <c r="P8" s="1">
        <v>0</v>
      </c>
      <c r="R8" s="1">
        <v>0</v>
      </c>
      <c r="S8" s="1">
        <v>0</v>
      </c>
      <c r="U8" s="1">
        <v>0</v>
      </c>
      <c r="V8" s="9">
        <v>0</v>
      </c>
    </row>
    <row r="9" spans="1:22">
      <c r="A9" s="1" t="s">
        <v>15</v>
      </c>
      <c r="B9" s="6">
        <v>664034.26556450804</v>
      </c>
      <c r="C9" s="1">
        <v>6753.8774351181492</v>
      </c>
      <c r="D9" s="1">
        <v>4050.7316848170231</v>
      </c>
      <c r="E9" s="1">
        <v>0</v>
      </c>
      <c r="F9" s="1">
        <v>0</v>
      </c>
      <c r="G9" s="9">
        <f>SUM(AR_FINANCIAL)</f>
        <v>674838.87468444323</v>
      </c>
      <c r="I9" s="13"/>
      <c r="J9" s="16"/>
      <c r="L9" s="6">
        <v>2000093</v>
      </c>
      <c r="M9" s="1">
        <v>0</v>
      </c>
      <c r="O9" s="1">
        <v>0</v>
      </c>
      <c r="P9" s="1">
        <v>0</v>
      </c>
      <c r="R9" s="1">
        <v>0</v>
      </c>
      <c r="S9" s="1">
        <v>0</v>
      </c>
      <c r="U9" s="1">
        <v>0</v>
      </c>
      <c r="V9" s="9">
        <v>0</v>
      </c>
    </row>
    <row r="10" spans="1:22">
      <c r="A10" s="1" t="s">
        <v>16</v>
      </c>
      <c r="B10" s="6">
        <v>0</v>
      </c>
      <c r="C10" s="1">
        <v>0</v>
      </c>
      <c r="D10" s="1">
        <v>0</v>
      </c>
      <c r="E10" s="1">
        <v>0</v>
      </c>
      <c r="F10" s="1">
        <v>0</v>
      </c>
      <c r="G10" s="9">
        <f>SUM(CA_FINANCIAL)</f>
        <v>0</v>
      </c>
      <c r="I10" s="13" t="s">
        <v>17</v>
      </c>
      <c r="J10" s="16">
        <v>21461671.379999999</v>
      </c>
      <c r="L10" s="6"/>
      <c r="V10" s="9"/>
    </row>
    <row r="11" spans="1:22">
      <c r="A11" s="1" t="s">
        <v>18</v>
      </c>
      <c r="B11" s="6">
        <v>28827.626645756041</v>
      </c>
      <c r="C11" s="1">
        <v>0</v>
      </c>
      <c r="D11" s="1">
        <v>0</v>
      </c>
      <c r="E11" s="1">
        <v>0</v>
      </c>
      <c r="F11" s="1">
        <v>0</v>
      </c>
      <c r="G11" s="9">
        <f>SUM(CO_FINANCIAL)</f>
        <v>28827.626645756041</v>
      </c>
      <c r="I11" s="13"/>
      <c r="J11" s="16"/>
      <c r="L11" s="6">
        <v>43585</v>
      </c>
      <c r="M11" s="1">
        <v>0</v>
      </c>
      <c r="O11" s="1">
        <v>0</v>
      </c>
      <c r="P11" s="1">
        <v>0</v>
      </c>
      <c r="R11" s="1">
        <v>0</v>
      </c>
      <c r="S11" s="1">
        <v>0</v>
      </c>
      <c r="U11" s="1">
        <v>0</v>
      </c>
      <c r="V11" s="9">
        <v>0</v>
      </c>
    </row>
    <row r="12" spans="1:22">
      <c r="A12" s="1" t="s">
        <v>19</v>
      </c>
      <c r="B12" s="6">
        <v>0</v>
      </c>
      <c r="C12" s="1">
        <v>0</v>
      </c>
      <c r="D12" s="1">
        <v>0</v>
      </c>
      <c r="E12" s="1">
        <v>0</v>
      </c>
      <c r="F12" s="1">
        <v>0</v>
      </c>
      <c r="G12" s="9">
        <f>SUM(CT_FINANCIAL)</f>
        <v>0</v>
      </c>
      <c r="I12" s="13" t="s">
        <v>20</v>
      </c>
      <c r="J12" s="16"/>
      <c r="L12" s="6"/>
      <c r="V12" s="9"/>
    </row>
    <row r="13" spans="1:22">
      <c r="A13" s="1" t="s">
        <v>21</v>
      </c>
      <c r="B13" s="6">
        <v>0</v>
      </c>
      <c r="C13" s="1">
        <v>0</v>
      </c>
      <c r="D13" s="1">
        <v>0</v>
      </c>
      <c r="E13" s="1">
        <v>0</v>
      </c>
      <c r="F13" s="1">
        <v>0</v>
      </c>
      <c r="G13" s="9">
        <f>SUM(DE_FINANCIAL)</f>
        <v>0</v>
      </c>
      <c r="I13" s="13" t="s">
        <v>22</v>
      </c>
      <c r="J13" s="16">
        <v>137228</v>
      </c>
      <c r="L13" s="6"/>
      <c r="V13" s="9"/>
    </row>
    <row r="14" spans="1:22">
      <c r="A14" s="1" t="s">
        <v>23</v>
      </c>
      <c r="B14" s="6">
        <v>0</v>
      </c>
      <c r="C14" s="1">
        <v>0</v>
      </c>
      <c r="D14" s="1">
        <v>0</v>
      </c>
      <c r="E14" s="1">
        <v>0</v>
      </c>
      <c r="F14" s="1">
        <v>0</v>
      </c>
      <c r="G14" s="9">
        <f>SUM(DC_FINANCIAL)</f>
        <v>0</v>
      </c>
      <c r="I14" s="13" t="s">
        <v>24</v>
      </c>
      <c r="J14" s="16">
        <v>955571</v>
      </c>
      <c r="L14" s="6"/>
      <c r="V14" s="9"/>
    </row>
    <row r="15" spans="1:22">
      <c r="A15" s="1" t="s">
        <v>25</v>
      </c>
      <c r="B15" s="6">
        <v>310569.27072684374</v>
      </c>
      <c r="C15" s="1">
        <v>0</v>
      </c>
      <c r="D15" s="1">
        <v>31612.769355519624</v>
      </c>
      <c r="E15" s="1">
        <v>0</v>
      </c>
      <c r="F15" s="1">
        <v>0</v>
      </c>
      <c r="G15" s="9">
        <f>SUM(FL_FINANCIAL)</f>
        <v>342182.04008236335</v>
      </c>
      <c r="I15" s="13" t="s">
        <v>26</v>
      </c>
      <c r="J15" s="16">
        <v>1572891.0199999998</v>
      </c>
      <c r="L15" s="6"/>
      <c r="V15" s="9"/>
    </row>
    <row r="16" spans="1:22">
      <c r="A16" s="1" t="s">
        <v>27</v>
      </c>
      <c r="B16" s="6">
        <v>0</v>
      </c>
      <c r="C16" s="1">
        <v>0</v>
      </c>
      <c r="D16" s="1">
        <v>0</v>
      </c>
      <c r="E16" s="1">
        <v>0</v>
      </c>
      <c r="F16" s="1">
        <v>0</v>
      </c>
      <c r="G16" s="9">
        <f>SUM(GA_FINANCIAL)</f>
        <v>0</v>
      </c>
      <c r="I16" s="13" t="s">
        <v>28</v>
      </c>
      <c r="J16" s="16">
        <v>0</v>
      </c>
      <c r="L16" s="6"/>
      <c r="V16" s="9"/>
    </row>
    <row r="17" spans="1:22">
      <c r="A17" s="1" t="s">
        <v>29</v>
      </c>
      <c r="B17" s="6">
        <v>42698.746794763603</v>
      </c>
      <c r="C17" s="1">
        <v>2352.5213018003142</v>
      </c>
      <c r="D17" s="1">
        <v>199.72711785449508</v>
      </c>
      <c r="E17" s="1">
        <v>0</v>
      </c>
      <c r="F17" s="1">
        <v>0</v>
      </c>
      <c r="G17" s="9">
        <f>SUM(HI_FINANCIAL)</f>
        <v>45250.995214418414</v>
      </c>
      <c r="I17" s="13"/>
      <c r="J17" s="16"/>
      <c r="L17" s="6">
        <v>3864</v>
      </c>
      <c r="M17" s="1">
        <v>0</v>
      </c>
      <c r="O17" s="1">
        <v>0</v>
      </c>
      <c r="P17" s="1">
        <v>0</v>
      </c>
      <c r="R17" s="1">
        <v>0</v>
      </c>
      <c r="S17" s="1">
        <v>0</v>
      </c>
      <c r="U17" s="1">
        <v>0</v>
      </c>
      <c r="V17" s="9">
        <v>0</v>
      </c>
    </row>
    <row r="18" spans="1:22">
      <c r="A18" s="1" t="s">
        <v>30</v>
      </c>
      <c r="B18" s="6">
        <v>0</v>
      </c>
      <c r="C18" s="1">
        <v>0</v>
      </c>
      <c r="D18" s="1">
        <v>0</v>
      </c>
      <c r="E18" s="1">
        <v>0</v>
      </c>
      <c r="F18" s="1">
        <v>0</v>
      </c>
      <c r="G18" s="9">
        <f>SUM(ID_FINANCIAL)</f>
        <v>0</v>
      </c>
      <c r="I18" s="13" t="s">
        <v>31</v>
      </c>
      <c r="J18" s="16"/>
      <c r="L18" s="6"/>
      <c r="V18" s="9"/>
    </row>
    <row r="19" spans="1:22">
      <c r="A19" s="1" t="s">
        <v>32</v>
      </c>
      <c r="B19" s="6">
        <v>0</v>
      </c>
      <c r="C19" s="1">
        <v>0</v>
      </c>
      <c r="D19" s="1">
        <v>0</v>
      </c>
      <c r="E19" s="1">
        <v>0</v>
      </c>
      <c r="F19" s="1">
        <v>0</v>
      </c>
      <c r="G19" s="9">
        <f>SUM(IL_FINANCIAL)</f>
        <v>0</v>
      </c>
      <c r="I19" s="13" t="s">
        <v>33</v>
      </c>
      <c r="J19" s="16">
        <v>0</v>
      </c>
      <c r="L19" s="6"/>
      <c r="V19" s="9"/>
    </row>
    <row r="20" spans="1:22">
      <c r="A20" s="1" t="s">
        <v>34</v>
      </c>
      <c r="B20" s="6">
        <v>7396.7651932968292</v>
      </c>
      <c r="C20" s="1">
        <v>0</v>
      </c>
      <c r="D20" s="1">
        <v>2025.1715042681335</v>
      </c>
      <c r="E20" s="1">
        <v>0</v>
      </c>
      <c r="F20" s="1">
        <v>0</v>
      </c>
      <c r="G20" s="9">
        <f>SUM(IN_FINANCIAL)</f>
        <v>9421.9366975649627</v>
      </c>
      <c r="I20" s="13" t="s">
        <v>35</v>
      </c>
      <c r="J20" s="16">
        <v>-375118</v>
      </c>
      <c r="L20" s="6"/>
      <c r="V20" s="9"/>
    </row>
    <row r="21" spans="1:22">
      <c r="A21" s="1" t="s">
        <v>36</v>
      </c>
      <c r="B21" s="6">
        <v>0</v>
      </c>
      <c r="C21" s="1">
        <v>0</v>
      </c>
      <c r="D21" s="1">
        <v>0</v>
      </c>
      <c r="E21" s="1">
        <v>0</v>
      </c>
      <c r="F21" s="1">
        <v>0</v>
      </c>
      <c r="G21" s="9">
        <f>SUM(IA_FINANCIAL)</f>
        <v>0</v>
      </c>
      <c r="I21" s="13" t="s">
        <v>37</v>
      </c>
      <c r="J21" s="16"/>
      <c r="L21" s="6"/>
      <c r="V21" s="9"/>
    </row>
    <row r="22" spans="1:22">
      <c r="A22" s="1" t="s">
        <v>38</v>
      </c>
      <c r="B22" s="6">
        <v>43368.127987657819</v>
      </c>
      <c r="C22" s="1">
        <v>3347.1593059665611</v>
      </c>
      <c r="D22" s="1">
        <v>17497.151342989717</v>
      </c>
      <c r="E22" s="1">
        <v>0</v>
      </c>
      <c r="F22" s="1">
        <v>0</v>
      </c>
      <c r="G22" s="9">
        <f>SUM(KS_FINANCIAL)</f>
        <v>64212.438636614097</v>
      </c>
      <c r="I22" s="13" t="s">
        <v>39</v>
      </c>
      <c r="J22" s="16">
        <v>5635144</v>
      </c>
      <c r="L22" s="6"/>
      <c r="V22" s="9"/>
    </row>
    <row r="23" spans="1:22">
      <c r="A23" s="1" t="s">
        <v>40</v>
      </c>
      <c r="B23" s="6">
        <v>0</v>
      </c>
      <c r="C23" s="1">
        <v>0</v>
      </c>
      <c r="D23" s="1">
        <v>0</v>
      </c>
      <c r="E23" s="1">
        <v>0</v>
      </c>
      <c r="F23" s="1">
        <v>0</v>
      </c>
      <c r="G23" s="9">
        <f>SUM(KY_FINANCIAL)</f>
        <v>0</v>
      </c>
      <c r="I23" s="13" t="s">
        <v>41</v>
      </c>
      <c r="J23" s="16"/>
      <c r="L23" s="6"/>
      <c r="V23" s="9"/>
    </row>
    <row r="24" spans="1:22">
      <c r="A24" s="1" t="s">
        <v>42</v>
      </c>
      <c r="B24" s="6">
        <v>-10220.219204661062</v>
      </c>
      <c r="C24" s="1">
        <v>0</v>
      </c>
      <c r="D24" s="1">
        <v>0</v>
      </c>
      <c r="E24" s="1">
        <v>0</v>
      </c>
      <c r="F24" s="1">
        <v>0</v>
      </c>
      <c r="G24" s="9">
        <f>SUM(LA_FINANCIAL)</f>
        <v>-10220.219204661062</v>
      </c>
      <c r="I24" s="13" t="s">
        <v>43</v>
      </c>
      <c r="J24" s="16">
        <v>10390579.999999993</v>
      </c>
      <c r="L24" s="6"/>
      <c r="V24" s="9"/>
    </row>
    <row r="25" spans="1:22">
      <c r="A25" s="1" t="s">
        <v>44</v>
      </c>
      <c r="B25" s="6">
        <v>0</v>
      </c>
      <c r="C25" s="1">
        <v>0</v>
      </c>
      <c r="D25" s="1">
        <v>0</v>
      </c>
      <c r="E25" s="1">
        <v>0</v>
      </c>
      <c r="F25" s="1">
        <v>0</v>
      </c>
      <c r="G25" s="9">
        <f>SUM(ME_FINANCIAL)</f>
        <v>0</v>
      </c>
      <c r="I25" s="13"/>
      <c r="J25" s="16"/>
      <c r="L25" s="6"/>
      <c r="V25" s="9"/>
    </row>
    <row r="26" spans="1:22">
      <c r="A26" s="1" t="s">
        <v>45</v>
      </c>
      <c r="B26" s="6">
        <v>0</v>
      </c>
      <c r="C26" s="1">
        <v>0</v>
      </c>
      <c r="D26" s="1">
        <v>0</v>
      </c>
      <c r="E26" s="1">
        <v>0</v>
      </c>
      <c r="F26" s="1">
        <v>0</v>
      </c>
      <c r="G26" s="9">
        <f>SUM(MD_FINANCIAL)</f>
        <v>0</v>
      </c>
      <c r="I26" s="13" t="s">
        <v>46</v>
      </c>
      <c r="J26" s="16">
        <f>SUM(ADD_FINANCIAL)-SUM(LESS_FINANCIAL)</f>
        <v>8476755.400000006</v>
      </c>
      <c r="L26" s="6"/>
      <c r="V26" s="9"/>
    </row>
    <row r="27" spans="1:22">
      <c r="A27" s="1" t="s">
        <v>47</v>
      </c>
      <c r="B27" s="6">
        <v>0</v>
      </c>
      <c r="C27" s="1">
        <v>0</v>
      </c>
      <c r="D27" s="1">
        <v>0</v>
      </c>
      <c r="E27" s="1">
        <v>0</v>
      </c>
      <c r="F27" s="1">
        <v>0</v>
      </c>
      <c r="G27" s="9">
        <f>SUM(MA_FINANCIAL)</f>
        <v>0</v>
      </c>
      <c r="I27" s="13" t="s">
        <v>48</v>
      </c>
      <c r="J27" s="16">
        <f>SUM(ALL_BLOCKS)</f>
        <v>8476755.4000000004</v>
      </c>
      <c r="L27" s="6"/>
      <c r="V27" s="9"/>
    </row>
    <row r="28" spans="1:22">
      <c r="A28" s="1" t="s">
        <v>49</v>
      </c>
      <c r="B28" s="6">
        <v>0</v>
      </c>
      <c r="C28" s="1">
        <v>0</v>
      </c>
      <c r="D28" s="1">
        <v>0</v>
      </c>
      <c r="E28" s="1">
        <v>0</v>
      </c>
      <c r="F28" s="1">
        <v>0</v>
      </c>
      <c r="G28" s="9">
        <f>SUM(MI_FINANCIAL)</f>
        <v>0</v>
      </c>
      <c r="I28" s="14"/>
      <c r="J28" s="17"/>
      <c r="L28" s="6"/>
      <c r="V28" s="9"/>
    </row>
    <row r="29" spans="1:22">
      <c r="A29" s="1" t="s">
        <v>50</v>
      </c>
      <c r="B29" s="6">
        <v>0</v>
      </c>
      <c r="C29" s="1">
        <v>0</v>
      </c>
      <c r="D29" s="1">
        <v>0</v>
      </c>
      <c r="E29" s="1">
        <v>0</v>
      </c>
      <c r="F29" s="1">
        <v>0</v>
      </c>
      <c r="G29" s="9">
        <f>SUM(MN_FINANCIAL)</f>
        <v>0</v>
      </c>
      <c r="L29" s="6"/>
      <c r="V29" s="9"/>
    </row>
    <row r="30" spans="1:22">
      <c r="A30" s="1" t="s">
        <v>51</v>
      </c>
      <c r="B30" s="6">
        <v>8190.8488022396377</v>
      </c>
      <c r="C30" s="1">
        <v>0</v>
      </c>
      <c r="D30" s="1">
        <v>1058.9203766105811</v>
      </c>
      <c r="E30" s="1">
        <v>0</v>
      </c>
      <c r="F30" s="1">
        <v>0</v>
      </c>
      <c r="G30" s="9">
        <f>SUM(MS_FINANCIAL)</f>
        <v>9249.7691788502198</v>
      </c>
      <c r="L30" s="6">
        <v>1085</v>
      </c>
      <c r="M30" s="1">
        <v>481</v>
      </c>
      <c r="O30" s="1">
        <v>0</v>
      </c>
      <c r="P30" s="1">
        <v>0</v>
      </c>
      <c r="R30" s="1">
        <v>3915</v>
      </c>
      <c r="S30" s="1">
        <v>1831</v>
      </c>
      <c r="U30" s="1">
        <v>0</v>
      </c>
      <c r="V30" s="9">
        <v>0</v>
      </c>
    </row>
    <row r="31" spans="1:22">
      <c r="A31" s="1" t="s">
        <v>52</v>
      </c>
      <c r="B31" s="6">
        <v>199894.48065924391</v>
      </c>
      <c r="C31" s="1">
        <v>11616.847353524678</v>
      </c>
      <c r="D31" s="1">
        <v>26355.722433309114</v>
      </c>
      <c r="E31" s="1">
        <v>0</v>
      </c>
      <c r="F31" s="1">
        <v>0</v>
      </c>
      <c r="G31" s="9">
        <f>SUM(MO_FINANCIAL)</f>
        <v>237867.05044607772</v>
      </c>
      <c r="L31" s="6"/>
      <c r="V31" s="9"/>
    </row>
    <row r="32" spans="1:22">
      <c r="A32" s="1" t="s">
        <v>53</v>
      </c>
      <c r="B32" s="6">
        <v>0</v>
      </c>
      <c r="C32" s="1">
        <v>0</v>
      </c>
      <c r="D32" s="1">
        <v>0</v>
      </c>
      <c r="E32" s="1">
        <v>0</v>
      </c>
      <c r="F32" s="1">
        <v>0</v>
      </c>
      <c r="G32" s="9">
        <f>SUM(MT_FINANCIAL)</f>
        <v>0</v>
      </c>
      <c r="L32" s="6"/>
      <c r="V32" s="9"/>
    </row>
    <row r="33" spans="1:22">
      <c r="A33" s="1" t="s">
        <v>54</v>
      </c>
      <c r="B33" s="6">
        <v>14140.720692789175</v>
      </c>
      <c r="C33" s="1">
        <v>83.822817792002922</v>
      </c>
      <c r="D33" s="1">
        <v>3753.1599284682979</v>
      </c>
      <c r="E33" s="1">
        <v>0</v>
      </c>
      <c r="F33" s="1">
        <v>0</v>
      </c>
      <c r="G33" s="9">
        <f>SUM(NE_FINANCIAL)</f>
        <v>17977.703439049474</v>
      </c>
      <c r="L33" s="6"/>
      <c r="V33" s="9"/>
    </row>
    <row r="34" spans="1:22">
      <c r="A34" s="1" t="s">
        <v>55</v>
      </c>
      <c r="B34" s="6">
        <v>13305.112649100229</v>
      </c>
      <c r="C34" s="1">
        <v>6150.4238342578865</v>
      </c>
      <c r="D34" s="1">
        <v>695.10391314377421</v>
      </c>
      <c r="E34" s="1">
        <v>0</v>
      </c>
      <c r="F34" s="1">
        <v>0</v>
      </c>
      <c r="G34" s="9">
        <f>SUM(NV_FINANCIAL)</f>
        <v>20150.640396501891</v>
      </c>
      <c r="L34" s="6"/>
      <c r="V34" s="9"/>
    </row>
    <row r="35" spans="1:22">
      <c r="A35" s="1" t="s">
        <v>56</v>
      </c>
      <c r="B35" s="6">
        <v>0</v>
      </c>
      <c r="C35" s="1">
        <v>0</v>
      </c>
      <c r="D35" s="1">
        <v>0</v>
      </c>
      <c r="E35" s="1">
        <v>0</v>
      </c>
      <c r="F35" s="1">
        <v>0</v>
      </c>
      <c r="G35" s="9">
        <f>SUM(NH_FINANCIAL)</f>
        <v>0</v>
      </c>
      <c r="L35" s="6"/>
      <c r="V35" s="9"/>
    </row>
    <row r="36" spans="1:22">
      <c r="A36" s="1" t="s">
        <v>57</v>
      </c>
      <c r="B36" s="6">
        <v>0</v>
      </c>
      <c r="C36" s="1">
        <v>0</v>
      </c>
      <c r="D36" s="1">
        <v>0</v>
      </c>
      <c r="E36" s="1">
        <v>0</v>
      </c>
      <c r="F36" s="1">
        <v>0</v>
      </c>
      <c r="G36" s="9">
        <f>SUM(NJ_FINANCIAL)</f>
        <v>0</v>
      </c>
      <c r="L36" s="6"/>
      <c r="V36" s="9"/>
    </row>
    <row r="37" spans="1:22">
      <c r="A37" s="1" t="s">
        <v>58</v>
      </c>
      <c r="B37" s="6">
        <v>106275.23857406103</v>
      </c>
      <c r="C37" s="1">
        <v>4081.7517013108659</v>
      </c>
      <c r="D37" s="1">
        <v>27937.351432715444</v>
      </c>
      <c r="E37" s="1">
        <v>0</v>
      </c>
      <c r="F37" s="1">
        <v>0</v>
      </c>
      <c r="G37" s="9">
        <f>SUM(NM_FINANCIAL)</f>
        <v>138294.34170808733</v>
      </c>
      <c r="L37" s="6">
        <v>59780</v>
      </c>
      <c r="M37" s="1">
        <v>0</v>
      </c>
      <c r="O37" s="1">
        <v>0</v>
      </c>
      <c r="P37" s="1">
        <v>0</v>
      </c>
      <c r="R37" s="1">
        <v>17765</v>
      </c>
      <c r="S37" s="1">
        <v>0</v>
      </c>
      <c r="U37" s="1">
        <v>0</v>
      </c>
      <c r="V37" s="9">
        <v>0</v>
      </c>
    </row>
    <row r="38" spans="1:22">
      <c r="A38" s="1" t="s">
        <v>59</v>
      </c>
      <c r="B38" s="6">
        <v>0</v>
      </c>
      <c r="C38" s="1">
        <v>0</v>
      </c>
      <c r="D38" s="1">
        <v>0</v>
      </c>
      <c r="E38" s="1">
        <v>0</v>
      </c>
      <c r="F38" s="1">
        <v>0</v>
      </c>
      <c r="G38" s="9">
        <f>SUM(NY_FINANCIAL)</f>
        <v>0</v>
      </c>
      <c r="L38" s="6"/>
      <c r="V38" s="9"/>
    </row>
    <row r="39" spans="1:22">
      <c r="A39" s="1" t="s">
        <v>60</v>
      </c>
      <c r="B39" s="6">
        <v>4130515.5533057293</v>
      </c>
      <c r="C39" s="1">
        <v>38488.690278018403</v>
      </c>
      <c r="D39" s="1">
        <v>21425.561958010549</v>
      </c>
      <c r="E39" s="1">
        <v>0</v>
      </c>
      <c r="F39" s="1">
        <v>0</v>
      </c>
      <c r="G39" s="9">
        <f>SUM(NC_FINANCIAL)</f>
        <v>4190429.8055417584</v>
      </c>
      <c r="L39" s="6">
        <v>3600000</v>
      </c>
      <c r="M39" s="1">
        <v>123750</v>
      </c>
      <c r="O39" s="1">
        <v>0</v>
      </c>
      <c r="P39" s="1">
        <v>0</v>
      </c>
      <c r="R39" s="1">
        <v>0</v>
      </c>
      <c r="S39" s="1">
        <v>0</v>
      </c>
      <c r="U39" s="1">
        <v>0</v>
      </c>
      <c r="V39" s="9">
        <v>0</v>
      </c>
    </row>
    <row r="40" spans="1:22">
      <c r="A40" s="1" t="s">
        <v>61</v>
      </c>
      <c r="B40" s="6">
        <v>0</v>
      </c>
      <c r="C40" s="1">
        <v>0</v>
      </c>
      <c r="D40" s="1">
        <v>0</v>
      </c>
      <c r="E40" s="1">
        <v>0</v>
      </c>
      <c r="F40" s="1">
        <v>0</v>
      </c>
      <c r="G40" s="9">
        <f>SUM(ND_FINANCIAL)</f>
        <v>0</v>
      </c>
      <c r="L40" s="6"/>
      <c r="V40" s="9"/>
    </row>
    <row r="41" spans="1:22">
      <c r="A41" s="1" t="s">
        <v>62</v>
      </c>
      <c r="B41" s="6">
        <v>25786.886396456423</v>
      </c>
      <c r="C41" s="1">
        <v>0</v>
      </c>
      <c r="D41" s="1">
        <v>9800.6584730318864</v>
      </c>
      <c r="E41" s="1">
        <v>0</v>
      </c>
      <c r="F41" s="1">
        <v>0</v>
      </c>
      <c r="G41" s="9">
        <f>SUM(OH_FINANCIAL)</f>
        <v>35587.544869488309</v>
      </c>
      <c r="L41" s="6"/>
      <c r="V41" s="9"/>
    </row>
    <row r="42" spans="1:22">
      <c r="A42" s="1" t="s">
        <v>63</v>
      </c>
      <c r="B42" s="6">
        <v>974268.65679653361</v>
      </c>
      <c r="C42" s="1">
        <v>29889.248689344546</v>
      </c>
      <c r="D42" s="1">
        <v>45072.266789603309</v>
      </c>
      <c r="E42" s="1">
        <v>0</v>
      </c>
      <c r="F42" s="1">
        <v>0</v>
      </c>
      <c r="G42" s="9">
        <f>SUM(OK_FINANCIAL)</f>
        <v>1049230.1722754815</v>
      </c>
      <c r="L42" s="6">
        <v>0</v>
      </c>
      <c r="M42" s="1">
        <v>5272500</v>
      </c>
      <c r="O42" s="1">
        <v>0</v>
      </c>
      <c r="P42" s="1">
        <v>111000</v>
      </c>
      <c r="R42" s="1">
        <v>0</v>
      </c>
      <c r="S42" s="1">
        <v>166500</v>
      </c>
      <c r="U42" s="1">
        <v>0</v>
      </c>
      <c r="V42" s="9">
        <v>0</v>
      </c>
    </row>
    <row r="43" spans="1:22">
      <c r="A43" s="1" t="s">
        <v>64</v>
      </c>
      <c r="B43" s="6">
        <v>34852.306127544682</v>
      </c>
      <c r="C43" s="1">
        <v>0</v>
      </c>
      <c r="D43" s="1">
        <v>2366.1340073322026</v>
      </c>
      <c r="E43" s="1">
        <v>0</v>
      </c>
      <c r="F43" s="1">
        <v>0</v>
      </c>
      <c r="G43" s="9">
        <f>SUM(OR_FINANCIAL)</f>
        <v>37218.440134876888</v>
      </c>
      <c r="L43" s="6"/>
      <c r="V43" s="9"/>
    </row>
    <row r="44" spans="1:22">
      <c r="A44" s="1" t="s">
        <v>65</v>
      </c>
      <c r="B44" s="6">
        <v>0</v>
      </c>
      <c r="C44" s="1">
        <v>0</v>
      </c>
      <c r="D44" s="1">
        <v>0</v>
      </c>
      <c r="E44" s="1">
        <v>0</v>
      </c>
      <c r="F44" s="1">
        <v>0</v>
      </c>
      <c r="G44" s="9">
        <f>SUM(PA_FINANCIAL)</f>
        <v>0</v>
      </c>
      <c r="L44" s="6"/>
      <c r="V44" s="9"/>
    </row>
    <row r="45" spans="1:22">
      <c r="A45" s="1" t="s">
        <v>66</v>
      </c>
      <c r="B45" s="6">
        <v>0</v>
      </c>
      <c r="C45" s="1">
        <v>0</v>
      </c>
      <c r="D45" s="1">
        <v>0</v>
      </c>
      <c r="E45" s="1">
        <v>0</v>
      </c>
      <c r="F45" s="1">
        <v>0</v>
      </c>
      <c r="G45" s="9">
        <f>SUM(PR_FINANCIAL)</f>
        <v>0</v>
      </c>
      <c r="L45" s="6"/>
      <c r="V45" s="9"/>
    </row>
    <row r="46" spans="1:22">
      <c r="A46" s="1" t="s">
        <v>67</v>
      </c>
      <c r="B46" s="6">
        <v>0</v>
      </c>
      <c r="C46" s="1">
        <v>0</v>
      </c>
      <c r="D46" s="1">
        <v>0</v>
      </c>
      <c r="E46" s="1">
        <v>0</v>
      </c>
      <c r="F46" s="1">
        <v>0</v>
      </c>
      <c r="G46" s="9">
        <f>SUM(RI_FINANCIAL)</f>
        <v>0</v>
      </c>
      <c r="L46" s="6"/>
      <c r="V46" s="9"/>
    </row>
    <row r="47" spans="1:22">
      <c r="A47" s="1" t="s">
        <v>68</v>
      </c>
      <c r="B47" s="6">
        <v>250783.13392911945</v>
      </c>
      <c r="C47" s="1">
        <v>0</v>
      </c>
      <c r="D47" s="1">
        <v>18889.429843882401</v>
      </c>
      <c r="E47" s="1">
        <v>0</v>
      </c>
      <c r="F47" s="1">
        <v>0</v>
      </c>
      <c r="G47" s="9">
        <f>SUM(SC_FINANCIAL)</f>
        <v>269672.56377300184</v>
      </c>
      <c r="L47" s="6"/>
      <c r="V47" s="9"/>
    </row>
    <row r="48" spans="1:22">
      <c r="A48" s="1" t="s">
        <v>69</v>
      </c>
      <c r="B48" s="6">
        <v>0</v>
      </c>
      <c r="C48" s="1">
        <v>0</v>
      </c>
      <c r="D48" s="1">
        <v>0</v>
      </c>
      <c r="E48" s="1">
        <v>0</v>
      </c>
      <c r="F48" s="1">
        <v>0</v>
      </c>
      <c r="G48" s="9">
        <f>SUM(SD_FINANCIAL)</f>
        <v>0</v>
      </c>
      <c r="L48" s="6"/>
      <c r="V48" s="9"/>
    </row>
    <row r="49" spans="1:22">
      <c r="A49" s="1" t="s">
        <v>70</v>
      </c>
      <c r="B49" s="6">
        <v>0</v>
      </c>
      <c r="C49" s="1">
        <v>0</v>
      </c>
      <c r="D49" s="1">
        <v>0</v>
      </c>
      <c r="E49" s="1">
        <v>0</v>
      </c>
      <c r="F49" s="1">
        <v>0</v>
      </c>
      <c r="G49" s="9">
        <f>SUM(TN_FINANCIAL)</f>
        <v>0</v>
      </c>
      <c r="L49" s="6"/>
      <c r="V49" s="9"/>
    </row>
    <row r="50" spans="1:22">
      <c r="A50" s="1" t="s">
        <v>71</v>
      </c>
      <c r="B50" s="6">
        <v>177511.62838851602</v>
      </c>
      <c r="C50" s="1">
        <v>53085.234310386353</v>
      </c>
      <c r="D50" s="1">
        <v>188277.47307577572</v>
      </c>
      <c r="E50" s="1">
        <v>0</v>
      </c>
      <c r="F50" s="1">
        <v>0</v>
      </c>
      <c r="G50" s="9">
        <f>SUM(TX_FINANCIAL)</f>
        <v>418874.3357746781</v>
      </c>
      <c r="L50" s="6">
        <v>195526</v>
      </c>
      <c r="M50" s="1">
        <v>77092.183000000005</v>
      </c>
      <c r="O50" s="1">
        <v>0</v>
      </c>
      <c r="P50" s="1">
        <v>0</v>
      </c>
      <c r="R50" s="1">
        <v>1247265</v>
      </c>
      <c r="S50" s="1">
        <v>491853.81700000004</v>
      </c>
      <c r="U50" s="1">
        <v>0</v>
      </c>
      <c r="V50" s="9">
        <v>0</v>
      </c>
    </row>
    <row r="51" spans="1:22">
      <c r="A51" s="1" t="s">
        <v>72</v>
      </c>
      <c r="B51" s="6">
        <v>28724.150225014055</v>
      </c>
      <c r="C51" s="1">
        <v>986.07785001729303</v>
      </c>
      <c r="D51" s="1">
        <v>928.65669411369163</v>
      </c>
      <c r="E51" s="1">
        <v>0</v>
      </c>
      <c r="F51" s="1">
        <v>0</v>
      </c>
      <c r="G51" s="9">
        <f>SUM(UT_FINANCIAL)</f>
        <v>30638.884769145039</v>
      </c>
      <c r="L51" s="6">
        <v>105000</v>
      </c>
      <c r="M51" s="1">
        <v>0</v>
      </c>
      <c r="O51" s="1">
        <v>0</v>
      </c>
      <c r="P51" s="1">
        <v>0</v>
      </c>
      <c r="R51" s="1">
        <v>0</v>
      </c>
      <c r="S51" s="1">
        <v>0</v>
      </c>
      <c r="U51" s="1">
        <v>0</v>
      </c>
      <c r="V51" s="9">
        <v>0</v>
      </c>
    </row>
    <row r="52" spans="1:22">
      <c r="A52" s="1" t="s">
        <v>73</v>
      </c>
      <c r="B52" s="6">
        <v>0</v>
      </c>
      <c r="C52" s="1">
        <v>0</v>
      </c>
      <c r="D52" s="1">
        <v>0</v>
      </c>
      <c r="E52" s="1">
        <v>0</v>
      </c>
      <c r="F52" s="1">
        <v>0</v>
      </c>
      <c r="G52" s="9">
        <f>SUM(VT_FINANCIAL)</f>
        <v>0</v>
      </c>
      <c r="L52" s="6"/>
      <c r="V52" s="9"/>
    </row>
    <row r="53" spans="1:22">
      <c r="A53" s="1" t="s">
        <v>74</v>
      </c>
      <c r="B53" s="6">
        <v>0</v>
      </c>
      <c r="C53" s="1">
        <v>0</v>
      </c>
      <c r="D53" s="1">
        <v>0</v>
      </c>
      <c r="E53" s="1">
        <v>0</v>
      </c>
      <c r="F53" s="1">
        <v>0</v>
      </c>
      <c r="G53" s="9">
        <f>SUM(VA_FINANCIAL)</f>
        <v>0</v>
      </c>
      <c r="L53" s="6"/>
      <c r="V53" s="9"/>
    </row>
    <row r="54" spans="1:22">
      <c r="A54" s="1" t="s">
        <v>75</v>
      </c>
      <c r="B54" s="6">
        <v>21648.477135741443</v>
      </c>
      <c r="C54" s="1">
        <v>3974.7281176356046</v>
      </c>
      <c r="D54" s="1">
        <v>4538.880293629034</v>
      </c>
      <c r="E54" s="1">
        <v>0</v>
      </c>
      <c r="F54" s="1">
        <v>0</v>
      </c>
      <c r="G54" s="9">
        <f>SUM(WA_FINANCIAL)</f>
        <v>30162.085547006081</v>
      </c>
      <c r="L54" s="6">
        <v>50139</v>
      </c>
      <c r="M54" s="1">
        <v>0</v>
      </c>
      <c r="O54" s="1">
        <v>10343</v>
      </c>
      <c r="P54" s="1">
        <v>0</v>
      </c>
      <c r="R54" s="1">
        <v>11516</v>
      </c>
      <c r="S54" s="1">
        <v>0</v>
      </c>
      <c r="U54" s="1">
        <v>0</v>
      </c>
      <c r="V54" s="9">
        <v>0</v>
      </c>
    </row>
    <row r="55" spans="1:22">
      <c r="A55" s="1" t="s">
        <v>76</v>
      </c>
      <c r="B55" s="6">
        <v>0</v>
      </c>
      <c r="C55" s="1">
        <v>0</v>
      </c>
      <c r="D55" s="1">
        <v>0</v>
      </c>
      <c r="E55" s="1">
        <v>0</v>
      </c>
      <c r="F55" s="1">
        <v>0</v>
      </c>
      <c r="G55" s="9">
        <f>SUM(WV_FINANCIAL)</f>
        <v>0</v>
      </c>
      <c r="L55" s="6"/>
      <c r="V55" s="9"/>
    </row>
    <row r="56" spans="1:22">
      <c r="A56" s="1" t="s">
        <v>77</v>
      </c>
      <c r="B56" s="6">
        <v>0</v>
      </c>
      <c r="C56" s="1">
        <v>0</v>
      </c>
      <c r="D56" s="1">
        <v>0</v>
      </c>
      <c r="E56" s="1">
        <v>0</v>
      </c>
      <c r="F56" s="1">
        <v>0</v>
      </c>
      <c r="G56" s="9">
        <f>SUM(WI_FINANCIAL)</f>
        <v>0</v>
      </c>
      <c r="L56" s="6"/>
      <c r="V56" s="9"/>
    </row>
    <row r="57" spans="1:22">
      <c r="A57" s="1" t="s">
        <v>78</v>
      </c>
      <c r="B57" s="6">
        <v>-1005.0718832933489</v>
      </c>
      <c r="C57" s="1">
        <v>-4.8495627661922924</v>
      </c>
      <c r="D57" s="1">
        <v>-14.481333260157555</v>
      </c>
      <c r="E57" s="1">
        <v>0</v>
      </c>
      <c r="F57" s="1">
        <v>0</v>
      </c>
      <c r="G57" s="9">
        <f>SUM(WY_FINANCIAL)</f>
        <v>-1024.4027793196988</v>
      </c>
      <c r="L57" s="6">
        <v>30000</v>
      </c>
      <c r="M57" s="1">
        <v>0</v>
      </c>
      <c r="O57" s="1">
        <v>0</v>
      </c>
      <c r="P57" s="1">
        <v>0</v>
      </c>
      <c r="R57" s="1">
        <v>0</v>
      </c>
      <c r="S57" s="1">
        <v>0</v>
      </c>
      <c r="U57" s="1">
        <v>0</v>
      </c>
      <c r="V57" s="9">
        <v>0</v>
      </c>
    </row>
    <row r="58" spans="1:22">
      <c r="A58" s="1" t="s">
        <v>79</v>
      </c>
      <c r="B58" s="6">
        <v>0</v>
      </c>
      <c r="C58" s="1">
        <v>0</v>
      </c>
      <c r="D58" s="1">
        <v>0</v>
      </c>
      <c r="E58" s="1">
        <v>0</v>
      </c>
      <c r="F58" s="1">
        <v>0</v>
      </c>
      <c r="G58" s="9">
        <f>SUM(OT_FINANCIAL)</f>
        <v>0</v>
      </c>
      <c r="L58" s="6"/>
      <c r="V58" s="9"/>
    </row>
    <row r="59" spans="1:22">
      <c r="B59" s="6"/>
      <c r="G59" s="9"/>
      <c r="L59" s="6"/>
      <c r="V59" s="9"/>
    </row>
    <row r="60" spans="1:22">
      <c r="A60" s="1" t="s">
        <v>8</v>
      </c>
      <c r="B60" s="6">
        <f>SUM(LIFE)</f>
        <v>7621588.1753547508</v>
      </c>
      <c r="C60" s="1">
        <f>SUM(ALLOCATED)</f>
        <v>432420.10685980052</v>
      </c>
      <c r="D60" s="1">
        <f>SUM(HEALTH)</f>
        <v>422747.11778544862</v>
      </c>
      <c r="E60" s="1">
        <f>SUM(UNALLOCATED)</f>
        <v>0</v>
      </c>
      <c r="F60" s="1">
        <f>SUM(LTC)</f>
        <v>0</v>
      </c>
      <c r="G60" s="9">
        <f>SUM(ALL_BLOCKS)</f>
        <v>8476755.4000000004</v>
      </c>
      <c r="L60" s="6">
        <f>SUM(LIFE_CALLED)</f>
        <v>6139072</v>
      </c>
      <c r="M60" s="1">
        <f>SUM(LIFE_REFUNDED)</f>
        <v>5473823.1830000002</v>
      </c>
      <c r="O60" s="1">
        <f>SUM(ALLOC_CALLED)</f>
        <v>10343</v>
      </c>
      <c r="P60" s="1">
        <f>SUM(ALLOC_REFUNDED)</f>
        <v>111000</v>
      </c>
      <c r="R60" s="1">
        <f>SUM(HEALTH_CALLED)</f>
        <v>1280461</v>
      </c>
      <c r="S60" s="1">
        <f>SUM(HEALTH_REFUNDED)</f>
        <v>660184.81700000004</v>
      </c>
      <c r="U60" s="1">
        <f>SUM(UNALLOC_CALLED)</f>
        <v>0</v>
      </c>
      <c r="V60" s="9">
        <f>SUM(UNALLOC_REFUNDED)</f>
        <v>0</v>
      </c>
    </row>
    <row r="61" spans="1:22" ht="5.0999999999999996" customHeight="1">
      <c r="B61" s="6"/>
      <c r="G61" s="9"/>
      <c r="L61" s="6"/>
      <c r="V61" s="9"/>
    </row>
    <row r="62" spans="1:22">
      <c r="B62" s="6"/>
      <c r="G62" s="9"/>
      <c r="L62" s="78" t="s">
        <v>80</v>
      </c>
      <c r="M62" s="79"/>
      <c r="N62" s="79"/>
      <c r="O62" s="79"/>
      <c r="P62" s="79"/>
      <c r="Q62" s="79"/>
      <c r="R62" s="79"/>
      <c r="S62" s="79"/>
      <c r="T62" s="79"/>
      <c r="U62" s="79"/>
      <c r="V62" s="80"/>
    </row>
    <row r="63" spans="1:22">
      <c r="B63" s="6"/>
      <c r="G63" s="9"/>
      <c r="L63" s="81"/>
      <c r="M63" s="79"/>
      <c r="N63" s="79"/>
      <c r="O63" s="79"/>
      <c r="P63" s="79"/>
      <c r="Q63" s="79"/>
      <c r="R63" s="79"/>
      <c r="S63" s="79"/>
      <c r="T63" s="79"/>
      <c r="U63" s="79"/>
      <c r="V63" s="80"/>
    </row>
    <row r="64" spans="1:22">
      <c r="B64" s="8"/>
      <c r="C64" s="5"/>
      <c r="D64" s="5"/>
      <c r="E64" s="5"/>
      <c r="F64" s="5"/>
      <c r="G64" s="11"/>
      <c r="L64" s="82"/>
      <c r="M64" s="83"/>
      <c r="N64" s="83"/>
      <c r="O64" s="83"/>
      <c r="P64" s="83"/>
      <c r="Q64" s="83"/>
      <c r="R64" s="83"/>
      <c r="S64" s="83"/>
      <c r="T64" s="83"/>
      <c r="U64" s="83"/>
      <c r="V64" s="84"/>
    </row>
  </sheetData>
  <mergeCells count="8">
    <mergeCell ref="L62:V64"/>
    <mergeCell ref="A1:G1"/>
    <mergeCell ref="B3:G3"/>
    <mergeCell ref="L3:V3"/>
    <mergeCell ref="L4:M4"/>
    <mergeCell ref="O4:P4"/>
    <mergeCell ref="R4:S4"/>
    <mergeCell ref="U4:V4"/>
  </mergeCells>
  <pageMargins left="0" right="0" top="0" bottom="0" header="0" footer="0"/>
  <pageSetup scale="48" orientation="landscape"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pageSetUpPr fitToPage="1"/>
  </sheetPr>
  <dimension ref="A1:V64"/>
  <sheetViews>
    <sheetView zoomScale="75" workbookViewId="0">
      <selection sqref="A1:G1"/>
    </sheetView>
  </sheetViews>
  <sheetFormatPr defaultColWidth="9.109375" defaultRowHeight="14.4"/>
  <cols>
    <col min="1" max="1" width="20" style="1" customWidth="1"/>
    <col min="2" max="7" width="15" style="1" customWidth="1"/>
    <col min="8" max="8" width="1" style="1" customWidth="1"/>
    <col min="9" max="9" width="30" style="1" customWidth="1"/>
    <col min="10" max="10" width="15" style="1" customWidth="1"/>
    <col min="11" max="11" width="1" style="1" customWidth="1"/>
    <col min="12" max="13" width="15" style="1" customWidth="1"/>
    <col min="14" max="14" width="1" style="1" customWidth="1"/>
    <col min="15" max="16" width="15" style="1" customWidth="1"/>
    <col min="17" max="17" width="1" style="1" customWidth="1"/>
    <col min="18" max="19" width="15" style="1" customWidth="1"/>
    <col min="20" max="20" width="1" style="1" customWidth="1"/>
    <col min="21" max="22" width="15" style="1" customWidth="1"/>
    <col min="23" max="23" width="9.109375" style="1" customWidth="1"/>
    <col min="24" max="16384" width="9.109375" style="1"/>
  </cols>
  <sheetData>
    <row r="1" spans="1:22">
      <c r="A1" s="85" t="s">
        <v>179</v>
      </c>
      <c r="B1" s="79"/>
      <c r="C1" s="79"/>
      <c r="D1" s="79"/>
      <c r="E1" s="79"/>
      <c r="F1" s="79"/>
      <c r="G1" s="79"/>
    </row>
    <row r="3" spans="1:22">
      <c r="B3" s="86" t="s">
        <v>1</v>
      </c>
      <c r="C3" s="87"/>
      <c r="D3" s="87"/>
      <c r="E3" s="87"/>
      <c r="F3" s="87"/>
      <c r="G3" s="88"/>
      <c r="L3" s="89" t="s">
        <v>2</v>
      </c>
      <c r="M3" s="90"/>
      <c r="N3" s="90"/>
      <c r="O3" s="90"/>
      <c r="P3" s="90"/>
      <c r="Q3" s="90"/>
      <c r="R3" s="90"/>
      <c r="S3" s="90"/>
      <c r="T3" s="90"/>
      <c r="U3" s="90"/>
      <c r="V3" s="91"/>
    </row>
    <row r="4" spans="1:22">
      <c r="B4" s="6"/>
      <c r="G4" s="9"/>
      <c r="L4" s="92" t="s">
        <v>3</v>
      </c>
      <c r="M4" s="93"/>
      <c r="N4" s="3"/>
      <c r="O4" s="94" t="s">
        <v>4</v>
      </c>
      <c r="P4" s="93"/>
      <c r="Q4" s="3"/>
      <c r="R4" s="94" t="s">
        <v>5</v>
      </c>
      <c r="S4" s="93"/>
      <c r="T4" s="3"/>
      <c r="U4" s="94" t="s">
        <v>6</v>
      </c>
      <c r="V4" s="95"/>
    </row>
    <row r="5" spans="1:22" ht="60" customHeight="1">
      <c r="B5" s="7" t="s">
        <v>3</v>
      </c>
      <c r="C5" s="4" t="s">
        <v>4</v>
      </c>
      <c r="D5" s="4" t="s">
        <v>5</v>
      </c>
      <c r="E5" s="4" t="s">
        <v>6</v>
      </c>
      <c r="F5" s="4" t="s">
        <v>7</v>
      </c>
      <c r="G5" s="10" t="s">
        <v>8</v>
      </c>
      <c r="L5" s="19" t="s">
        <v>9</v>
      </c>
      <c r="M5" s="18" t="s">
        <v>10</v>
      </c>
      <c r="N5" s="18"/>
      <c r="O5" s="18" t="s">
        <v>9</v>
      </c>
      <c r="P5" s="18" t="s">
        <v>10</v>
      </c>
      <c r="Q5" s="18"/>
      <c r="R5" s="18" t="s">
        <v>9</v>
      </c>
      <c r="S5" s="18" t="s">
        <v>10</v>
      </c>
      <c r="T5" s="18"/>
      <c r="U5" s="18" t="s">
        <v>9</v>
      </c>
      <c r="V5" s="20" t="s">
        <v>10</v>
      </c>
    </row>
    <row r="6" spans="1:22">
      <c r="A6" s="1" t="s">
        <v>11</v>
      </c>
      <c r="B6" s="6">
        <v>0</v>
      </c>
      <c r="C6" s="1">
        <v>0</v>
      </c>
      <c r="D6" s="1">
        <v>0</v>
      </c>
      <c r="E6" s="1">
        <v>0</v>
      </c>
      <c r="F6" s="1">
        <v>0</v>
      </c>
      <c r="G6" s="9">
        <f>SUM(AL_FINANCIAL)</f>
        <v>0</v>
      </c>
      <c r="L6" s="6"/>
      <c r="V6" s="9"/>
    </row>
    <row r="7" spans="1:22">
      <c r="A7" s="1" t="s">
        <v>12</v>
      </c>
      <c r="B7" s="6">
        <v>0</v>
      </c>
      <c r="C7" s="1">
        <v>0</v>
      </c>
      <c r="D7" s="1">
        <v>0</v>
      </c>
      <c r="E7" s="1">
        <v>0</v>
      </c>
      <c r="F7" s="1">
        <v>0</v>
      </c>
      <c r="G7" s="9">
        <f>SUM(AK_FINANCIAL)</f>
        <v>0</v>
      </c>
      <c r="I7" s="12"/>
      <c r="J7" s="15"/>
      <c r="L7" s="6"/>
      <c r="V7" s="9"/>
    </row>
    <row r="8" spans="1:22">
      <c r="A8" s="1" t="s">
        <v>13</v>
      </c>
      <c r="B8" s="6">
        <v>0</v>
      </c>
      <c r="C8" s="1">
        <v>0</v>
      </c>
      <c r="D8" s="1">
        <v>0</v>
      </c>
      <c r="E8" s="1">
        <v>0</v>
      </c>
      <c r="F8" s="1">
        <v>0</v>
      </c>
      <c r="G8" s="9">
        <f>SUM(AZ_FINANCIAL)</f>
        <v>0</v>
      </c>
      <c r="I8" s="13" t="s">
        <v>14</v>
      </c>
      <c r="J8" s="16"/>
      <c r="L8" s="6"/>
      <c r="V8" s="9"/>
    </row>
    <row r="9" spans="1:22">
      <c r="A9" s="1" t="s">
        <v>15</v>
      </c>
      <c r="B9" s="6">
        <v>0</v>
      </c>
      <c r="C9" s="1">
        <v>0</v>
      </c>
      <c r="D9" s="1">
        <v>0</v>
      </c>
      <c r="E9" s="1">
        <v>0</v>
      </c>
      <c r="F9" s="1">
        <v>0</v>
      </c>
      <c r="G9" s="9">
        <f>SUM(AR_FINANCIAL)</f>
        <v>0</v>
      </c>
      <c r="I9" s="13"/>
      <c r="J9" s="16"/>
      <c r="L9" s="6"/>
      <c r="V9" s="9"/>
    </row>
    <row r="10" spans="1:22">
      <c r="A10" s="1" t="s">
        <v>16</v>
      </c>
      <c r="B10" s="6">
        <v>0</v>
      </c>
      <c r="C10" s="1">
        <v>0</v>
      </c>
      <c r="D10" s="1">
        <v>0</v>
      </c>
      <c r="E10" s="1">
        <v>0</v>
      </c>
      <c r="F10" s="1">
        <v>0</v>
      </c>
      <c r="G10" s="9">
        <f>SUM(CA_FINANCIAL)</f>
        <v>0</v>
      </c>
      <c r="I10" s="13" t="s">
        <v>17</v>
      </c>
      <c r="J10" s="16">
        <v>0</v>
      </c>
      <c r="L10" s="6">
        <v>0</v>
      </c>
      <c r="M10" s="1">
        <v>0</v>
      </c>
      <c r="O10" s="1">
        <v>0</v>
      </c>
      <c r="P10" s="1">
        <v>0</v>
      </c>
      <c r="R10" s="1">
        <v>150000</v>
      </c>
      <c r="S10" s="1">
        <v>0</v>
      </c>
      <c r="U10" s="1">
        <v>0</v>
      </c>
      <c r="V10" s="9">
        <v>0</v>
      </c>
    </row>
    <row r="11" spans="1:22">
      <c r="A11" s="1" t="s">
        <v>18</v>
      </c>
      <c r="B11" s="6">
        <v>0</v>
      </c>
      <c r="C11" s="1">
        <v>0</v>
      </c>
      <c r="D11" s="1">
        <v>0</v>
      </c>
      <c r="E11" s="1">
        <v>0</v>
      </c>
      <c r="F11" s="1">
        <v>0</v>
      </c>
      <c r="G11" s="9">
        <f>SUM(CO_FINANCIAL)</f>
        <v>0</v>
      </c>
      <c r="I11" s="13"/>
      <c r="J11" s="16"/>
      <c r="L11" s="6"/>
      <c r="V11" s="9"/>
    </row>
    <row r="12" spans="1:22">
      <c r="A12" s="1" t="s">
        <v>19</v>
      </c>
      <c r="B12" s="6">
        <v>0</v>
      </c>
      <c r="C12" s="1">
        <v>0</v>
      </c>
      <c r="D12" s="1">
        <v>0</v>
      </c>
      <c r="E12" s="1">
        <v>0</v>
      </c>
      <c r="F12" s="1">
        <v>0</v>
      </c>
      <c r="G12" s="9">
        <f>SUM(CT_FINANCIAL)</f>
        <v>0</v>
      </c>
      <c r="I12" s="13" t="s">
        <v>20</v>
      </c>
      <c r="J12" s="16"/>
      <c r="L12" s="6"/>
      <c r="V12" s="9"/>
    </row>
    <row r="13" spans="1:22">
      <c r="A13" s="1" t="s">
        <v>21</v>
      </c>
      <c r="B13" s="6">
        <v>0</v>
      </c>
      <c r="C13" s="1">
        <v>0</v>
      </c>
      <c r="D13" s="1">
        <v>0</v>
      </c>
      <c r="E13" s="1">
        <v>0</v>
      </c>
      <c r="F13" s="1">
        <v>0</v>
      </c>
      <c r="G13" s="9">
        <f>SUM(DE_FINANCIAL)</f>
        <v>0</v>
      </c>
      <c r="I13" s="13" t="s">
        <v>22</v>
      </c>
      <c r="J13" s="16">
        <v>0</v>
      </c>
      <c r="L13" s="6"/>
      <c r="V13" s="9"/>
    </row>
    <row r="14" spans="1:22">
      <c r="A14" s="1" t="s">
        <v>23</v>
      </c>
      <c r="B14" s="6">
        <v>0</v>
      </c>
      <c r="C14" s="1">
        <v>0</v>
      </c>
      <c r="D14" s="1">
        <v>0</v>
      </c>
      <c r="E14" s="1">
        <v>0</v>
      </c>
      <c r="F14" s="1">
        <v>0</v>
      </c>
      <c r="G14" s="9">
        <f>SUM(DC_FINANCIAL)</f>
        <v>0</v>
      </c>
      <c r="I14" s="13" t="s">
        <v>24</v>
      </c>
      <c r="J14" s="16">
        <v>0</v>
      </c>
      <c r="L14" s="6"/>
      <c r="V14" s="9"/>
    </row>
    <row r="15" spans="1:22">
      <c r="A15" s="1" t="s">
        <v>25</v>
      </c>
      <c r="B15" s="6">
        <v>0</v>
      </c>
      <c r="C15" s="1">
        <v>0</v>
      </c>
      <c r="D15" s="1">
        <v>0</v>
      </c>
      <c r="E15" s="1">
        <v>0</v>
      </c>
      <c r="F15" s="1">
        <v>0</v>
      </c>
      <c r="G15" s="9">
        <f>SUM(FL_FINANCIAL)</f>
        <v>0</v>
      </c>
      <c r="I15" s="13" t="s">
        <v>26</v>
      </c>
      <c r="J15" s="16">
        <v>252214</v>
      </c>
      <c r="L15" s="6"/>
      <c r="V15" s="9"/>
    </row>
    <row r="16" spans="1:22">
      <c r="A16" s="1" t="s">
        <v>27</v>
      </c>
      <c r="B16" s="6">
        <v>0</v>
      </c>
      <c r="C16" s="1">
        <v>0</v>
      </c>
      <c r="D16" s="1">
        <v>0</v>
      </c>
      <c r="E16" s="1">
        <v>0</v>
      </c>
      <c r="F16" s="1">
        <v>0</v>
      </c>
      <c r="G16" s="9">
        <f>SUM(GA_FINANCIAL)</f>
        <v>0</v>
      </c>
      <c r="I16" s="13" t="s">
        <v>28</v>
      </c>
      <c r="J16" s="16">
        <v>0</v>
      </c>
      <c r="L16" s="6"/>
      <c r="V16" s="9"/>
    </row>
    <row r="17" spans="1:22">
      <c r="A17" s="1" t="s">
        <v>29</v>
      </c>
      <c r="B17" s="6">
        <v>0</v>
      </c>
      <c r="C17" s="1">
        <v>0</v>
      </c>
      <c r="D17" s="1">
        <v>0</v>
      </c>
      <c r="E17" s="1">
        <v>0</v>
      </c>
      <c r="F17" s="1">
        <v>0</v>
      </c>
      <c r="G17" s="9">
        <f>SUM(HI_FINANCIAL)</f>
        <v>0</v>
      </c>
      <c r="I17" s="13"/>
      <c r="J17" s="16"/>
      <c r="L17" s="6"/>
      <c r="V17" s="9"/>
    </row>
    <row r="18" spans="1:22">
      <c r="A18" s="1" t="s">
        <v>30</v>
      </c>
      <c r="B18" s="6">
        <v>0</v>
      </c>
      <c r="C18" s="1">
        <v>0</v>
      </c>
      <c r="D18" s="1">
        <v>0</v>
      </c>
      <c r="E18" s="1">
        <v>0</v>
      </c>
      <c r="F18" s="1">
        <v>0</v>
      </c>
      <c r="G18" s="9">
        <f>SUM(ID_FINANCIAL)</f>
        <v>0</v>
      </c>
      <c r="I18" s="13" t="s">
        <v>31</v>
      </c>
      <c r="J18" s="16"/>
      <c r="L18" s="6"/>
      <c r="V18" s="9"/>
    </row>
    <row r="19" spans="1:22">
      <c r="A19" s="1" t="s">
        <v>32</v>
      </c>
      <c r="B19" s="6">
        <v>0</v>
      </c>
      <c r="C19" s="1">
        <v>0</v>
      </c>
      <c r="D19" s="1">
        <v>0</v>
      </c>
      <c r="E19" s="1">
        <v>0</v>
      </c>
      <c r="F19" s="1">
        <v>0</v>
      </c>
      <c r="G19" s="9">
        <f>SUM(IL_FINANCIAL)</f>
        <v>0</v>
      </c>
      <c r="I19" s="13" t="s">
        <v>33</v>
      </c>
      <c r="J19" s="16">
        <v>0</v>
      </c>
      <c r="L19" s="6"/>
      <c r="V19" s="9"/>
    </row>
    <row r="20" spans="1:22">
      <c r="A20" s="1" t="s">
        <v>34</v>
      </c>
      <c r="B20" s="6">
        <v>0</v>
      </c>
      <c r="C20" s="1">
        <v>0</v>
      </c>
      <c r="D20" s="1">
        <v>0</v>
      </c>
      <c r="E20" s="1">
        <v>0</v>
      </c>
      <c r="F20" s="1">
        <v>0</v>
      </c>
      <c r="G20" s="9">
        <f>SUM(IN_FINANCIAL)</f>
        <v>0</v>
      </c>
      <c r="I20" s="13" t="s">
        <v>35</v>
      </c>
      <c r="J20" s="16">
        <v>0</v>
      </c>
      <c r="L20" s="6"/>
      <c r="V20" s="9"/>
    </row>
    <row r="21" spans="1:22">
      <c r="A21" s="1" t="s">
        <v>36</v>
      </c>
      <c r="B21" s="6">
        <v>0</v>
      </c>
      <c r="C21" s="1">
        <v>0</v>
      </c>
      <c r="D21" s="1">
        <v>0</v>
      </c>
      <c r="E21" s="1">
        <v>0</v>
      </c>
      <c r="F21" s="1">
        <v>0</v>
      </c>
      <c r="G21" s="9">
        <f>SUM(IA_FINANCIAL)</f>
        <v>0</v>
      </c>
      <c r="I21" s="13" t="s">
        <v>37</v>
      </c>
      <c r="J21" s="16"/>
      <c r="L21" s="6"/>
      <c r="V21" s="9"/>
    </row>
    <row r="22" spans="1:22">
      <c r="A22" s="1" t="s">
        <v>38</v>
      </c>
      <c r="B22" s="6">
        <v>0</v>
      </c>
      <c r="C22" s="1">
        <v>0</v>
      </c>
      <c r="D22" s="1">
        <v>0</v>
      </c>
      <c r="E22" s="1">
        <v>0</v>
      </c>
      <c r="F22" s="1">
        <v>0</v>
      </c>
      <c r="G22" s="9">
        <f>SUM(KS_FINANCIAL)</f>
        <v>0</v>
      </c>
      <c r="I22" s="13" t="s">
        <v>39</v>
      </c>
      <c r="J22" s="16">
        <v>0</v>
      </c>
      <c r="L22" s="6"/>
      <c r="V22" s="9"/>
    </row>
    <row r="23" spans="1:22">
      <c r="A23" s="1" t="s">
        <v>40</v>
      </c>
      <c r="B23" s="6">
        <v>0</v>
      </c>
      <c r="C23" s="1">
        <v>0</v>
      </c>
      <c r="D23" s="1">
        <v>0</v>
      </c>
      <c r="E23" s="1">
        <v>0</v>
      </c>
      <c r="F23" s="1">
        <v>0</v>
      </c>
      <c r="G23" s="9">
        <f>SUM(KY_FINANCIAL)</f>
        <v>0</v>
      </c>
      <c r="I23" s="13" t="s">
        <v>41</v>
      </c>
      <c r="J23" s="16"/>
      <c r="L23" s="6"/>
      <c r="V23" s="9"/>
    </row>
    <row r="24" spans="1:22">
      <c r="A24" s="1" t="s">
        <v>42</v>
      </c>
      <c r="B24" s="6">
        <v>0</v>
      </c>
      <c r="C24" s="1">
        <v>0</v>
      </c>
      <c r="D24" s="1">
        <v>0</v>
      </c>
      <c r="E24" s="1">
        <v>0</v>
      </c>
      <c r="F24" s="1">
        <v>0</v>
      </c>
      <c r="G24" s="9">
        <f>SUM(LA_FINANCIAL)</f>
        <v>0</v>
      </c>
      <c r="I24" s="13" t="s">
        <v>43</v>
      </c>
      <c r="J24" s="16">
        <v>252214</v>
      </c>
      <c r="L24" s="6"/>
      <c r="V24" s="9"/>
    </row>
    <row r="25" spans="1:22">
      <c r="A25" s="1" t="s">
        <v>44</v>
      </c>
      <c r="B25" s="6">
        <v>0</v>
      </c>
      <c r="C25" s="1">
        <v>0</v>
      </c>
      <c r="D25" s="1">
        <v>0</v>
      </c>
      <c r="E25" s="1">
        <v>0</v>
      </c>
      <c r="F25" s="1">
        <v>0</v>
      </c>
      <c r="G25" s="9">
        <f>SUM(ME_FINANCIAL)</f>
        <v>0</v>
      </c>
      <c r="I25" s="13"/>
      <c r="J25" s="16"/>
      <c r="L25" s="6"/>
      <c r="V25" s="9"/>
    </row>
    <row r="26" spans="1:22">
      <c r="A26" s="1" t="s">
        <v>45</v>
      </c>
      <c r="B26" s="6">
        <v>0</v>
      </c>
      <c r="C26" s="1">
        <v>0</v>
      </c>
      <c r="D26" s="1">
        <v>0</v>
      </c>
      <c r="E26" s="1">
        <v>0</v>
      </c>
      <c r="F26" s="1">
        <v>0</v>
      </c>
      <c r="G26" s="9">
        <f>SUM(MD_FINANCIAL)</f>
        <v>0</v>
      </c>
      <c r="I26" s="13" t="s">
        <v>46</v>
      </c>
      <c r="J26" s="16">
        <f>SUM(ADD_FINANCIAL)-SUM(LESS_FINANCIAL)</f>
        <v>0</v>
      </c>
      <c r="L26" s="6"/>
      <c r="V26" s="9"/>
    </row>
    <row r="27" spans="1:22">
      <c r="A27" s="1" t="s">
        <v>47</v>
      </c>
      <c r="B27" s="6">
        <v>0</v>
      </c>
      <c r="C27" s="1">
        <v>0</v>
      </c>
      <c r="D27" s="1">
        <v>0</v>
      </c>
      <c r="E27" s="1">
        <v>0</v>
      </c>
      <c r="F27" s="1">
        <v>0</v>
      </c>
      <c r="G27" s="9">
        <f>SUM(MA_FINANCIAL)</f>
        <v>0</v>
      </c>
      <c r="I27" s="13" t="s">
        <v>48</v>
      </c>
      <c r="J27" s="16">
        <f>SUM(ALL_BLOCKS)</f>
        <v>0</v>
      </c>
      <c r="L27" s="6"/>
      <c r="V27" s="9"/>
    </row>
    <row r="28" spans="1:22">
      <c r="A28" s="1" t="s">
        <v>49</v>
      </c>
      <c r="B28" s="6">
        <v>0</v>
      </c>
      <c r="C28" s="1">
        <v>0</v>
      </c>
      <c r="D28" s="1">
        <v>0</v>
      </c>
      <c r="E28" s="1">
        <v>0</v>
      </c>
      <c r="F28" s="1">
        <v>0</v>
      </c>
      <c r="G28" s="9">
        <f>SUM(MI_FINANCIAL)</f>
        <v>0</v>
      </c>
      <c r="I28" s="14"/>
      <c r="J28" s="17"/>
      <c r="L28" s="6"/>
      <c r="V28" s="9"/>
    </row>
    <row r="29" spans="1:22">
      <c r="A29" s="1" t="s">
        <v>50</v>
      </c>
      <c r="B29" s="6">
        <v>0</v>
      </c>
      <c r="C29" s="1">
        <v>0</v>
      </c>
      <c r="D29" s="1">
        <v>0</v>
      </c>
      <c r="E29" s="1">
        <v>0</v>
      </c>
      <c r="F29" s="1">
        <v>0</v>
      </c>
      <c r="G29" s="9">
        <f>SUM(MN_FINANCIAL)</f>
        <v>0</v>
      </c>
      <c r="L29" s="6"/>
      <c r="V29" s="9"/>
    </row>
    <row r="30" spans="1:22">
      <c r="A30" s="1" t="s">
        <v>51</v>
      </c>
      <c r="B30" s="6">
        <v>0</v>
      </c>
      <c r="C30" s="1">
        <v>0</v>
      </c>
      <c r="D30" s="1">
        <v>0</v>
      </c>
      <c r="E30" s="1">
        <v>0</v>
      </c>
      <c r="F30" s="1">
        <v>0</v>
      </c>
      <c r="G30" s="9">
        <f>SUM(MS_FINANCIAL)</f>
        <v>0</v>
      </c>
      <c r="L30" s="6"/>
      <c r="V30" s="9"/>
    </row>
    <row r="31" spans="1:22">
      <c r="A31" s="1" t="s">
        <v>52</v>
      </c>
      <c r="B31" s="6">
        <v>0</v>
      </c>
      <c r="C31" s="1">
        <v>0</v>
      </c>
      <c r="D31" s="1">
        <v>0</v>
      </c>
      <c r="E31" s="1">
        <v>0</v>
      </c>
      <c r="F31" s="1">
        <v>0</v>
      </c>
      <c r="G31" s="9">
        <f>SUM(MO_FINANCIAL)</f>
        <v>0</v>
      </c>
      <c r="L31" s="6"/>
      <c r="V31" s="9"/>
    </row>
    <row r="32" spans="1:22">
      <c r="A32" s="1" t="s">
        <v>53</v>
      </c>
      <c r="B32" s="6">
        <v>0</v>
      </c>
      <c r="C32" s="1">
        <v>0</v>
      </c>
      <c r="D32" s="1">
        <v>0</v>
      </c>
      <c r="E32" s="1">
        <v>0</v>
      </c>
      <c r="F32" s="1">
        <v>0</v>
      </c>
      <c r="G32" s="9">
        <f>SUM(MT_FINANCIAL)</f>
        <v>0</v>
      </c>
      <c r="L32" s="6"/>
      <c r="V32" s="9"/>
    </row>
    <row r="33" spans="1:22">
      <c r="A33" s="1" t="s">
        <v>54</v>
      </c>
      <c r="B33" s="6">
        <v>0</v>
      </c>
      <c r="C33" s="1">
        <v>0</v>
      </c>
      <c r="D33" s="1">
        <v>0</v>
      </c>
      <c r="E33" s="1">
        <v>0</v>
      </c>
      <c r="F33" s="1">
        <v>0</v>
      </c>
      <c r="G33" s="9">
        <f>SUM(NE_FINANCIAL)</f>
        <v>0</v>
      </c>
      <c r="L33" s="6"/>
      <c r="V33" s="9"/>
    </row>
    <row r="34" spans="1:22">
      <c r="A34" s="1" t="s">
        <v>55</v>
      </c>
      <c r="B34" s="6">
        <v>0</v>
      </c>
      <c r="C34" s="1">
        <v>0</v>
      </c>
      <c r="D34" s="1">
        <v>0</v>
      </c>
      <c r="E34" s="1">
        <v>0</v>
      </c>
      <c r="F34" s="1">
        <v>0</v>
      </c>
      <c r="G34" s="9">
        <f>SUM(NV_FINANCIAL)</f>
        <v>0</v>
      </c>
      <c r="L34" s="6"/>
      <c r="V34" s="9"/>
    </row>
    <row r="35" spans="1:22">
      <c r="A35" s="1" t="s">
        <v>56</v>
      </c>
      <c r="B35" s="6">
        <v>0</v>
      </c>
      <c r="C35" s="1">
        <v>0</v>
      </c>
      <c r="D35" s="1">
        <v>0</v>
      </c>
      <c r="E35" s="1">
        <v>0</v>
      </c>
      <c r="F35" s="1">
        <v>0</v>
      </c>
      <c r="G35" s="9">
        <f>SUM(NH_FINANCIAL)</f>
        <v>0</v>
      </c>
      <c r="L35" s="6"/>
      <c r="V35" s="9"/>
    </row>
    <row r="36" spans="1:22">
      <c r="A36" s="1" t="s">
        <v>57</v>
      </c>
      <c r="B36" s="6">
        <v>0</v>
      </c>
      <c r="C36" s="1">
        <v>0</v>
      </c>
      <c r="D36" s="1">
        <v>0</v>
      </c>
      <c r="E36" s="1">
        <v>0</v>
      </c>
      <c r="F36" s="1">
        <v>0</v>
      </c>
      <c r="G36" s="9">
        <f>SUM(NJ_FINANCIAL)</f>
        <v>0</v>
      </c>
      <c r="L36" s="6"/>
      <c r="V36" s="9"/>
    </row>
    <row r="37" spans="1:22">
      <c r="A37" s="1" t="s">
        <v>58</v>
      </c>
      <c r="B37" s="6">
        <v>0</v>
      </c>
      <c r="C37" s="1">
        <v>0</v>
      </c>
      <c r="D37" s="1">
        <v>0</v>
      </c>
      <c r="E37" s="1">
        <v>0</v>
      </c>
      <c r="F37" s="1">
        <v>0</v>
      </c>
      <c r="G37" s="9">
        <f>SUM(NM_FINANCIAL)</f>
        <v>0</v>
      </c>
      <c r="L37" s="6"/>
      <c r="V37" s="9"/>
    </row>
    <row r="38" spans="1:22">
      <c r="A38" s="1" t="s">
        <v>59</v>
      </c>
      <c r="B38" s="6">
        <v>0</v>
      </c>
      <c r="C38" s="1">
        <v>0</v>
      </c>
      <c r="D38" s="1">
        <v>0</v>
      </c>
      <c r="E38" s="1">
        <v>0</v>
      </c>
      <c r="F38" s="1">
        <v>0</v>
      </c>
      <c r="G38" s="9">
        <f>SUM(NY_FINANCIAL)</f>
        <v>0</v>
      </c>
      <c r="L38" s="6"/>
      <c r="V38" s="9"/>
    </row>
    <row r="39" spans="1:22">
      <c r="A39" s="1" t="s">
        <v>60</v>
      </c>
      <c r="B39" s="6">
        <v>0</v>
      </c>
      <c r="C39" s="1">
        <v>0</v>
      </c>
      <c r="D39" s="1">
        <v>0</v>
      </c>
      <c r="E39" s="1">
        <v>0</v>
      </c>
      <c r="F39" s="1">
        <v>0</v>
      </c>
      <c r="G39" s="9">
        <f>SUM(NC_FINANCIAL)</f>
        <v>0</v>
      </c>
      <c r="L39" s="6"/>
      <c r="V39" s="9"/>
    </row>
    <row r="40" spans="1:22">
      <c r="A40" s="1" t="s">
        <v>61</v>
      </c>
      <c r="B40" s="6">
        <v>0</v>
      </c>
      <c r="C40" s="1">
        <v>0</v>
      </c>
      <c r="D40" s="1">
        <v>0</v>
      </c>
      <c r="E40" s="1">
        <v>0</v>
      </c>
      <c r="F40" s="1">
        <v>0</v>
      </c>
      <c r="G40" s="9">
        <f>SUM(ND_FINANCIAL)</f>
        <v>0</v>
      </c>
      <c r="L40" s="6"/>
      <c r="V40" s="9"/>
    </row>
    <row r="41" spans="1:22">
      <c r="A41" s="1" t="s">
        <v>62</v>
      </c>
      <c r="B41" s="6">
        <v>0</v>
      </c>
      <c r="C41" s="1">
        <v>0</v>
      </c>
      <c r="D41" s="1">
        <v>0</v>
      </c>
      <c r="E41" s="1">
        <v>0</v>
      </c>
      <c r="F41" s="1">
        <v>0</v>
      </c>
      <c r="G41" s="9">
        <f>SUM(OH_FINANCIAL)</f>
        <v>0</v>
      </c>
      <c r="L41" s="6"/>
      <c r="V41" s="9"/>
    </row>
    <row r="42" spans="1:22">
      <c r="A42" s="1" t="s">
        <v>63</v>
      </c>
      <c r="B42" s="6">
        <v>0</v>
      </c>
      <c r="C42" s="1">
        <v>0</v>
      </c>
      <c r="D42" s="1">
        <v>0</v>
      </c>
      <c r="E42" s="1">
        <v>0</v>
      </c>
      <c r="F42" s="1">
        <v>0</v>
      </c>
      <c r="G42" s="9">
        <f>SUM(OK_FINANCIAL)</f>
        <v>0</v>
      </c>
      <c r="L42" s="6"/>
      <c r="V42" s="9"/>
    </row>
    <row r="43" spans="1:22">
      <c r="A43" s="1" t="s">
        <v>64</v>
      </c>
      <c r="B43" s="6">
        <v>0</v>
      </c>
      <c r="C43" s="1">
        <v>0</v>
      </c>
      <c r="D43" s="1">
        <v>0</v>
      </c>
      <c r="E43" s="1">
        <v>0</v>
      </c>
      <c r="F43" s="1">
        <v>0</v>
      </c>
      <c r="G43" s="9">
        <f>SUM(OR_FINANCIAL)</f>
        <v>0</v>
      </c>
      <c r="L43" s="6"/>
      <c r="V43" s="9"/>
    </row>
    <row r="44" spans="1:22">
      <c r="A44" s="1" t="s">
        <v>65</v>
      </c>
      <c r="B44" s="6">
        <v>0</v>
      </c>
      <c r="C44" s="1">
        <v>0</v>
      </c>
      <c r="D44" s="1">
        <v>0</v>
      </c>
      <c r="E44" s="1">
        <v>0</v>
      </c>
      <c r="F44" s="1">
        <v>0</v>
      </c>
      <c r="G44" s="9">
        <f>SUM(PA_FINANCIAL)</f>
        <v>0</v>
      </c>
      <c r="L44" s="6"/>
      <c r="V44" s="9"/>
    </row>
    <row r="45" spans="1:22">
      <c r="A45" s="1" t="s">
        <v>66</v>
      </c>
      <c r="B45" s="6">
        <v>0</v>
      </c>
      <c r="C45" s="1">
        <v>0</v>
      </c>
      <c r="D45" s="1">
        <v>0</v>
      </c>
      <c r="E45" s="1">
        <v>0</v>
      </c>
      <c r="F45" s="1">
        <v>0</v>
      </c>
      <c r="G45" s="9">
        <f>SUM(PR_FINANCIAL)</f>
        <v>0</v>
      </c>
      <c r="L45" s="6"/>
      <c r="V45" s="9"/>
    </row>
    <row r="46" spans="1:22">
      <c r="A46" s="1" t="s">
        <v>67</v>
      </c>
      <c r="B46" s="6">
        <v>0</v>
      </c>
      <c r="C46" s="1">
        <v>0</v>
      </c>
      <c r="D46" s="1">
        <v>0</v>
      </c>
      <c r="E46" s="1">
        <v>0</v>
      </c>
      <c r="F46" s="1">
        <v>0</v>
      </c>
      <c r="G46" s="9">
        <f>SUM(RI_FINANCIAL)</f>
        <v>0</v>
      </c>
      <c r="L46" s="6"/>
      <c r="V46" s="9"/>
    </row>
    <row r="47" spans="1:22">
      <c r="A47" s="1" t="s">
        <v>68</v>
      </c>
      <c r="B47" s="6">
        <v>0</v>
      </c>
      <c r="C47" s="1">
        <v>0</v>
      </c>
      <c r="D47" s="1">
        <v>0</v>
      </c>
      <c r="E47" s="1">
        <v>0</v>
      </c>
      <c r="F47" s="1">
        <v>0</v>
      </c>
      <c r="G47" s="9">
        <f>SUM(SC_FINANCIAL)</f>
        <v>0</v>
      </c>
      <c r="L47" s="6"/>
      <c r="V47" s="9"/>
    </row>
    <row r="48" spans="1:22">
      <c r="A48" s="1" t="s">
        <v>69</v>
      </c>
      <c r="B48" s="6">
        <v>0</v>
      </c>
      <c r="C48" s="1">
        <v>0</v>
      </c>
      <c r="D48" s="1">
        <v>0</v>
      </c>
      <c r="E48" s="1">
        <v>0</v>
      </c>
      <c r="F48" s="1">
        <v>0</v>
      </c>
      <c r="G48" s="9">
        <f>SUM(SD_FINANCIAL)</f>
        <v>0</v>
      </c>
      <c r="L48" s="6"/>
      <c r="V48" s="9"/>
    </row>
    <row r="49" spans="1:22">
      <c r="A49" s="1" t="s">
        <v>70</v>
      </c>
      <c r="B49" s="6">
        <v>0</v>
      </c>
      <c r="C49" s="1">
        <v>0</v>
      </c>
      <c r="D49" s="1">
        <v>0</v>
      </c>
      <c r="E49" s="1">
        <v>0</v>
      </c>
      <c r="F49" s="1">
        <v>0</v>
      </c>
      <c r="G49" s="9">
        <f>SUM(TN_FINANCIAL)</f>
        <v>0</v>
      </c>
      <c r="L49" s="6"/>
      <c r="V49" s="9"/>
    </row>
    <row r="50" spans="1:22">
      <c r="A50" s="1" t="s">
        <v>71</v>
      </c>
      <c r="B50" s="6">
        <v>0</v>
      </c>
      <c r="C50" s="1">
        <v>0</v>
      </c>
      <c r="D50" s="1">
        <v>0</v>
      </c>
      <c r="E50" s="1">
        <v>0</v>
      </c>
      <c r="F50" s="1">
        <v>0</v>
      </c>
      <c r="G50" s="9">
        <f>SUM(TX_FINANCIAL)</f>
        <v>0</v>
      </c>
      <c r="L50" s="6">
        <v>0</v>
      </c>
      <c r="M50" s="1">
        <v>170000</v>
      </c>
      <c r="O50" s="1">
        <v>0</v>
      </c>
      <c r="P50" s="1">
        <v>0</v>
      </c>
      <c r="R50" s="1">
        <v>250000</v>
      </c>
      <c r="S50" s="1">
        <v>0</v>
      </c>
      <c r="U50" s="1">
        <v>0</v>
      </c>
      <c r="V50" s="9">
        <v>0</v>
      </c>
    </row>
    <row r="51" spans="1:22">
      <c r="A51" s="1" t="s">
        <v>72</v>
      </c>
      <c r="B51" s="6">
        <v>0</v>
      </c>
      <c r="C51" s="1">
        <v>0</v>
      </c>
      <c r="D51" s="1">
        <v>0</v>
      </c>
      <c r="E51" s="1">
        <v>0</v>
      </c>
      <c r="F51" s="1">
        <v>0</v>
      </c>
      <c r="G51" s="9">
        <f>SUM(UT_FINANCIAL)</f>
        <v>0</v>
      </c>
      <c r="L51" s="6"/>
      <c r="V51" s="9"/>
    </row>
    <row r="52" spans="1:22">
      <c r="A52" s="1" t="s">
        <v>73</v>
      </c>
      <c r="B52" s="6">
        <v>0</v>
      </c>
      <c r="C52" s="1">
        <v>0</v>
      </c>
      <c r="D52" s="1">
        <v>0</v>
      </c>
      <c r="E52" s="1">
        <v>0</v>
      </c>
      <c r="F52" s="1">
        <v>0</v>
      </c>
      <c r="G52" s="9">
        <f>SUM(VT_FINANCIAL)</f>
        <v>0</v>
      </c>
      <c r="L52" s="6"/>
      <c r="V52" s="9"/>
    </row>
    <row r="53" spans="1:22">
      <c r="A53" s="1" t="s">
        <v>74</v>
      </c>
      <c r="B53" s="6">
        <v>0</v>
      </c>
      <c r="C53" s="1">
        <v>0</v>
      </c>
      <c r="D53" s="1">
        <v>0</v>
      </c>
      <c r="E53" s="1">
        <v>0</v>
      </c>
      <c r="F53" s="1">
        <v>0</v>
      </c>
      <c r="G53" s="9">
        <f>SUM(VA_FINANCIAL)</f>
        <v>0</v>
      </c>
      <c r="L53" s="6"/>
      <c r="V53" s="9"/>
    </row>
    <row r="54" spans="1:22">
      <c r="A54" s="1" t="s">
        <v>75</v>
      </c>
      <c r="B54" s="6">
        <v>0</v>
      </c>
      <c r="C54" s="1">
        <v>0</v>
      </c>
      <c r="D54" s="1">
        <v>0</v>
      </c>
      <c r="E54" s="1">
        <v>0</v>
      </c>
      <c r="F54" s="1">
        <v>0</v>
      </c>
      <c r="G54" s="9">
        <f>SUM(WA_FINANCIAL)</f>
        <v>0</v>
      </c>
      <c r="L54" s="6"/>
      <c r="V54" s="9"/>
    </row>
    <row r="55" spans="1:22">
      <c r="A55" s="1" t="s">
        <v>76</v>
      </c>
      <c r="B55" s="6">
        <v>0</v>
      </c>
      <c r="C55" s="1">
        <v>0</v>
      </c>
      <c r="D55" s="1">
        <v>0</v>
      </c>
      <c r="E55" s="1">
        <v>0</v>
      </c>
      <c r="F55" s="1">
        <v>0</v>
      </c>
      <c r="G55" s="9">
        <f>SUM(WV_FINANCIAL)</f>
        <v>0</v>
      </c>
      <c r="L55" s="6"/>
      <c r="V55" s="9"/>
    </row>
    <row r="56" spans="1:22">
      <c r="A56" s="1" t="s">
        <v>77</v>
      </c>
      <c r="B56" s="6">
        <v>0</v>
      </c>
      <c r="C56" s="1">
        <v>0</v>
      </c>
      <c r="D56" s="1">
        <v>0</v>
      </c>
      <c r="E56" s="1">
        <v>0</v>
      </c>
      <c r="F56" s="1">
        <v>0</v>
      </c>
      <c r="G56" s="9">
        <f>SUM(WI_FINANCIAL)</f>
        <v>0</v>
      </c>
      <c r="L56" s="6"/>
      <c r="V56" s="9"/>
    </row>
    <row r="57" spans="1:22">
      <c r="A57" s="1" t="s">
        <v>78</v>
      </c>
      <c r="B57" s="6">
        <v>0</v>
      </c>
      <c r="C57" s="1">
        <v>0</v>
      </c>
      <c r="D57" s="1">
        <v>0</v>
      </c>
      <c r="E57" s="1">
        <v>0</v>
      </c>
      <c r="F57" s="1">
        <v>0</v>
      </c>
      <c r="G57" s="9">
        <f>SUM(WY_FINANCIAL)</f>
        <v>0</v>
      </c>
      <c r="L57" s="6"/>
      <c r="V57" s="9"/>
    </row>
    <row r="58" spans="1:22">
      <c r="A58" s="1" t="s">
        <v>79</v>
      </c>
      <c r="B58" s="6">
        <v>0</v>
      </c>
      <c r="C58" s="1">
        <v>0</v>
      </c>
      <c r="D58" s="1">
        <v>0</v>
      </c>
      <c r="E58" s="1">
        <v>0</v>
      </c>
      <c r="F58" s="1">
        <v>0</v>
      </c>
      <c r="G58" s="9">
        <f>SUM(OT_FINANCIAL)</f>
        <v>0</v>
      </c>
      <c r="L58" s="6"/>
      <c r="V58" s="9"/>
    </row>
    <row r="59" spans="1:22">
      <c r="B59" s="6"/>
      <c r="G59" s="9"/>
      <c r="L59" s="6"/>
      <c r="V59" s="9"/>
    </row>
    <row r="60" spans="1:22">
      <c r="A60" s="1" t="s">
        <v>8</v>
      </c>
      <c r="B60" s="6">
        <f>SUM(LIFE)</f>
        <v>0</v>
      </c>
      <c r="C60" s="1">
        <f>SUM(ALLOCATED)</f>
        <v>0</v>
      </c>
      <c r="D60" s="1">
        <f>SUM(HEALTH)</f>
        <v>0</v>
      </c>
      <c r="E60" s="1">
        <f>SUM(UNALLOCATED)</f>
        <v>0</v>
      </c>
      <c r="F60" s="1">
        <f>SUM(LTC)</f>
        <v>0</v>
      </c>
      <c r="G60" s="9">
        <f>SUM(ALL_BLOCKS)</f>
        <v>0</v>
      </c>
      <c r="L60" s="6">
        <f>SUM(LIFE_CALLED)</f>
        <v>0</v>
      </c>
      <c r="M60" s="1">
        <f>SUM(LIFE_REFUNDED)</f>
        <v>170000</v>
      </c>
      <c r="O60" s="1">
        <f>SUM(ALLOC_CALLED)</f>
        <v>0</v>
      </c>
      <c r="P60" s="1">
        <f>SUM(ALLOC_REFUNDED)</f>
        <v>0</v>
      </c>
      <c r="R60" s="1">
        <f>SUM(HEALTH_CALLED)</f>
        <v>400000</v>
      </c>
      <c r="S60" s="1">
        <f>SUM(HEALTH_REFUNDED)</f>
        <v>0</v>
      </c>
      <c r="U60" s="1">
        <f>SUM(UNALLOC_CALLED)</f>
        <v>0</v>
      </c>
      <c r="V60" s="9">
        <f>SUM(UNALLOC_REFUNDED)</f>
        <v>0</v>
      </c>
    </row>
    <row r="61" spans="1:22" ht="5.0999999999999996" customHeight="1">
      <c r="B61" s="6"/>
      <c r="G61" s="9"/>
      <c r="L61" s="6"/>
      <c r="V61" s="9"/>
    </row>
    <row r="62" spans="1:22">
      <c r="B62" s="6"/>
      <c r="G62" s="9"/>
      <c r="L62" s="78" t="s">
        <v>80</v>
      </c>
      <c r="M62" s="79"/>
      <c r="N62" s="79"/>
      <c r="O62" s="79"/>
      <c r="P62" s="79"/>
      <c r="Q62" s="79"/>
      <c r="R62" s="79"/>
      <c r="S62" s="79"/>
      <c r="T62" s="79"/>
      <c r="U62" s="79"/>
      <c r="V62" s="80"/>
    </row>
    <row r="63" spans="1:22">
      <c r="B63" s="6"/>
      <c r="G63" s="9"/>
      <c r="L63" s="81"/>
      <c r="M63" s="79"/>
      <c r="N63" s="79"/>
      <c r="O63" s="79"/>
      <c r="P63" s="79"/>
      <c r="Q63" s="79"/>
      <c r="R63" s="79"/>
      <c r="S63" s="79"/>
      <c r="T63" s="79"/>
      <c r="U63" s="79"/>
      <c r="V63" s="80"/>
    </row>
    <row r="64" spans="1:22">
      <c r="B64" s="8"/>
      <c r="C64" s="5"/>
      <c r="D64" s="5"/>
      <c r="E64" s="5"/>
      <c r="F64" s="5"/>
      <c r="G64" s="11"/>
      <c r="L64" s="82"/>
      <c r="M64" s="83"/>
      <c r="N64" s="83"/>
      <c r="O64" s="83"/>
      <c r="P64" s="83"/>
      <c r="Q64" s="83"/>
      <c r="R64" s="83"/>
      <c r="S64" s="83"/>
      <c r="T64" s="83"/>
      <c r="U64" s="83"/>
      <c r="V64" s="84"/>
    </row>
  </sheetData>
  <mergeCells count="8">
    <mergeCell ref="L62:V64"/>
    <mergeCell ref="A1:G1"/>
    <mergeCell ref="B3:G3"/>
    <mergeCell ref="L3:V3"/>
    <mergeCell ref="L4:M4"/>
    <mergeCell ref="O4:P4"/>
    <mergeCell ref="R4:S4"/>
    <mergeCell ref="U4:V4"/>
  </mergeCells>
  <pageMargins left="0" right="0" top="0" bottom="0" header="0" footer="0"/>
  <pageSetup scale="48" orientation="landscape"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pageSetUpPr fitToPage="1"/>
  </sheetPr>
  <dimension ref="A1:AD131"/>
  <sheetViews>
    <sheetView zoomScale="80" zoomScaleNormal="80" workbookViewId="0">
      <pane xSplit="2" ySplit="4" topLeftCell="G100" activePane="bottomRight" state="frozen"/>
      <selection sqref="A1:G1"/>
      <selection pane="topRight" sqref="A1:G1"/>
      <selection pane="bottomLeft" sqref="A1:G1"/>
      <selection pane="bottomRight" activeCell="J76" sqref="J76"/>
    </sheetView>
  </sheetViews>
  <sheetFormatPr defaultColWidth="9.109375" defaultRowHeight="14.4"/>
  <cols>
    <col min="1" max="1" width="7.6640625" style="1" customWidth="1"/>
    <col min="2" max="2" width="45" style="1" customWidth="1"/>
    <col min="3" max="3" width="8" style="1" customWidth="1"/>
    <col min="4" max="4" width="10" style="1" customWidth="1"/>
    <col min="5" max="17" width="15" style="1" customWidth="1"/>
    <col min="18" max="19" width="1" style="1" customWidth="1"/>
    <col min="20" max="21" width="15" style="1" customWidth="1"/>
    <col min="22" max="22" width="1" style="1" customWidth="1"/>
    <col min="23" max="24" width="15" style="1" customWidth="1"/>
    <col min="25" max="25" width="1" style="1" customWidth="1"/>
    <col min="26" max="27" width="15" style="1" customWidth="1"/>
    <col min="28" max="28" width="1" style="1" customWidth="1"/>
    <col min="29" max="30" width="15" style="1" customWidth="1"/>
    <col min="31" max="31" width="9.109375" style="1" customWidth="1"/>
    <col min="32" max="16384" width="9.109375" style="1"/>
  </cols>
  <sheetData>
    <row r="1" spans="1:30" ht="15" thickBot="1"/>
    <row r="2" spans="1:30">
      <c r="A2" s="2"/>
      <c r="B2" s="86" t="s">
        <v>1</v>
      </c>
      <c r="C2" s="87"/>
      <c r="D2" s="87"/>
      <c r="E2" s="87"/>
      <c r="F2" s="87"/>
      <c r="G2" s="87"/>
      <c r="H2" s="87"/>
      <c r="I2" s="87"/>
      <c r="J2" s="87"/>
      <c r="K2" s="87"/>
      <c r="L2" s="87"/>
      <c r="M2" s="87"/>
      <c r="N2" s="87"/>
      <c r="O2" s="87"/>
      <c r="P2" s="87"/>
      <c r="Q2" s="88"/>
      <c r="R2" s="2"/>
      <c r="S2" s="2"/>
      <c r="T2" s="86" t="s">
        <v>2</v>
      </c>
      <c r="U2" s="87"/>
      <c r="V2" s="87"/>
      <c r="W2" s="87"/>
      <c r="X2" s="87"/>
      <c r="Y2" s="87"/>
      <c r="Z2" s="87"/>
      <c r="AA2" s="87"/>
      <c r="AB2" s="87"/>
      <c r="AC2" s="87"/>
      <c r="AD2" s="88"/>
    </row>
    <row r="3" spans="1:30" ht="25.8">
      <c r="A3" s="2"/>
      <c r="B3" s="22"/>
      <c r="C3" s="2"/>
      <c r="D3" s="2"/>
      <c r="E3" s="2"/>
      <c r="F3" s="2"/>
      <c r="G3" s="2"/>
      <c r="H3" s="2"/>
      <c r="I3" s="2"/>
      <c r="J3" s="2"/>
      <c r="K3" s="2"/>
      <c r="L3" s="99" t="s">
        <v>717</v>
      </c>
      <c r="M3" s="99"/>
      <c r="N3" s="99"/>
      <c r="O3" s="99"/>
      <c r="P3" s="34"/>
      <c r="Q3" s="24"/>
      <c r="R3" s="2"/>
      <c r="S3" s="2"/>
      <c r="T3" s="96" t="s">
        <v>3</v>
      </c>
      <c r="U3" s="97"/>
      <c r="V3" s="2"/>
      <c r="W3" s="97" t="s">
        <v>4</v>
      </c>
      <c r="X3" s="97"/>
      <c r="Y3" s="2"/>
      <c r="Z3" s="97" t="s">
        <v>5</v>
      </c>
      <c r="AA3" s="97"/>
      <c r="AB3" s="2"/>
      <c r="AC3" s="97" t="s">
        <v>6</v>
      </c>
      <c r="AD3" s="98"/>
    </row>
    <row r="4" spans="1:30" ht="45" customHeight="1" thickBot="1">
      <c r="A4" s="2"/>
      <c r="B4" s="23"/>
      <c r="C4" s="21" t="s">
        <v>180</v>
      </c>
      <c r="D4" s="21" t="s">
        <v>181</v>
      </c>
      <c r="E4" s="21" t="s">
        <v>182</v>
      </c>
      <c r="F4" s="21" t="s">
        <v>183</v>
      </c>
      <c r="G4" s="21" t="s">
        <v>184</v>
      </c>
      <c r="H4" s="21" t="s">
        <v>185</v>
      </c>
      <c r="I4" s="21" t="s">
        <v>186</v>
      </c>
      <c r="J4" s="21" t="s">
        <v>3</v>
      </c>
      <c r="K4" s="21" t="s">
        <v>4</v>
      </c>
      <c r="L4" s="21" t="s">
        <v>5</v>
      </c>
      <c r="M4" s="21" t="s">
        <v>6</v>
      </c>
      <c r="N4" s="21" t="s">
        <v>7</v>
      </c>
      <c r="O4" s="21" t="s">
        <v>187</v>
      </c>
      <c r="P4" s="21" t="s">
        <v>188</v>
      </c>
      <c r="Q4" s="25" t="s">
        <v>189</v>
      </c>
      <c r="R4" s="2"/>
      <c r="S4" s="2"/>
      <c r="T4" s="23" t="s">
        <v>9</v>
      </c>
      <c r="U4" s="21" t="s">
        <v>10</v>
      </c>
      <c r="V4" s="21"/>
      <c r="W4" s="21" t="s">
        <v>9</v>
      </c>
      <c r="X4" s="21" t="s">
        <v>10</v>
      </c>
      <c r="Y4" s="21"/>
      <c r="Z4" s="21" t="s">
        <v>9</v>
      </c>
      <c r="AA4" s="21" t="s">
        <v>10</v>
      </c>
      <c r="AB4" s="21"/>
      <c r="AC4" s="21" t="s">
        <v>9</v>
      </c>
      <c r="AD4" s="25" t="s">
        <v>10</v>
      </c>
    </row>
    <row r="5" spans="1:30" ht="15.6" customHeight="1" thickBot="1">
      <c r="A5" s="2"/>
      <c r="B5" s="2"/>
      <c r="C5" s="2"/>
      <c r="D5" s="2"/>
      <c r="E5" s="2"/>
      <c r="F5" s="2"/>
      <c r="G5" s="2"/>
      <c r="H5" s="2"/>
      <c r="I5" s="2"/>
      <c r="J5" s="2"/>
      <c r="K5" s="2"/>
      <c r="L5" s="2"/>
      <c r="M5" s="2"/>
      <c r="N5" s="2"/>
      <c r="O5" s="2"/>
      <c r="P5" s="2"/>
      <c r="Q5" s="35"/>
      <c r="R5" s="2"/>
      <c r="S5" s="2"/>
      <c r="T5" s="35"/>
      <c r="U5" s="2"/>
      <c r="V5" s="2"/>
      <c r="W5" s="2"/>
      <c r="X5" s="2"/>
      <c r="Y5" s="2"/>
      <c r="Z5" s="2"/>
      <c r="AA5" s="2"/>
      <c r="AB5" s="2"/>
      <c r="AC5" s="2"/>
      <c r="AD5" s="35"/>
    </row>
    <row r="6" spans="1:30">
      <c r="B6" s="27" t="s">
        <v>190</v>
      </c>
      <c r="C6" s="26"/>
      <c r="D6" s="26"/>
      <c r="E6" s="26"/>
      <c r="F6" s="26"/>
      <c r="G6" s="26"/>
      <c r="H6" s="26"/>
      <c r="I6" s="26"/>
      <c r="J6" s="26"/>
      <c r="K6" s="26"/>
      <c r="L6" s="26"/>
      <c r="M6" s="26"/>
      <c r="N6" s="26"/>
      <c r="O6" s="26"/>
      <c r="P6" s="29"/>
      <c r="Q6" s="28"/>
      <c r="T6" s="29"/>
      <c r="U6" s="26"/>
      <c r="V6" s="26"/>
      <c r="W6" s="26"/>
      <c r="X6" s="26"/>
      <c r="Y6" s="26"/>
      <c r="Z6" s="26"/>
      <c r="AA6" s="26"/>
      <c r="AB6" s="26"/>
      <c r="AC6" s="26"/>
      <c r="AD6" s="28"/>
    </row>
    <row r="7" spans="1:30" ht="6.9" customHeight="1">
      <c r="B7" s="6"/>
      <c r="P7" s="6"/>
      <c r="Q7" s="9"/>
      <c r="T7" s="6"/>
      <c r="AD7" s="9"/>
    </row>
    <row r="8" spans="1:30">
      <c r="B8" s="6" t="s">
        <v>191</v>
      </c>
      <c r="C8" s="1" t="s">
        <v>192</v>
      </c>
      <c r="D8" s="1" t="s">
        <v>193</v>
      </c>
      <c r="E8" s="1" t="s">
        <v>194</v>
      </c>
      <c r="J8" s="1">
        <f>SUM('Monarch Life'!LIFE)</f>
        <v>210029.4333002269</v>
      </c>
      <c r="K8" s="1">
        <f>SUM('Monarch Life'!ALLOCATED)</f>
        <v>93116.427799362893</v>
      </c>
      <c r="L8" s="1">
        <f>SUM('Monarch Life'!HEALTH)</f>
        <v>206891.27890041014</v>
      </c>
      <c r="M8" s="1">
        <f>SUM('Monarch Life'!UNALLOCATED)</f>
        <v>0</v>
      </c>
      <c r="N8" s="1">
        <f>SUM('Monarch Life'!LTC)</f>
        <v>0</v>
      </c>
      <c r="O8" s="1">
        <f>SUM(J8:N8)</f>
        <v>510037.1399999999</v>
      </c>
      <c r="P8" s="6">
        <v>510037.13999999984</v>
      </c>
      <c r="Q8" s="9">
        <f>+O8-P8</f>
        <v>0</v>
      </c>
      <c r="T8" s="6">
        <f>SUM('Monarch Life'!LIFE_CALLED)</f>
        <v>5138</v>
      </c>
      <c r="U8" s="1">
        <f>SUM('Monarch Life'!LIFE_REFUNDED)</f>
        <v>490</v>
      </c>
      <c r="W8" s="1">
        <f>SUM('Monarch Life'!ALLOC_CALLED)</f>
        <v>228</v>
      </c>
      <c r="X8" s="1">
        <f>SUM('Monarch Life'!ALLOC_REFUNDED)</f>
        <v>0</v>
      </c>
      <c r="Z8" s="1">
        <f>SUM('Monarch Life'!HEALTH_CALLED)</f>
        <v>304</v>
      </c>
      <c r="AA8" s="1">
        <f>SUM('Monarch Life'!HEALTH_REFUNDED)</f>
        <v>0</v>
      </c>
      <c r="AC8" s="1">
        <f>SUM('Monarch Life'!UNALLOC_CALLED)</f>
        <v>0</v>
      </c>
      <c r="AD8" s="9">
        <f>SUM('Monarch Life'!UNALLOC_REFUNDED)</f>
        <v>0</v>
      </c>
    </row>
    <row r="9" spans="1:30" ht="6.9" customHeight="1" thickBot="1">
      <c r="B9" s="8"/>
      <c r="C9" s="5"/>
      <c r="D9" s="5"/>
      <c r="E9" s="5"/>
      <c r="F9" s="5"/>
      <c r="G9" s="5"/>
      <c r="H9" s="5"/>
      <c r="I9" s="5"/>
      <c r="J9" s="5"/>
      <c r="K9" s="5"/>
      <c r="L9" s="5"/>
      <c r="M9" s="5"/>
      <c r="N9" s="5"/>
      <c r="O9" s="5"/>
      <c r="P9" s="8"/>
      <c r="Q9" s="11"/>
      <c r="T9" s="8"/>
      <c r="U9" s="5"/>
      <c r="V9" s="5"/>
      <c r="W9" s="5"/>
      <c r="X9" s="5"/>
      <c r="Y9" s="5"/>
      <c r="Z9" s="5"/>
      <c r="AA9" s="5"/>
      <c r="AB9" s="5"/>
      <c r="AC9" s="5"/>
      <c r="AD9" s="11"/>
    </row>
    <row r="10" spans="1:30" ht="15" thickBot="1">
      <c r="B10" s="31" t="s">
        <v>195</v>
      </c>
      <c r="C10" s="30"/>
      <c r="D10" s="30"/>
      <c r="E10" s="30"/>
      <c r="F10" s="30"/>
      <c r="G10" s="30"/>
      <c r="H10" s="30"/>
      <c r="I10" s="30"/>
      <c r="J10" s="30">
        <f>SUM(PL_LIFE)</f>
        <v>210029.4333002269</v>
      </c>
      <c r="K10" s="30">
        <f>SUM(PL_ALLOCATED)</f>
        <v>93116.427799362893</v>
      </c>
      <c r="L10" s="30">
        <f>SUM(PL_HEALTH)</f>
        <v>206891.27890041014</v>
      </c>
      <c r="M10" s="30">
        <f>SUM(PL_UNALLOCATED)</f>
        <v>0</v>
      </c>
      <c r="N10" s="30">
        <f>SUM(PL_LTC)</f>
        <v>0</v>
      </c>
      <c r="O10" s="30">
        <f>SUM(PL_TOTAL)</f>
        <v>510037.1399999999</v>
      </c>
      <c r="P10" s="33">
        <f>SUM(PL_TOTAL_PREV)</f>
        <v>510037.13999999984</v>
      </c>
      <c r="Q10" s="32">
        <f>SUM(PL_CHANGE)</f>
        <v>0</v>
      </c>
      <c r="T10" s="33">
        <f>SUM(PL_LIFE_CALLED)</f>
        <v>5138</v>
      </c>
      <c r="U10" s="30">
        <f>SUM(PL_LIFE_REFUNDED)</f>
        <v>490</v>
      </c>
      <c r="V10" s="30"/>
      <c r="W10" s="30">
        <f>SUM(PL_ALLOC_CALLED)</f>
        <v>228</v>
      </c>
      <c r="X10" s="30">
        <f>SUM(PL_ALLOC_REFUNDED)</f>
        <v>0</v>
      </c>
      <c r="Y10" s="30"/>
      <c r="Z10" s="30">
        <f>SUM(PL_HEALTH_CALLED)</f>
        <v>304</v>
      </c>
      <c r="AA10" s="30">
        <f>SUM(PL_HEALTH_REFUNDED)</f>
        <v>0</v>
      </c>
      <c r="AB10" s="30"/>
      <c r="AC10" s="30">
        <f>SUM(PL_UNALLOC_CALLED)</f>
        <v>0</v>
      </c>
      <c r="AD10" s="32">
        <f>SUM(PL_UNALLOC_REFUNDED)</f>
        <v>0</v>
      </c>
    </row>
    <row r="12" spans="1:30">
      <c r="B12" s="27" t="s">
        <v>196</v>
      </c>
      <c r="C12" s="26"/>
      <c r="D12" s="26"/>
      <c r="E12" s="26"/>
      <c r="F12" s="26"/>
      <c r="G12" s="26"/>
      <c r="H12" s="26"/>
      <c r="I12" s="26"/>
      <c r="J12" s="26"/>
      <c r="K12" s="26"/>
      <c r="L12" s="26"/>
      <c r="M12" s="26"/>
      <c r="N12" s="26"/>
      <c r="O12" s="26"/>
      <c r="P12" s="29"/>
      <c r="Q12" s="28"/>
      <c r="T12" s="29"/>
      <c r="U12" s="26"/>
      <c r="V12" s="26"/>
      <c r="W12" s="26"/>
      <c r="X12" s="26"/>
      <c r="Y12" s="26"/>
      <c r="Z12" s="26"/>
      <c r="AA12" s="26"/>
      <c r="AB12" s="26"/>
      <c r="AC12" s="26"/>
      <c r="AD12" s="28"/>
    </row>
    <row r="13" spans="1:30" ht="6.9" customHeight="1">
      <c r="B13" s="6"/>
      <c r="P13" s="6"/>
      <c r="Q13" s="9"/>
      <c r="T13" s="6"/>
      <c r="AD13" s="9"/>
    </row>
    <row r="14" spans="1:30">
      <c r="B14" s="6" t="s">
        <v>197</v>
      </c>
      <c r="C14" s="1" t="s">
        <v>198</v>
      </c>
      <c r="D14" s="1" t="s">
        <v>199</v>
      </c>
      <c r="E14" s="1" t="s">
        <v>200</v>
      </c>
      <c r="F14" s="1" t="s">
        <v>201</v>
      </c>
      <c r="G14" s="1" t="s">
        <v>202</v>
      </c>
      <c r="J14" s="1">
        <f>SUM('American Network'!LIFE)</f>
        <v>0</v>
      </c>
      <c r="K14" s="1">
        <f>SUM('American Network'!ALLOCATED)</f>
        <v>0</v>
      </c>
      <c r="L14" s="1">
        <f>SUM('American Network'!HEALTH)</f>
        <v>327202677.28898656</v>
      </c>
      <c r="M14" s="1">
        <f>SUM('American Network'!UNALLOCATED)</f>
        <v>0</v>
      </c>
      <c r="N14" s="1">
        <f>SUM('American Network'!LTC)</f>
        <v>0</v>
      </c>
      <c r="O14" s="1">
        <f t="shared" ref="O14:O24" si="0">SUM(J14:N14)</f>
        <v>327202677.28898656</v>
      </c>
      <c r="P14" s="6">
        <v>341417618.03803885</v>
      </c>
      <c r="Q14" s="9">
        <f t="shared" ref="Q14:Q24" si="1">+O14-P14</f>
        <v>-14214940.749052286</v>
      </c>
      <c r="T14" s="6">
        <f>SUM('American Network'!LIFE_CALLED)</f>
        <v>0</v>
      </c>
      <c r="U14" s="1">
        <f>SUM('American Network'!LIFE_REFUNDED)</f>
        <v>0</v>
      </c>
      <c r="W14" s="1">
        <f>SUM('American Network'!ALLOC_CALLED)</f>
        <v>0</v>
      </c>
      <c r="X14" s="1">
        <f>SUM('American Network'!ALLOC_REFUNDED)</f>
        <v>0</v>
      </c>
      <c r="Z14" s="1">
        <f>SUM('American Network'!HEALTH_CALLED)</f>
        <v>189339223</v>
      </c>
      <c r="AA14" s="1">
        <f>SUM('American Network'!HEALTH_REFUNDED)</f>
        <v>7752</v>
      </c>
      <c r="AC14" s="1">
        <f>SUM('American Network'!UNALLOC_CALLED)</f>
        <v>0</v>
      </c>
      <c r="AD14" s="9">
        <f>SUM('American Network'!UNALLOC_REFUNDED)</f>
        <v>0</v>
      </c>
    </row>
    <row r="15" spans="1:30">
      <c r="B15" s="6" t="s">
        <v>203</v>
      </c>
      <c r="C15" s="1" t="s">
        <v>204</v>
      </c>
      <c r="D15" s="1" t="s">
        <v>205</v>
      </c>
      <c r="E15" s="1" t="s">
        <v>206</v>
      </c>
      <c r="F15" s="1" t="s">
        <v>207</v>
      </c>
      <c r="J15" s="1">
        <f>SUM('Bankers Life'!LIFE)</f>
        <v>0</v>
      </c>
      <c r="K15" s="1">
        <f>SUM('Bankers Life'!ALLOCATED)</f>
        <v>346567557.90501577</v>
      </c>
      <c r="L15" s="1">
        <f>SUM('Bankers Life'!HEALTH)</f>
        <v>0</v>
      </c>
      <c r="M15" s="1">
        <f>SUM('Bankers Life'!UNALLOCATED)</f>
        <v>0</v>
      </c>
      <c r="N15" s="1">
        <f>SUM('Bankers Life'!LTC)</f>
        <v>0</v>
      </c>
      <c r="O15" s="1">
        <f t="shared" si="0"/>
        <v>346567557.90501577</v>
      </c>
      <c r="P15" s="6">
        <v>321678386.90501571</v>
      </c>
      <c r="Q15" s="9">
        <f t="shared" si="1"/>
        <v>24889171.00000006</v>
      </c>
      <c r="T15" s="6">
        <f>SUM('Bankers Life'!LIFE_CALLED)</f>
        <v>1200000</v>
      </c>
      <c r="U15" s="1">
        <f>SUM('Bankers Life'!LIFE_REFUNDED)</f>
        <v>0</v>
      </c>
      <c r="W15" s="1">
        <f>SUM('Bankers Life'!ALLOC_CALLED)</f>
        <v>354476194</v>
      </c>
      <c r="X15" s="1">
        <f>SUM('Bankers Life'!ALLOC_REFUNDED)</f>
        <v>0</v>
      </c>
      <c r="Z15" s="1">
        <f>SUM('Bankers Life'!HEALTH_CALLED)</f>
        <v>0</v>
      </c>
      <c r="AA15" s="1">
        <f>SUM('Bankers Life'!HEALTH_REFUNDED)</f>
        <v>0</v>
      </c>
      <c r="AC15" s="1">
        <f>SUM('Bankers Life'!UNALLOC_CALLED)</f>
        <v>0</v>
      </c>
      <c r="AD15" s="9">
        <f>SUM('Bankers Life'!UNALLOC_REFUNDED)</f>
        <v>0</v>
      </c>
    </row>
    <row r="16" spans="1:30">
      <c r="B16" s="6" t="s">
        <v>208</v>
      </c>
      <c r="C16" s="1" t="s">
        <v>209</v>
      </c>
      <c r="D16" s="1" t="s">
        <v>210</v>
      </c>
      <c r="E16" s="1" t="s">
        <v>211</v>
      </c>
      <c r="F16" s="1" t="s">
        <v>212</v>
      </c>
      <c r="G16" s="1" t="s">
        <v>213</v>
      </c>
      <c r="J16" s="1">
        <f>SUM('Booker T Washington'!LIFE)</f>
        <v>27012967.458309822</v>
      </c>
      <c r="K16" s="1">
        <f>SUM('Booker T Washington'!ALLOCATED)</f>
        <v>0</v>
      </c>
      <c r="L16" s="1">
        <f>SUM('Booker T Washington'!HEALTH)</f>
        <v>45095.769999998709</v>
      </c>
      <c r="M16" s="1">
        <f>SUM('Booker T Washington'!UNALLOCATED)</f>
        <v>0</v>
      </c>
      <c r="N16" s="1">
        <f>SUM('Booker T Washington'!LTC)</f>
        <v>0</v>
      </c>
      <c r="O16" s="1">
        <f t="shared" si="0"/>
        <v>27058063.228309821</v>
      </c>
      <c r="P16" s="6">
        <v>25719888.248309892</v>
      </c>
      <c r="Q16" s="9">
        <f t="shared" si="1"/>
        <v>1338174.9799999297</v>
      </c>
      <c r="T16" s="6">
        <f>SUM('Booker T Washington'!LIFE_CALLED)</f>
        <v>0</v>
      </c>
      <c r="U16" s="1">
        <f>SUM('Booker T Washington'!LIFE_REFUNDED)</f>
        <v>0</v>
      </c>
      <c r="W16" s="1">
        <f>SUM('Booker T Washington'!ALLOC_CALLED)</f>
        <v>0</v>
      </c>
      <c r="X16" s="1">
        <f>SUM('Booker T Washington'!ALLOC_REFUNDED)</f>
        <v>0</v>
      </c>
      <c r="Z16" s="1">
        <f>SUM('Booker T Washington'!HEALTH_CALLED)</f>
        <v>0</v>
      </c>
      <c r="AA16" s="1">
        <f>SUM('Booker T Washington'!HEALTH_REFUNDED)</f>
        <v>0</v>
      </c>
      <c r="AC16" s="1">
        <f>SUM('Booker T Washington'!UNALLOC_CALLED)</f>
        <v>0</v>
      </c>
      <c r="AD16" s="9">
        <f>SUM('Booker T Washington'!UNALLOC_REFUNDED)</f>
        <v>0</v>
      </c>
    </row>
    <row r="17" spans="2:30">
      <c r="B17" s="6" t="s">
        <v>214</v>
      </c>
      <c r="C17" s="1" t="s">
        <v>215</v>
      </c>
      <c r="D17" s="1" t="s">
        <v>205</v>
      </c>
      <c r="E17" s="1" t="s">
        <v>206</v>
      </c>
      <c r="F17" s="1" t="s">
        <v>207</v>
      </c>
      <c r="J17" s="1">
        <f>SUM('CO Bankers'!LIFE)</f>
        <v>86907714.795685977</v>
      </c>
      <c r="K17" s="1">
        <f>SUM('CO Bankers'!ALLOCATED)</f>
        <v>825286363.29298222</v>
      </c>
      <c r="L17" s="1">
        <f>SUM('CO Bankers'!HEALTH)</f>
        <v>389783.15935303608</v>
      </c>
      <c r="M17" s="1">
        <f>SUM('CO Bankers'!UNALLOCATED)</f>
        <v>0</v>
      </c>
      <c r="N17" s="1">
        <f>SUM('CO Bankers'!LTC)</f>
        <v>0</v>
      </c>
      <c r="O17" s="1">
        <f t="shared" si="0"/>
        <v>912583861.24802125</v>
      </c>
      <c r="P17" s="6">
        <v>1117694690.2480211</v>
      </c>
      <c r="Q17" s="9">
        <f t="shared" si="1"/>
        <v>-205110828.99999988</v>
      </c>
      <c r="T17" s="6">
        <f>SUM('CO Bankers'!LIFE_CALLED)</f>
        <v>59930249</v>
      </c>
      <c r="U17" s="1">
        <f>SUM('CO Bankers'!LIFE_REFUNDED)</f>
        <v>0</v>
      </c>
      <c r="W17" s="1">
        <f>SUM('CO Bankers'!ALLOC_CALLED)</f>
        <v>958528132</v>
      </c>
      <c r="X17" s="1">
        <f>SUM('CO Bankers'!ALLOC_REFUNDED)</f>
        <v>223887</v>
      </c>
      <c r="Z17" s="1">
        <f>SUM('CO Bankers'!HEALTH_CALLED)</f>
        <v>0</v>
      </c>
      <c r="AA17" s="1">
        <f>SUM('CO Bankers'!HEALTH_REFUNDED)</f>
        <v>0</v>
      </c>
      <c r="AC17" s="1">
        <f>SUM('CO Bankers'!UNALLOC_CALLED)</f>
        <v>0</v>
      </c>
      <c r="AD17" s="9">
        <f>SUM('CO Bankers'!UNALLOC_REFUNDED)</f>
        <v>0</v>
      </c>
    </row>
    <row r="18" spans="2:30">
      <c r="B18" s="6" t="s">
        <v>221</v>
      </c>
      <c r="C18" s="1" t="s">
        <v>222</v>
      </c>
      <c r="D18" s="1" t="s">
        <v>199</v>
      </c>
      <c r="F18" s="1" t="s">
        <v>223</v>
      </c>
      <c r="G18" s="1" t="s">
        <v>224</v>
      </c>
      <c r="J18" s="1">
        <f>SUM('Life Health America'!LIFE)</f>
        <v>295931.29449135851</v>
      </c>
      <c r="K18" s="1">
        <f>SUM('Life Health America'!ALLOCATED)</f>
        <v>0</v>
      </c>
      <c r="L18" s="1">
        <f>SUM('Life Health America'!HEALTH)</f>
        <v>38527642.501625113</v>
      </c>
      <c r="M18" s="1">
        <f>SUM('Life Health America'!UNALLOCATED)</f>
        <v>0</v>
      </c>
      <c r="N18" s="1">
        <f>SUM('Life Health America'!LTC)</f>
        <v>0</v>
      </c>
      <c r="O18" s="1">
        <f t="shared" si="0"/>
        <v>38823573.796116471</v>
      </c>
      <c r="P18" s="6">
        <v>38152679.386116467</v>
      </c>
      <c r="Q18" s="9">
        <f t="shared" si="1"/>
        <v>670894.41000000387</v>
      </c>
      <c r="T18" s="6">
        <f>SUM('Life Health America'!LIFE_CALLED)</f>
        <v>307961</v>
      </c>
      <c r="U18" s="1">
        <f>SUM('Life Health America'!LIFE_REFUNDED)</f>
        <v>0</v>
      </c>
      <c r="W18" s="1">
        <f>SUM('Life Health America'!ALLOC_CALLED)</f>
        <v>529</v>
      </c>
      <c r="X18" s="1">
        <f>SUM('Life Health America'!ALLOC_REFUNDED)</f>
        <v>0</v>
      </c>
      <c r="Z18" s="1">
        <f>SUM('Life Health America'!HEALTH_CALLED)</f>
        <v>29443712</v>
      </c>
      <c r="AA18" s="1">
        <f>SUM('Life Health America'!HEALTH_REFUNDED)</f>
        <v>1100000</v>
      </c>
      <c r="AC18" s="1">
        <f>SUM('Life Health America'!UNALLOC_CALLED)</f>
        <v>0</v>
      </c>
      <c r="AD18" s="9">
        <f>SUM('Life Health America'!UNALLOC_REFUNDED)</f>
        <v>0</v>
      </c>
    </row>
    <row r="19" spans="2:30">
      <c r="B19" s="6" t="s">
        <v>225</v>
      </c>
      <c r="C19" s="1" t="s">
        <v>226</v>
      </c>
      <c r="D19" s="1" t="s">
        <v>227</v>
      </c>
      <c r="E19" s="1" t="s">
        <v>228</v>
      </c>
      <c r="F19" s="1" t="s">
        <v>229</v>
      </c>
      <c r="J19" s="1">
        <f>SUM('National States'!LIFE)</f>
        <v>4097243.5984001756</v>
      </c>
      <c r="K19" s="1">
        <f>SUM('National States'!ALLOCATED)</f>
        <v>0</v>
      </c>
      <c r="L19" s="1">
        <f>SUM('National States'!HEALTH)</f>
        <v>135498725.22722065</v>
      </c>
      <c r="M19" s="1">
        <f>SUM('National States'!UNALLOCATED)</f>
        <v>0</v>
      </c>
      <c r="N19" s="1">
        <f>SUM('National States'!LTC)</f>
        <v>0</v>
      </c>
      <c r="O19" s="1">
        <f t="shared" si="0"/>
        <v>139595968.82562083</v>
      </c>
      <c r="P19" s="6">
        <v>134476663.8256208</v>
      </c>
      <c r="Q19" s="9">
        <f t="shared" si="1"/>
        <v>5119305.0000000298</v>
      </c>
      <c r="T19" s="6">
        <f>SUM('National States'!LIFE_CALLED)</f>
        <v>1237578</v>
      </c>
      <c r="U19" s="1">
        <f>SUM('National States'!LIFE_REFUNDED)</f>
        <v>0</v>
      </c>
      <c r="W19" s="1">
        <f>SUM('National States'!ALLOC_CALLED)</f>
        <v>265000</v>
      </c>
      <c r="X19" s="1">
        <f>SUM('National States'!ALLOC_REFUNDED)</f>
        <v>0</v>
      </c>
      <c r="Z19" s="1">
        <f>SUM('National States'!HEALTH_CALLED)</f>
        <v>101326458</v>
      </c>
      <c r="AA19" s="1">
        <f>SUM('National States'!HEALTH_REFUNDED)</f>
        <v>0</v>
      </c>
      <c r="AC19" s="1">
        <f>SUM('National States'!UNALLOC_CALLED)</f>
        <v>0</v>
      </c>
      <c r="AD19" s="9">
        <f>SUM('National States'!UNALLOC_REFUNDED)</f>
        <v>0</v>
      </c>
    </row>
    <row r="20" spans="2:30">
      <c r="B20" s="6" t="s">
        <v>230</v>
      </c>
      <c r="C20" s="1" t="s">
        <v>231</v>
      </c>
      <c r="D20" s="1" t="s">
        <v>205</v>
      </c>
      <c r="E20" s="1" t="s">
        <v>232</v>
      </c>
      <c r="F20" s="1" t="s">
        <v>233</v>
      </c>
      <c r="J20" s="1">
        <f>SUM('North Carolina Mutual'!LIFE)</f>
        <v>100039768.4955463</v>
      </c>
      <c r="K20" s="1">
        <f>SUM('North Carolina Mutual'!ALLOCATED)</f>
        <v>2783003.2964712246</v>
      </c>
      <c r="L20" s="1">
        <f>SUM('North Carolina Mutual'!HEALTH)</f>
        <v>-20080.737045290611</v>
      </c>
      <c r="M20" s="1">
        <f>SUM('North Carolina Mutual'!UNALLOCATED)</f>
        <v>0</v>
      </c>
      <c r="N20" s="1">
        <f>SUM('North Carolina Mutual'!LTC)</f>
        <v>0</v>
      </c>
      <c r="O20" s="1">
        <f t="shared" si="0"/>
        <v>102802691.05497223</v>
      </c>
      <c r="P20" s="6">
        <v>101858824.70497222</v>
      </c>
      <c r="Q20" s="9">
        <f t="shared" si="1"/>
        <v>943866.35000000894</v>
      </c>
      <c r="T20" s="6">
        <f>SUM('North Carolina Mutual'!LIFE_CALLED)</f>
        <v>43399951</v>
      </c>
      <c r="U20" s="1">
        <f>SUM('North Carolina Mutual'!LIFE_REFUNDED)</f>
        <v>0</v>
      </c>
      <c r="W20" s="1">
        <f>SUM('North Carolina Mutual'!ALLOC_CALLED)</f>
        <v>800000</v>
      </c>
      <c r="X20" s="1">
        <f>SUM('North Carolina Mutual'!ALLOC_REFUNDED)</f>
        <v>0</v>
      </c>
      <c r="Z20" s="1">
        <f>SUM('North Carolina Mutual'!HEALTH_CALLED)</f>
        <v>0</v>
      </c>
      <c r="AA20" s="1">
        <f>SUM('North Carolina Mutual'!HEALTH_REFUNDED)</f>
        <v>0</v>
      </c>
      <c r="AC20" s="1">
        <f>SUM('North Carolina Mutual'!UNALLOC_CALLED)</f>
        <v>0</v>
      </c>
      <c r="AD20" s="9">
        <f>SUM('North Carolina Mutual'!UNALLOC_REFUNDED)</f>
        <v>0</v>
      </c>
    </row>
    <row r="21" spans="2:30">
      <c r="B21" s="6" t="s">
        <v>234</v>
      </c>
      <c r="C21" s="1" t="s">
        <v>235</v>
      </c>
      <c r="D21" s="1" t="s">
        <v>199</v>
      </c>
      <c r="E21" s="1" t="s">
        <v>200</v>
      </c>
      <c r="F21" s="1" t="s">
        <v>201</v>
      </c>
      <c r="G21" s="1" t="s">
        <v>202</v>
      </c>
      <c r="J21" s="1">
        <f>SUM('Pen  Treaty'!LIFE)</f>
        <v>0</v>
      </c>
      <c r="K21" s="1">
        <f>SUM('Pen  Treaty'!ALLOCATED)</f>
        <v>0</v>
      </c>
      <c r="L21" s="1">
        <f>SUM('Pen  Treaty'!HEALTH)</f>
        <v>2444329246.8945031</v>
      </c>
      <c r="M21" s="1">
        <f>SUM('Pen  Treaty'!UNALLOCATED)</f>
        <v>0</v>
      </c>
      <c r="N21" s="1">
        <f>SUM('Pen  Treaty'!LTC)</f>
        <v>0</v>
      </c>
      <c r="O21" s="1">
        <f t="shared" si="0"/>
        <v>2444329246.8945031</v>
      </c>
      <c r="P21" s="6">
        <v>2460638866.4742403</v>
      </c>
      <c r="Q21" s="9">
        <f t="shared" si="1"/>
        <v>-16309619.579737186</v>
      </c>
      <c r="T21" s="6">
        <f>SUM('Pen  Treaty'!LIFE_CALLED)</f>
        <v>0</v>
      </c>
      <c r="U21" s="1">
        <f>SUM('Pen  Treaty'!LIFE_REFUNDED)</f>
        <v>0</v>
      </c>
      <c r="W21" s="1">
        <f>SUM('Pen  Treaty'!ALLOC_CALLED)</f>
        <v>0</v>
      </c>
      <c r="X21" s="1">
        <f>SUM('Pen  Treaty'!ALLOC_REFUNDED)</f>
        <v>0</v>
      </c>
      <c r="Z21" s="1">
        <f>SUM('Pen  Treaty'!HEALTH_CALLED)</f>
        <v>2156349296</v>
      </c>
      <c r="AA21" s="1">
        <f>SUM('Pen  Treaty'!HEALTH_REFUNDED)</f>
        <v>21903841</v>
      </c>
      <c r="AC21" s="1">
        <f>SUM('Pen  Treaty'!UNALLOC_CALLED)</f>
        <v>0</v>
      </c>
      <c r="AD21" s="9">
        <f>SUM('Pen  Treaty'!UNALLOC_REFUNDED)</f>
        <v>0</v>
      </c>
    </row>
    <row r="22" spans="2:30">
      <c r="B22" s="6" t="s">
        <v>236</v>
      </c>
      <c r="C22" s="1" t="s">
        <v>237</v>
      </c>
      <c r="D22" s="1" t="s">
        <v>199</v>
      </c>
      <c r="E22" s="1" t="s">
        <v>238</v>
      </c>
      <c r="F22" s="1" t="s">
        <v>239</v>
      </c>
      <c r="J22" s="1">
        <f>SUM('Senior American'!LIFE)</f>
        <v>0</v>
      </c>
      <c r="K22" s="1">
        <f>SUM('Senior American'!ALLOCATED)</f>
        <v>0</v>
      </c>
      <c r="L22" s="1">
        <f>SUM('Senior American'!HEALTH)</f>
        <v>15556733.011320589</v>
      </c>
      <c r="M22" s="1">
        <f>SUM('Senior American'!UNALLOCATED)</f>
        <v>0</v>
      </c>
      <c r="N22" s="1">
        <f>SUM('Senior American'!LTC)</f>
        <v>14439205.889089957</v>
      </c>
      <c r="O22" s="1">
        <f t="shared" si="0"/>
        <v>29995938.900410548</v>
      </c>
      <c r="P22" s="6">
        <v>29590081.619789697</v>
      </c>
      <c r="Q22" s="9">
        <f t="shared" si="1"/>
        <v>405857.28062085062</v>
      </c>
      <c r="T22" s="6">
        <f>SUM('Senior American'!LIFE_CALLED)</f>
        <v>2859904</v>
      </c>
      <c r="U22" s="1">
        <f>SUM('Senior American'!LIFE_REFUNDED)</f>
        <v>0</v>
      </c>
      <c r="W22" s="1">
        <f>SUM('Senior American'!ALLOC_CALLED)</f>
        <v>279636</v>
      </c>
      <c r="X22" s="1">
        <f>SUM('Senior American'!ALLOC_REFUNDED)</f>
        <v>0</v>
      </c>
      <c r="Z22" s="1">
        <f>SUM('Senior American'!HEALTH_CALLED)</f>
        <v>6058138</v>
      </c>
      <c r="AA22" s="1">
        <f>SUM('Senior American'!HEALTH_REFUNDED)</f>
        <v>0</v>
      </c>
      <c r="AC22" s="1">
        <f>SUM('Senior American'!UNALLOC_CALLED)</f>
        <v>0</v>
      </c>
      <c r="AD22" s="9">
        <f>SUM('Senior American'!UNALLOC_REFUNDED)</f>
        <v>0</v>
      </c>
    </row>
    <row r="23" spans="2:30">
      <c r="B23" s="6" t="s">
        <v>240</v>
      </c>
      <c r="C23" s="1" t="s">
        <v>241</v>
      </c>
      <c r="D23" s="1" t="s">
        <v>205</v>
      </c>
      <c r="E23" s="1" t="s">
        <v>206</v>
      </c>
      <c r="F23" s="1" t="s">
        <v>242</v>
      </c>
      <c r="J23" s="1">
        <f>SUM('Southland National Life'!LIFE)</f>
        <v>125383663.79445788</v>
      </c>
      <c r="K23" s="1">
        <f>SUM('Southland National Life'!ALLOCATED)</f>
        <v>103859.3122636013</v>
      </c>
      <c r="L23" s="1">
        <f>SUM('Southland National Life'!HEALTH)</f>
        <v>12250.351196993633</v>
      </c>
      <c r="M23" s="1">
        <f>SUM('Southland National Life'!UNALLOCATED)</f>
        <v>0</v>
      </c>
      <c r="N23" s="1">
        <f>SUM('Southland National Life'!LTC)</f>
        <v>0</v>
      </c>
      <c r="O23" s="1">
        <f t="shared" si="0"/>
        <v>125499773.45791848</v>
      </c>
      <c r="P23" s="6">
        <v>123748194.45791844</v>
      </c>
      <c r="Q23" s="9">
        <f t="shared" si="1"/>
        <v>1751579.0000000447</v>
      </c>
      <c r="T23" s="6">
        <f>SUM('Southland National Life'!LIFE_CALLED)</f>
        <v>26156068</v>
      </c>
      <c r="U23" s="1">
        <f>SUM('Southland National Life'!LIFE_REFUNDED)</f>
        <v>0</v>
      </c>
      <c r="W23" s="1">
        <f>SUM('Southland National Life'!ALLOC_CALLED)</f>
        <v>0</v>
      </c>
      <c r="X23" s="1">
        <f>SUM('Southland National Life'!ALLOC_REFUNDED)</f>
        <v>0</v>
      </c>
      <c r="Z23" s="1">
        <f>SUM('Southland National Life'!HEALTH_CALLED)</f>
        <v>0</v>
      </c>
      <c r="AA23" s="1">
        <f>SUM('Southland National Life'!HEALTH_REFUNDED)</f>
        <v>0</v>
      </c>
      <c r="AC23" s="1">
        <f>SUM('Southland National Life'!UNALLOC_CALLED)</f>
        <v>0</v>
      </c>
      <c r="AD23" s="9">
        <f>SUM('Southland National Life'!UNALLOC_REFUNDED)</f>
        <v>0</v>
      </c>
    </row>
    <row r="24" spans="2:30">
      <c r="B24" s="6" t="s">
        <v>243</v>
      </c>
      <c r="C24" s="1" t="s">
        <v>244</v>
      </c>
      <c r="D24" s="1" t="s">
        <v>210</v>
      </c>
      <c r="E24" s="1" t="s">
        <v>245</v>
      </c>
      <c r="F24" s="1" t="s">
        <v>212</v>
      </c>
      <c r="G24" s="1" t="s">
        <v>213</v>
      </c>
      <c r="J24" s="1">
        <f>SUM('Universal Life'!LIFE)</f>
        <v>4287100.1960833091</v>
      </c>
      <c r="K24" s="1">
        <f>SUM('Universal Life'!ALLOCATED)</f>
        <v>0</v>
      </c>
      <c r="L24" s="1">
        <f>SUM('Universal Life'!HEALTH)</f>
        <v>-15674.404201868692</v>
      </c>
      <c r="M24" s="1">
        <f>SUM('Universal Life'!UNALLOCATED)</f>
        <v>0</v>
      </c>
      <c r="N24" s="1">
        <f>SUM('Universal Life'!LTC)</f>
        <v>0</v>
      </c>
      <c r="O24" s="1">
        <f t="shared" si="0"/>
        <v>4271425.7918814402</v>
      </c>
      <c r="P24" s="6">
        <v>4126234.3598814481</v>
      </c>
      <c r="Q24" s="9">
        <f t="shared" si="1"/>
        <v>145191.43199999211</v>
      </c>
      <c r="T24" s="6">
        <f>SUM('Universal Life'!LIFE_CALLED)</f>
        <v>324994</v>
      </c>
      <c r="U24" s="1">
        <f>SUM('Universal Life'!LIFE_REFUNDED)</f>
        <v>0</v>
      </c>
      <c r="W24" s="1">
        <f>SUM('Universal Life'!ALLOC_CALLED)</f>
        <v>0</v>
      </c>
      <c r="X24" s="1">
        <f>SUM('Universal Life'!ALLOC_REFUNDED)</f>
        <v>0</v>
      </c>
      <c r="Z24" s="1">
        <f>SUM('Universal Life'!HEALTH_CALLED)</f>
        <v>0</v>
      </c>
      <c r="AA24" s="1">
        <f>SUM('Universal Life'!HEALTH_REFUNDED)</f>
        <v>0</v>
      </c>
      <c r="AC24" s="1">
        <f>SUM('Universal Life'!UNALLOC_CALLED)</f>
        <v>0</v>
      </c>
      <c r="AD24" s="9">
        <f>SUM('Universal Life'!UNALLOC_REFUNDED)</f>
        <v>0</v>
      </c>
    </row>
    <row r="25" spans="2:30" ht="6.9" customHeight="1" thickBot="1">
      <c r="B25" s="8"/>
      <c r="C25" s="5"/>
      <c r="D25" s="5"/>
      <c r="E25" s="5"/>
      <c r="F25" s="5"/>
      <c r="G25" s="5"/>
      <c r="H25" s="5"/>
      <c r="I25" s="5"/>
      <c r="J25" s="5"/>
      <c r="K25" s="5"/>
      <c r="L25" s="5"/>
      <c r="M25" s="5"/>
      <c r="N25" s="5"/>
      <c r="O25" s="5"/>
      <c r="P25" s="8"/>
      <c r="Q25" s="11"/>
      <c r="T25" s="8"/>
      <c r="U25" s="5"/>
      <c r="V25" s="5"/>
      <c r="W25" s="5"/>
      <c r="X25" s="5"/>
      <c r="Y25" s="5"/>
      <c r="Z25" s="5"/>
      <c r="AA25" s="5"/>
      <c r="AB25" s="5"/>
      <c r="AC25" s="5"/>
      <c r="AD25" s="11"/>
    </row>
    <row r="26" spans="2:30" ht="15" thickBot="1">
      <c r="B26" s="31" t="s">
        <v>246</v>
      </c>
      <c r="C26" s="30"/>
      <c r="D26" s="30"/>
      <c r="E26" s="30"/>
      <c r="F26" s="30"/>
      <c r="G26" s="30"/>
      <c r="H26" s="30"/>
      <c r="I26" s="30"/>
      <c r="J26" s="30">
        <f>SUM(OP_LIFE)</f>
        <v>348024389.63297486</v>
      </c>
      <c r="K26" s="30">
        <f>SUM(OP_ALLOCATED)</f>
        <v>1174740783.8067327</v>
      </c>
      <c r="L26" s="30">
        <f>SUM(OP_HEALTH)</f>
        <v>2961526399.0629587</v>
      </c>
      <c r="M26" s="30">
        <f>SUM(OP_UNALLOCATED)</f>
        <v>0</v>
      </c>
      <c r="N26" s="30">
        <f>SUM(OP_LTC)</f>
        <v>14439205.889089957</v>
      </c>
      <c r="O26" s="30">
        <f>SUM(OP_TOTAL)</f>
        <v>4498730778.3917561</v>
      </c>
      <c r="P26" s="33">
        <f>SUM(OP_TOTAL_PREV)</f>
        <v>4699102128.2679253</v>
      </c>
      <c r="Q26" s="32">
        <f>SUM(OP_CHANGE)</f>
        <v>-200371349.87616849</v>
      </c>
      <c r="T26" s="33">
        <f>SUM(OP_LIFE_CALLED)</f>
        <v>135416705</v>
      </c>
      <c r="U26" s="30">
        <f>SUM(OP_LIFE_REFUNDED)</f>
        <v>0</v>
      </c>
      <c r="V26" s="30"/>
      <c r="W26" s="30">
        <f>SUM(OP_ALLOC_CALLED)</f>
        <v>1314349491</v>
      </c>
      <c r="X26" s="30">
        <f>SUM(OP_ALLOC_REFUNDED)</f>
        <v>223887</v>
      </c>
      <c r="Y26" s="30"/>
      <c r="Z26" s="30">
        <f>SUM(OP_HEALTH_CALLED)</f>
        <v>2482516827</v>
      </c>
      <c r="AA26" s="30">
        <f>SUM(OP_HEALTH_REFUNDED)</f>
        <v>23011593</v>
      </c>
      <c r="AB26" s="30"/>
      <c r="AC26" s="30">
        <f>SUM(OP_UNALLOC_CALLED)</f>
        <v>0</v>
      </c>
      <c r="AD26" s="32">
        <f>SUM(OP_UNALLOC_REFUNDED)</f>
        <v>0</v>
      </c>
    </row>
    <row r="28" spans="2:30">
      <c r="B28" s="27" t="s">
        <v>247</v>
      </c>
      <c r="C28" s="26"/>
      <c r="D28" s="26"/>
      <c r="E28" s="26"/>
      <c r="F28" s="26"/>
      <c r="G28" s="26"/>
      <c r="H28" s="26"/>
      <c r="I28" s="26"/>
      <c r="J28" s="26"/>
      <c r="K28" s="26"/>
      <c r="L28" s="26"/>
      <c r="M28" s="26"/>
      <c r="N28" s="26"/>
      <c r="O28" s="26"/>
      <c r="P28" s="29"/>
      <c r="Q28" s="28"/>
      <c r="T28" s="29"/>
      <c r="U28" s="26"/>
      <c r="V28" s="26"/>
      <c r="W28" s="26"/>
      <c r="X28" s="26"/>
      <c r="Y28" s="26"/>
      <c r="Z28" s="26"/>
      <c r="AA28" s="26"/>
      <c r="AB28" s="26"/>
      <c r="AC28" s="26"/>
      <c r="AD28" s="28"/>
    </row>
    <row r="29" spans="2:30" ht="6.9" customHeight="1">
      <c r="B29" s="6"/>
      <c r="P29" s="6"/>
      <c r="Q29" s="9"/>
      <c r="T29" s="6"/>
      <c r="AD29" s="9"/>
    </row>
    <row r="30" spans="2:30">
      <c r="B30" s="6" t="s">
        <v>248</v>
      </c>
      <c r="C30" s="1" t="s">
        <v>249</v>
      </c>
      <c r="D30" s="1" t="s">
        <v>199</v>
      </c>
      <c r="E30" s="1" t="s">
        <v>238</v>
      </c>
      <c r="J30" s="1">
        <f>SUM('AF&amp;L'!LIFE)</f>
        <v>0</v>
      </c>
      <c r="K30" s="1">
        <f>SUM('AF&amp;L'!ALLOCATED)</f>
        <v>0</v>
      </c>
      <c r="L30" s="1">
        <f>SUM('AF&amp;L'!HEALTH)</f>
        <v>18885.335155984209</v>
      </c>
      <c r="M30" s="1">
        <f>SUM('AF&amp;L'!UNALLOCATED)</f>
        <v>0</v>
      </c>
      <c r="N30" s="1">
        <f>SUM('AF&amp;L'!LTC)</f>
        <v>0</v>
      </c>
      <c r="O30" s="1">
        <f t="shared" ref="O30:O49" si="2">SUM(J30:N30)</f>
        <v>18885.335155984209</v>
      </c>
      <c r="P30" s="6">
        <v>0</v>
      </c>
      <c r="Q30" s="9">
        <f t="shared" ref="Q30:Q49" si="3">+O30-P30</f>
        <v>18885.335155984209</v>
      </c>
      <c r="T30" s="6">
        <f>SUM('AF&amp;L'!LIFE_CALLED)</f>
        <v>0</v>
      </c>
      <c r="U30" s="1">
        <f>SUM('AF&amp;L'!LIFE_REFUNDED)</f>
        <v>0</v>
      </c>
      <c r="W30" s="1">
        <f>SUM('AF&amp;L'!ALLOC_CALLED)</f>
        <v>0</v>
      </c>
      <c r="X30" s="1">
        <f>SUM('AF&amp;L'!ALLOC_REFUNDED)</f>
        <v>0</v>
      </c>
      <c r="Z30" s="1">
        <f>SUM('AF&amp;L'!HEALTH_CALLED)</f>
        <v>0</v>
      </c>
      <c r="AA30" s="1">
        <f>SUM('AF&amp;L'!HEALTH_REFUNDED)</f>
        <v>0</v>
      </c>
      <c r="AC30" s="1">
        <f>SUM('AF&amp;L'!UNALLOC_CALLED)</f>
        <v>0</v>
      </c>
      <c r="AD30" s="9">
        <f>SUM('AF&amp;L'!UNALLOC_REFUNDED)</f>
        <v>0</v>
      </c>
    </row>
    <row r="31" spans="2:30">
      <c r="B31" s="6" t="s">
        <v>250</v>
      </c>
      <c r="C31" s="1" t="s">
        <v>251</v>
      </c>
      <c r="D31" s="1" t="s">
        <v>252</v>
      </c>
      <c r="E31" s="1" t="s">
        <v>253</v>
      </c>
      <c r="F31" s="1" t="s">
        <v>254</v>
      </c>
      <c r="J31" s="1">
        <f>SUM('Colorado Health'!LIFE)</f>
        <v>0</v>
      </c>
      <c r="K31" s="1">
        <f>SUM('Colorado Health'!ALLOCATED)</f>
        <v>0</v>
      </c>
      <c r="L31" s="1">
        <f>SUM('Colorado Health'!HEALTH)</f>
        <v>83658295</v>
      </c>
      <c r="M31" s="1">
        <f>SUM('Colorado Health'!UNALLOCATED)</f>
        <v>0</v>
      </c>
      <c r="N31" s="1">
        <f>SUM('Colorado Health'!LTC)</f>
        <v>0</v>
      </c>
      <c r="O31" s="1">
        <f t="shared" si="2"/>
        <v>83658295</v>
      </c>
      <c r="P31" s="6">
        <v>83658295</v>
      </c>
      <c r="Q31" s="9">
        <f t="shared" si="3"/>
        <v>0</v>
      </c>
      <c r="T31" s="6">
        <f>SUM('Colorado Health'!LIFE_CALLED)</f>
        <v>0</v>
      </c>
      <c r="U31" s="1">
        <f>SUM('Colorado Health'!LIFE_REFUNDED)</f>
        <v>0</v>
      </c>
      <c r="W31" s="1">
        <f>SUM('Colorado Health'!ALLOC_CALLED)</f>
        <v>0</v>
      </c>
      <c r="X31" s="1">
        <f>SUM('Colorado Health'!ALLOC_REFUNDED)</f>
        <v>0</v>
      </c>
      <c r="Z31" s="1">
        <f>SUM('Colorado Health'!HEALTH_CALLED)</f>
        <v>104405820</v>
      </c>
      <c r="AA31" s="1">
        <f>SUM('Colorado Health'!HEALTH_REFUNDED)</f>
        <v>45450000</v>
      </c>
      <c r="AC31" s="1">
        <f>SUM('Colorado Health'!UNALLOC_CALLED)</f>
        <v>0</v>
      </c>
      <c r="AD31" s="9">
        <f>SUM('Colorado Health'!UNALLOC_REFUNDED)</f>
        <v>0</v>
      </c>
    </row>
    <row r="32" spans="2:30">
      <c r="B32" s="6" t="s">
        <v>255</v>
      </c>
      <c r="C32" s="1" t="s">
        <v>256</v>
      </c>
      <c r="D32" s="1" t="s">
        <v>257</v>
      </c>
      <c r="E32" s="1" t="s">
        <v>258</v>
      </c>
      <c r="F32" s="1" t="s">
        <v>259</v>
      </c>
      <c r="J32" s="1">
        <f>SUM('Compass (dbs Meritus)'!LIFE)</f>
        <v>0</v>
      </c>
      <c r="K32" s="1">
        <f>SUM('Compass (dbs Meritus)'!ALLOCATED)</f>
        <v>0</v>
      </c>
      <c r="L32" s="1">
        <f>SUM('Compass (dbs Meritus)'!HEALTH)</f>
        <v>3347549</v>
      </c>
      <c r="M32" s="1">
        <f>SUM('Compass (dbs Meritus)'!UNALLOCATED)</f>
        <v>0</v>
      </c>
      <c r="N32" s="1">
        <f>SUM('Compass (dbs Meritus)'!LTC)</f>
        <v>0</v>
      </c>
      <c r="O32" s="1">
        <f t="shared" si="2"/>
        <v>3347549</v>
      </c>
      <c r="P32" s="6">
        <v>3347549</v>
      </c>
      <c r="Q32" s="9">
        <f t="shared" si="3"/>
        <v>0</v>
      </c>
      <c r="T32" s="6">
        <f>SUM('Compass (dbs Meritus)'!LIFE_CALLED)</f>
        <v>0</v>
      </c>
      <c r="U32" s="1">
        <f>SUM('Compass (dbs Meritus)'!LIFE_REFUNDED)</f>
        <v>0</v>
      </c>
      <c r="W32" s="1">
        <f>SUM('Compass (dbs Meritus)'!ALLOC_CALLED)</f>
        <v>0</v>
      </c>
      <c r="X32" s="1">
        <f>SUM('Compass (dbs Meritus)'!ALLOC_REFUNDED)</f>
        <v>0</v>
      </c>
      <c r="Z32" s="1">
        <f>SUM('Compass (dbs Meritus)'!HEALTH_CALLED)</f>
        <v>0</v>
      </c>
      <c r="AA32" s="1">
        <f>SUM('Compass (dbs Meritus)'!HEALTH_REFUNDED)</f>
        <v>0</v>
      </c>
      <c r="AC32" s="1">
        <f>SUM('Compass (dbs Meritus)'!UNALLOC_CALLED)</f>
        <v>0</v>
      </c>
      <c r="AD32" s="9">
        <f>SUM('Compass (dbs Meritus)'!UNALLOC_REFUNDED)</f>
        <v>0</v>
      </c>
    </row>
    <row r="33" spans="2:30">
      <c r="B33" s="6" t="s">
        <v>260</v>
      </c>
      <c r="C33" s="1" t="s">
        <v>261</v>
      </c>
      <c r="D33" s="1" t="s">
        <v>262</v>
      </c>
      <c r="E33" s="1" t="s">
        <v>263</v>
      </c>
      <c r="F33" s="1" t="s">
        <v>264</v>
      </c>
      <c r="J33" s="1">
        <f>SUM('Consumers Choice'!LIFE)</f>
        <v>0</v>
      </c>
      <c r="K33" s="1">
        <f>SUM('Consumers Choice'!ALLOCATED)</f>
        <v>0</v>
      </c>
      <c r="L33" s="1">
        <f>SUM('Consumers Choice'!HEALTH)</f>
        <v>34784248.960000001</v>
      </c>
      <c r="M33" s="1">
        <f>SUM('Consumers Choice'!UNALLOCATED)</f>
        <v>0</v>
      </c>
      <c r="N33" s="1">
        <f>SUM('Consumers Choice'!LTC)</f>
        <v>0</v>
      </c>
      <c r="O33" s="1">
        <f t="shared" si="2"/>
        <v>34784248.960000001</v>
      </c>
      <c r="P33" s="6">
        <v>34784248.960000001</v>
      </c>
      <c r="Q33" s="9">
        <f t="shared" si="3"/>
        <v>0</v>
      </c>
      <c r="T33" s="6">
        <f>SUM('Consumers Choice'!LIFE_CALLED)</f>
        <v>0</v>
      </c>
      <c r="U33" s="1">
        <f>SUM('Consumers Choice'!LIFE_REFUNDED)</f>
        <v>0</v>
      </c>
      <c r="W33" s="1">
        <f>SUM('Consumers Choice'!ALLOC_CALLED)</f>
        <v>0</v>
      </c>
      <c r="X33" s="1">
        <f>SUM('Consumers Choice'!ALLOC_REFUNDED)</f>
        <v>0</v>
      </c>
      <c r="Z33" s="1">
        <f>SUM('Consumers Choice'!HEALTH_CALLED)</f>
        <v>48506698</v>
      </c>
      <c r="AA33" s="1">
        <f>SUM('Consumers Choice'!HEALTH_REFUNDED)</f>
        <v>12548122</v>
      </c>
      <c r="AC33" s="1">
        <f>SUM('Consumers Choice'!UNALLOC_CALLED)</f>
        <v>0</v>
      </c>
      <c r="AD33" s="9">
        <f>SUM('Consumers Choice'!UNALLOC_REFUNDED)</f>
        <v>0</v>
      </c>
    </row>
    <row r="34" spans="2:30">
      <c r="B34" s="6" t="s">
        <v>108</v>
      </c>
      <c r="C34" s="1" t="s">
        <v>265</v>
      </c>
      <c r="D34" s="1" t="s">
        <v>266</v>
      </c>
      <c r="E34" s="1" t="s">
        <v>267</v>
      </c>
      <c r="F34" s="1" t="s">
        <v>268</v>
      </c>
      <c r="J34" s="1">
        <f>SUM(CoOportunity!LIFE)</f>
        <v>0</v>
      </c>
      <c r="K34" s="1">
        <f>SUM(CoOportunity!ALLOCATED)</f>
        <v>0</v>
      </c>
      <c r="L34" s="1">
        <f>SUM(CoOportunity!HEALTH)</f>
        <v>29171521.632349882</v>
      </c>
      <c r="M34" s="1">
        <f>SUM(CoOportunity!UNALLOCATED)</f>
        <v>0</v>
      </c>
      <c r="N34" s="1">
        <f>SUM(CoOportunity!LTC)</f>
        <v>0</v>
      </c>
      <c r="O34" s="1">
        <f t="shared" si="2"/>
        <v>29171521.632349882</v>
      </c>
      <c r="P34" s="6">
        <v>29171521.632349882</v>
      </c>
      <c r="Q34" s="9">
        <f t="shared" si="3"/>
        <v>0</v>
      </c>
      <c r="T34" s="6">
        <f>SUM(CoOportunity!LIFE_CALLED)</f>
        <v>0</v>
      </c>
      <c r="U34" s="1">
        <f>SUM(CoOportunity!LIFE_REFUNDED)</f>
        <v>0</v>
      </c>
      <c r="W34" s="1">
        <f>SUM(CoOportunity!ALLOC_CALLED)</f>
        <v>0</v>
      </c>
      <c r="X34" s="1">
        <f>SUM(CoOportunity!ALLOC_REFUNDED)</f>
        <v>0</v>
      </c>
      <c r="Z34" s="1">
        <f>SUM(CoOportunity!HEALTH_CALLED)</f>
        <v>91800000</v>
      </c>
      <c r="AA34" s="1">
        <f>SUM(CoOportunity!HEALTH_REFUNDED)</f>
        <v>0</v>
      </c>
      <c r="AC34" s="1">
        <f>SUM(CoOportunity!UNALLOC_CALLED)</f>
        <v>0</v>
      </c>
      <c r="AD34" s="9">
        <f>SUM(CoOportunity!UNALLOC_REFUNDED)</f>
        <v>0</v>
      </c>
    </row>
    <row r="35" spans="2:30">
      <c r="B35" s="6" t="s">
        <v>269</v>
      </c>
      <c r="C35" s="1" t="s">
        <v>270</v>
      </c>
      <c r="D35" s="1" t="s">
        <v>271</v>
      </c>
      <c r="F35" s="1" t="s">
        <v>272</v>
      </c>
      <c r="J35" s="1">
        <f>SUM('Coordinated Hlth'!LIFE)</f>
        <v>0</v>
      </c>
      <c r="K35" s="1">
        <f>SUM('Coordinated Hlth'!ALLOCATED)</f>
        <v>0</v>
      </c>
      <c r="L35" s="1">
        <f>SUM('Coordinated Hlth'!HEALTH)</f>
        <v>8388718</v>
      </c>
      <c r="M35" s="1">
        <f>SUM('Coordinated Hlth'!UNALLOCATED)</f>
        <v>0</v>
      </c>
      <c r="N35" s="1">
        <f>SUM('Coordinated Hlth'!LTC)</f>
        <v>0</v>
      </c>
      <c r="O35" s="1">
        <f t="shared" si="2"/>
        <v>8388718</v>
      </c>
      <c r="P35" s="6">
        <v>8388718</v>
      </c>
      <c r="Q35" s="9">
        <f t="shared" si="3"/>
        <v>0</v>
      </c>
      <c r="T35" s="6">
        <f>SUM('Coordinated Hlth'!LIFE_CALLED)</f>
        <v>0</v>
      </c>
      <c r="U35" s="1">
        <f>SUM('Coordinated Hlth'!LIFE_REFUNDED)</f>
        <v>0</v>
      </c>
      <c r="W35" s="1">
        <f>SUM('Coordinated Hlth'!ALLOC_CALLED)</f>
        <v>0</v>
      </c>
      <c r="X35" s="1">
        <f>SUM('Coordinated Hlth'!ALLOC_REFUNDED)</f>
        <v>0</v>
      </c>
      <c r="Z35" s="1">
        <f>SUM('Coordinated Hlth'!HEALTH_CALLED)</f>
        <v>40000000</v>
      </c>
      <c r="AA35" s="1">
        <f>SUM('Coordinated Hlth'!HEALTH_REFUNDED)</f>
        <v>0</v>
      </c>
      <c r="AC35" s="1">
        <f>SUM('Coordinated Hlth'!UNALLOC_CALLED)</f>
        <v>0</v>
      </c>
      <c r="AD35" s="9">
        <f>SUM('Coordinated Hlth'!UNALLOC_REFUNDED)</f>
        <v>0</v>
      </c>
    </row>
    <row r="36" spans="2:30">
      <c r="B36" s="6" t="s">
        <v>273</v>
      </c>
      <c r="C36" s="1" t="s">
        <v>274</v>
      </c>
      <c r="D36" s="1" t="s">
        <v>275</v>
      </c>
      <c r="E36" s="1" t="s">
        <v>276</v>
      </c>
      <c r="F36" s="1" t="s">
        <v>277</v>
      </c>
      <c r="G36" s="1" t="s">
        <v>278</v>
      </c>
      <c r="H36" s="1" t="s">
        <v>279</v>
      </c>
      <c r="J36" s="1">
        <f>SUM('Executive Life'!LIFE)</f>
        <v>1154801237.0379953</v>
      </c>
      <c r="K36" s="1">
        <f>SUM('Executive Life'!ALLOCATED)</f>
        <v>1669468187.6511555</v>
      </c>
      <c r="L36" s="1">
        <f>SUM('Executive Life'!HEALTH)</f>
        <v>0</v>
      </c>
      <c r="M36" s="1">
        <f>SUM('Executive Life'!UNALLOCATED)</f>
        <v>31883962.737060916</v>
      </c>
      <c r="N36" s="1">
        <f>SUM('Executive Life'!LTC)</f>
        <v>0</v>
      </c>
      <c r="O36" s="1">
        <f t="shared" si="2"/>
        <v>2856153387.4262118</v>
      </c>
      <c r="P36" s="6">
        <v>2855347436.2162108</v>
      </c>
      <c r="Q36" s="9">
        <f t="shared" si="3"/>
        <v>805951.21000099182</v>
      </c>
      <c r="T36" s="6">
        <f>SUM('Executive Life'!LIFE_CALLED)</f>
        <v>1113947619</v>
      </c>
      <c r="U36" s="1">
        <f>SUM('Executive Life'!LIFE_REFUNDED)</f>
        <v>2000065</v>
      </c>
      <c r="W36" s="1">
        <f>SUM('Executive Life'!ALLOC_CALLED)</f>
        <v>1537640900</v>
      </c>
      <c r="X36" s="1">
        <f>SUM('Executive Life'!ALLOC_REFUNDED)</f>
        <v>55463161.450000003</v>
      </c>
      <c r="Z36" s="1">
        <f>SUM('Executive Life'!HEALTH_CALLED)</f>
        <v>590625</v>
      </c>
      <c r="AA36" s="1">
        <f>SUM('Executive Life'!HEALTH_REFUNDED)</f>
        <v>0</v>
      </c>
      <c r="AC36" s="1">
        <f>SUM('Executive Life'!UNALLOC_CALLED)</f>
        <v>42365781</v>
      </c>
      <c r="AD36" s="9">
        <f>SUM('Executive Life'!UNALLOC_REFUNDED)</f>
        <v>23169526.82</v>
      </c>
    </row>
    <row r="37" spans="2:30">
      <c r="B37" s="6" t="s">
        <v>280</v>
      </c>
      <c r="C37" s="1" t="s">
        <v>281</v>
      </c>
      <c r="D37" s="1" t="s">
        <v>282</v>
      </c>
      <c r="E37" s="1" t="s">
        <v>283</v>
      </c>
      <c r="F37" s="1" t="s">
        <v>284</v>
      </c>
      <c r="G37" s="1" t="s">
        <v>284</v>
      </c>
      <c r="J37" s="1">
        <f>SUM(ELNY!LIFE)</f>
        <v>0</v>
      </c>
      <c r="K37" s="1">
        <f>SUM(ELNY!ALLOCATED)</f>
        <v>801859656.73644018</v>
      </c>
      <c r="L37" s="1">
        <f>SUM(ELNY!HEALTH)</f>
        <v>0</v>
      </c>
      <c r="M37" s="1">
        <f>SUM(ELNY!UNALLOCATED)</f>
        <v>0</v>
      </c>
      <c r="N37" s="1">
        <f>SUM(ELNY!LTC)</f>
        <v>0</v>
      </c>
      <c r="O37" s="1">
        <f t="shared" si="2"/>
        <v>801859656.73644018</v>
      </c>
      <c r="P37" s="6">
        <v>801859656.73644018</v>
      </c>
      <c r="Q37" s="9">
        <f t="shared" si="3"/>
        <v>0</v>
      </c>
      <c r="T37" s="6">
        <f>SUM(ELNY!LIFE_CALLED)</f>
        <v>556478179</v>
      </c>
      <c r="U37" s="1">
        <f>SUM(ELNY!LIFE_REFUNDED)</f>
        <v>0</v>
      </c>
      <c r="W37" s="1">
        <f>SUM(ELNY!ALLOC_CALLED)</f>
        <v>198631919</v>
      </c>
      <c r="X37" s="1">
        <f>SUM(ELNY!ALLOC_REFUNDED)</f>
        <v>6500906</v>
      </c>
      <c r="Z37" s="1">
        <f>SUM(ELNY!HEALTH_CALLED)</f>
        <v>0</v>
      </c>
      <c r="AA37" s="1">
        <f>SUM(ELNY!HEALTH_REFUNDED)</f>
        <v>0</v>
      </c>
      <c r="AC37" s="1">
        <f>SUM(ELNY!UNALLOC_CALLED)</f>
        <v>0</v>
      </c>
      <c r="AD37" s="9">
        <f>SUM(ELNY!UNALLOC_REFUNDED)</f>
        <v>0</v>
      </c>
    </row>
    <row r="38" spans="2:30">
      <c r="B38" s="6" t="s">
        <v>285</v>
      </c>
      <c r="C38" s="1" t="s">
        <v>286</v>
      </c>
      <c r="D38" s="1" t="s">
        <v>287</v>
      </c>
      <c r="E38" s="1" t="s">
        <v>288</v>
      </c>
      <c r="F38" s="1" t="s">
        <v>289</v>
      </c>
      <c r="G38" s="1" t="s">
        <v>290</v>
      </c>
      <c r="J38" s="1">
        <f>SUM('First Natl (Thrnr)'!LIFE)</f>
        <v>471125.83664370805</v>
      </c>
      <c r="K38" s="1">
        <f>SUM('First Natl (Thrnr)'!ALLOCATED)</f>
        <v>4198847.6836526562</v>
      </c>
      <c r="L38" s="1">
        <f>SUM('First Natl (Thrnr)'!HEALTH)</f>
        <v>0</v>
      </c>
      <c r="M38" s="1">
        <f>SUM('First Natl (Thrnr)'!UNALLOCATED)</f>
        <v>0</v>
      </c>
      <c r="N38" s="1">
        <f>SUM('First Natl (Thrnr)'!LTC)</f>
        <v>0</v>
      </c>
      <c r="O38" s="1">
        <f t="shared" si="2"/>
        <v>4669973.5202963641</v>
      </c>
      <c r="P38" s="6">
        <v>4669973.520296365</v>
      </c>
      <c r="Q38" s="9">
        <f t="shared" si="3"/>
        <v>0</v>
      </c>
      <c r="T38" s="6">
        <f>SUM('First Natl (Thrnr)'!LIFE_CALLED)</f>
        <v>18270153</v>
      </c>
      <c r="U38" s="1">
        <f>SUM('First Natl (Thrnr)'!LIFE_REFUNDED)</f>
        <v>6524219</v>
      </c>
      <c r="W38" s="1">
        <f>SUM('First Natl (Thrnr)'!ALLOC_CALLED)</f>
        <v>18925424</v>
      </c>
      <c r="X38" s="1">
        <f>SUM('First Natl (Thrnr)'!ALLOC_REFUNDED)</f>
        <v>5020281</v>
      </c>
      <c r="Z38" s="1">
        <f>SUM('First Natl (Thrnr)'!HEALTH_CALLED)</f>
        <v>0</v>
      </c>
      <c r="AA38" s="1">
        <f>SUM('First Natl (Thrnr)'!HEALTH_REFUNDED)</f>
        <v>400000</v>
      </c>
      <c r="AC38" s="1">
        <f>SUM('First Natl (Thrnr)'!UNALLOC_CALLED)</f>
        <v>0</v>
      </c>
      <c r="AD38" s="9">
        <f>SUM('First Natl (Thrnr)'!UNALLOC_REFUNDED)</f>
        <v>0</v>
      </c>
    </row>
    <row r="39" spans="2:30">
      <c r="B39" s="6" t="s">
        <v>291</v>
      </c>
      <c r="C39" s="1" t="s">
        <v>292</v>
      </c>
      <c r="D39" s="1" t="s">
        <v>293</v>
      </c>
      <c r="E39" s="1" t="s">
        <v>294</v>
      </c>
      <c r="F39" s="1" t="s">
        <v>295</v>
      </c>
      <c r="J39" s="1">
        <f>SUM('Freelancers CO-OP'!LIFE)</f>
        <v>0</v>
      </c>
      <c r="K39" s="1">
        <f>SUM('Freelancers CO-OP'!ALLOCATED)</f>
        <v>0</v>
      </c>
      <c r="L39" s="1">
        <f>SUM('Freelancers CO-OP'!HEALTH)</f>
        <v>23625000</v>
      </c>
      <c r="M39" s="1">
        <f>SUM('Freelancers CO-OP'!UNALLOCATED)</f>
        <v>0</v>
      </c>
      <c r="N39" s="1">
        <f>SUM('Freelancers CO-OP'!LTC)</f>
        <v>0</v>
      </c>
      <c r="O39" s="1">
        <f t="shared" si="2"/>
        <v>23625000</v>
      </c>
      <c r="P39" s="6">
        <v>23625000</v>
      </c>
      <c r="Q39" s="9">
        <f t="shared" si="3"/>
        <v>0</v>
      </c>
      <c r="T39" s="6">
        <f>SUM('Freelancers CO-OP'!LIFE_CALLED)</f>
        <v>0</v>
      </c>
      <c r="U39" s="1">
        <f>SUM('Freelancers CO-OP'!LIFE_REFUNDED)</f>
        <v>0</v>
      </c>
      <c r="W39" s="1">
        <f>SUM('Freelancers CO-OP'!ALLOC_CALLED)</f>
        <v>0</v>
      </c>
      <c r="X39" s="1">
        <f>SUM('Freelancers CO-OP'!ALLOC_REFUNDED)</f>
        <v>0</v>
      </c>
      <c r="Z39" s="1">
        <f>SUM('Freelancers CO-OP'!HEALTH_CALLED)</f>
        <v>26600000</v>
      </c>
      <c r="AA39" s="1">
        <f>SUM('Freelancers CO-OP'!HEALTH_REFUNDED)</f>
        <v>26599905</v>
      </c>
      <c r="AC39" s="1">
        <f>SUM('Freelancers CO-OP'!UNALLOC_CALLED)</f>
        <v>0</v>
      </c>
      <c r="AD39" s="9">
        <f>SUM('Freelancers CO-OP'!UNALLOC_REFUNDED)</f>
        <v>0</v>
      </c>
    </row>
    <row r="40" spans="2:30">
      <c r="B40" s="6" t="s">
        <v>128</v>
      </c>
      <c r="C40" s="1" t="s">
        <v>296</v>
      </c>
      <c r="D40" s="1" t="s">
        <v>297</v>
      </c>
      <c r="E40" s="1" t="s">
        <v>298</v>
      </c>
      <c r="F40" s="1" t="s">
        <v>299</v>
      </c>
      <c r="J40" s="1">
        <f>SUM(HealthyCT!LIFE)</f>
        <v>0</v>
      </c>
      <c r="K40" s="1">
        <f>SUM(HealthyCT!ALLOCATED)</f>
        <v>0</v>
      </c>
      <c r="L40" s="1">
        <f>SUM(HealthyCT!HEALTH)</f>
        <v>9165</v>
      </c>
      <c r="M40" s="1">
        <f>SUM(HealthyCT!UNALLOCATED)</f>
        <v>0</v>
      </c>
      <c r="N40" s="1">
        <f>SUM(HealthyCT!LTC)</f>
        <v>0</v>
      </c>
      <c r="O40" s="1">
        <f t="shared" si="2"/>
        <v>9165</v>
      </c>
      <c r="P40" s="6">
        <v>9165</v>
      </c>
      <c r="Q40" s="9">
        <f t="shared" si="3"/>
        <v>0</v>
      </c>
      <c r="T40" s="6">
        <f>SUM(HealthyCT!LIFE_CALLED)</f>
        <v>0</v>
      </c>
      <c r="U40" s="1">
        <f>SUM(HealthyCT!LIFE_REFUNDED)</f>
        <v>0</v>
      </c>
      <c r="W40" s="1">
        <f>SUM(HealthyCT!ALLOC_CALLED)</f>
        <v>0</v>
      </c>
      <c r="X40" s="1">
        <f>SUM(HealthyCT!ALLOC_REFUNDED)</f>
        <v>0</v>
      </c>
      <c r="Z40" s="1">
        <f>SUM(HealthyCT!HEALTH_CALLED)</f>
        <v>20000000</v>
      </c>
      <c r="AA40" s="1">
        <f>SUM(HealthyCT!HEALTH_REFUNDED)</f>
        <v>0</v>
      </c>
      <c r="AC40" s="1">
        <f>SUM(HealthyCT!UNALLOC_CALLED)</f>
        <v>0</v>
      </c>
      <c r="AD40" s="9">
        <f>SUM(HealthyCT!UNALLOC_REFUNDED)</f>
        <v>0</v>
      </c>
    </row>
    <row r="41" spans="2:30">
      <c r="B41" s="6" t="s">
        <v>300</v>
      </c>
      <c r="C41" s="1" t="s">
        <v>301</v>
      </c>
      <c r="D41" s="1" t="s">
        <v>302</v>
      </c>
      <c r="E41" s="1" t="s">
        <v>303</v>
      </c>
      <c r="F41" s="1" t="s">
        <v>304</v>
      </c>
      <c r="J41" s="1">
        <f>SUM('Land of Lincoln'!LIFE)</f>
        <v>0</v>
      </c>
      <c r="K41" s="1">
        <f>SUM('Land of Lincoln'!ALLOCATED)</f>
        <v>0</v>
      </c>
      <c r="L41" s="1">
        <f>SUM('Land of Lincoln'!HEALTH)</f>
        <v>9776890</v>
      </c>
      <c r="M41" s="1">
        <f>SUM('Land of Lincoln'!UNALLOCATED)</f>
        <v>0</v>
      </c>
      <c r="N41" s="1">
        <f>SUM('Land of Lincoln'!LTC)</f>
        <v>0</v>
      </c>
      <c r="O41" s="1">
        <f t="shared" si="2"/>
        <v>9776890</v>
      </c>
      <c r="P41" s="6">
        <v>9776890</v>
      </c>
      <c r="Q41" s="9">
        <f t="shared" si="3"/>
        <v>0</v>
      </c>
      <c r="T41" s="6">
        <f>SUM('Land of Lincoln'!LIFE_CALLED)</f>
        <v>0</v>
      </c>
      <c r="U41" s="1">
        <f>SUM('Land of Lincoln'!LIFE_REFUNDED)</f>
        <v>0</v>
      </c>
      <c r="W41" s="1">
        <f>SUM('Land of Lincoln'!ALLOC_CALLED)</f>
        <v>0</v>
      </c>
      <c r="X41" s="1">
        <f>SUM('Land of Lincoln'!ALLOC_REFUNDED)</f>
        <v>0</v>
      </c>
      <c r="Z41" s="1">
        <f>SUM('Land of Lincoln'!HEALTH_CALLED)</f>
        <v>40000000</v>
      </c>
      <c r="AA41" s="1">
        <f>SUM('Land of Lincoln'!HEALTH_REFUNDED)</f>
        <v>0</v>
      </c>
      <c r="AC41" s="1">
        <f>SUM('Land of Lincoln'!UNALLOC_CALLED)</f>
        <v>0</v>
      </c>
      <c r="AD41" s="9">
        <f>SUM('Land of Lincoln'!UNALLOC_REFUNDED)</f>
        <v>0</v>
      </c>
    </row>
    <row r="42" spans="2:30">
      <c r="B42" s="6" t="s">
        <v>305</v>
      </c>
      <c r="C42" s="1" t="s">
        <v>306</v>
      </c>
      <c r="D42" s="1" t="s">
        <v>307</v>
      </c>
      <c r="E42" s="1" t="s">
        <v>308</v>
      </c>
      <c r="F42" s="1" t="s">
        <v>309</v>
      </c>
      <c r="J42" s="1">
        <f>SUM('Lincoln Memorial'!LIFE)</f>
        <v>211261673.71677151</v>
      </c>
      <c r="K42" s="1">
        <f>SUM('Lincoln Memorial'!ALLOCATED)</f>
        <v>276175.75877743948</v>
      </c>
      <c r="L42" s="1">
        <f>SUM('Lincoln Memorial'!HEALTH)</f>
        <v>0</v>
      </c>
      <c r="M42" s="1">
        <f>SUM('Lincoln Memorial'!UNALLOCATED)</f>
        <v>0</v>
      </c>
      <c r="N42" s="1">
        <f>SUM('Lincoln Memorial'!LTC)</f>
        <v>0</v>
      </c>
      <c r="O42" s="1">
        <f t="shared" si="2"/>
        <v>211537849.47554895</v>
      </c>
      <c r="P42" s="6">
        <v>215837046.11798134</v>
      </c>
      <c r="Q42" s="9">
        <f t="shared" si="3"/>
        <v>-4299196.6424323916</v>
      </c>
      <c r="T42" s="6">
        <f>SUM('Lincoln Memorial'!LIFE_CALLED)</f>
        <v>276290522</v>
      </c>
      <c r="U42" s="1">
        <f>SUM('Lincoln Memorial'!LIFE_REFUNDED)</f>
        <v>0</v>
      </c>
      <c r="W42" s="1">
        <f>SUM('Lincoln Memorial'!ALLOC_CALLED)</f>
        <v>600000</v>
      </c>
      <c r="X42" s="1">
        <f>SUM('Lincoln Memorial'!ALLOC_REFUNDED)</f>
        <v>0</v>
      </c>
      <c r="Z42" s="1">
        <f>SUM('Lincoln Memorial'!HEALTH_CALLED)</f>
        <v>0</v>
      </c>
      <c r="AA42" s="1">
        <f>SUM('Lincoln Memorial'!HEALTH_REFUNDED)</f>
        <v>0</v>
      </c>
      <c r="AC42" s="1">
        <f>SUM('Lincoln Memorial'!UNALLOC_CALLED)</f>
        <v>0</v>
      </c>
      <c r="AD42" s="9">
        <f>SUM('Lincoln Memorial'!UNALLOC_REFUNDED)</f>
        <v>0</v>
      </c>
    </row>
    <row r="43" spans="2:30">
      <c r="B43" s="6" t="s">
        <v>310</v>
      </c>
      <c r="C43" s="1" t="s">
        <v>311</v>
      </c>
      <c r="D43" s="1" t="s">
        <v>302</v>
      </c>
      <c r="E43" s="1" t="s">
        <v>312</v>
      </c>
      <c r="F43" s="1" t="s">
        <v>313</v>
      </c>
      <c r="G43" s="1" t="s">
        <v>314</v>
      </c>
      <c r="J43" s="1">
        <f>SUM(Lumbermens!LIFE)</f>
        <v>0</v>
      </c>
      <c r="K43" s="1">
        <f>SUM(Lumbermens!ALLOCATED)</f>
        <v>0</v>
      </c>
      <c r="L43" s="1">
        <f>SUM(Lumbermens!HEALTH)</f>
        <v>13519844.831880532</v>
      </c>
      <c r="M43" s="1">
        <f>SUM(Lumbermens!UNALLOCATED)</f>
        <v>0</v>
      </c>
      <c r="N43" s="1">
        <f>SUM(Lumbermens!LTC)</f>
        <v>0</v>
      </c>
      <c r="O43" s="1">
        <f t="shared" si="2"/>
        <v>13519844.831880532</v>
      </c>
      <c r="P43" s="6">
        <v>13519844.831880532</v>
      </c>
      <c r="Q43" s="9">
        <f t="shared" si="3"/>
        <v>0</v>
      </c>
      <c r="T43" s="6">
        <f>SUM(Lumbermens!LIFE_CALLED)</f>
        <v>0</v>
      </c>
      <c r="U43" s="1">
        <f>SUM(Lumbermens!LIFE_REFUNDED)</f>
        <v>0</v>
      </c>
      <c r="W43" s="1">
        <f>SUM(Lumbermens!ALLOC_CALLED)</f>
        <v>0</v>
      </c>
      <c r="X43" s="1">
        <f>SUM(Lumbermens!ALLOC_REFUNDED)</f>
        <v>0</v>
      </c>
      <c r="Z43" s="1">
        <f>SUM(Lumbermens!HEALTH_CALLED)</f>
        <v>10031027</v>
      </c>
      <c r="AA43" s="1">
        <f>SUM(Lumbermens!HEALTH_REFUNDED)</f>
        <v>9982</v>
      </c>
      <c r="AC43" s="1">
        <f>SUM(Lumbermens!UNALLOC_CALLED)</f>
        <v>0</v>
      </c>
      <c r="AD43" s="9">
        <f>SUM(Lumbermens!UNALLOC_REFUNDED)</f>
        <v>0</v>
      </c>
    </row>
    <row r="44" spans="2:30">
      <c r="B44" s="6" t="s">
        <v>315</v>
      </c>
      <c r="C44" s="1" t="s">
        <v>316</v>
      </c>
      <c r="D44" s="1" t="s">
        <v>307</v>
      </c>
      <c r="E44" s="1" t="s">
        <v>308</v>
      </c>
      <c r="F44" s="1" t="s">
        <v>309</v>
      </c>
      <c r="G44" s="1" t="s">
        <v>317</v>
      </c>
      <c r="J44" s="1">
        <f>SUM('Memorial Service'!LIFE)</f>
        <v>67539286.65409556</v>
      </c>
      <c r="K44" s="1">
        <f>SUM('Memorial Service'!ALLOCATED)</f>
        <v>0</v>
      </c>
      <c r="L44" s="1">
        <f>SUM('Memorial Service'!HEALTH)</f>
        <v>0</v>
      </c>
      <c r="M44" s="1">
        <f>SUM('Memorial Service'!UNALLOCATED)</f>
        <v>0</v>
      </c>
      <c r="N44" s="1">
        <f>SUM('Memorial Service'!LTC)</f>
        <v>0</v>
      </c>
      <c r="O44" s="1">
        <f t="shared" si="2"/>
        <v>67539286.65409556</v>
      </c>
      <c r="P44" s="6">
        <v>67278973.65409556</v>
      </c>
      <c r="Q44" s="9">
        <f t="shared" si="3"/>
        <v>260313</v>
      </c>
      <c r="T44" s="6">
        <f>SUM('Memorial Service'!LIFE_CALLED)</f>
        <v>94939000</v>
      </c>
      <c r="U44" s="1">
        <f>SUM('Memorial Service'!LIFE_REFUNDED)</f>
        <v>0</v>
      </c>
      <c r="W44" s="1">
        <f>SUM('Memorial Service'!ALLOC_CALLED)</f>
        <v>0</v>
      </c>
      <c r="X44" s="1">
        <f>SUM('Memorial Service'!ALLOC_REFUNDED)</f>
        <v>0</v>
      </c>
      <c r="Z44" s="1">
        <f>SUM('Memorial Service'!HEALTH_CALLED)</f>
        <v>0</v>
      </c>
      <c r="AA44" s="1">
        <f>SUM('Memorial Service'!HEALTH_REFUNDED)</f>
        <v>0</v>
      </c>
      <c r="AC44" s="1">
        <f>SUM('Memorial Service'!UNALLOC_CALLED)</f>
        <v>0</v>
      </c>
      <c r="AD44" s="9">
        <f>SUM('Memorial Service'!UNALLOC_REFUNDED)</f>
        <v>0</v>
      </c>
    </row>
    <row r="45" spans="2:30">
      <c r="B45" s="6" t="s">
        <v>318</v>
      </c>
      <c r="C45" s="1" t="s">
        <v>319</v>
      </c>
      <c r="D45" s="1" t="s">
        <v>320</v>
      </c>
      <c r="E45" s="1" t="s">
        <v>321</v>
      </c>
      <c r="F45" s="1" t="s">
        <v>322</v>
      </c>
      <c r="H45" s="1" t="s">
        <v>323</v>
      </c>
      <c r="J45" s="1">
        <f>SUM(NNIC!LIFE)</f>
        <v>0</v>
      </c>
      <c r="K45" s="1">
        <f>SUM(NNIC!ALLOCATED)</f>
        <v>0</v>
      </c>
      <c r="L45" s="1">
        <f>SUM(NNIC!HEALTH)</f>
        <v>5850842.055905154</v>
      </c>
      <c r="M45" s="1">
        <f>SUM(NNIC!UNALLOCATED)</f>
        <v>0</v>
      </c>
      <c r="N45" s="1">
        <f>SUM(NNIC!LTC)</f>
        <v>0</v>
      </c>
      <c r="O45" s="1">
        <f t="shared" si="2"/>
        <v>5850842.055905154</v>
      </c>
      <c r="P45" s="6">
        <v>5850842.055905154</v>
      </c>
      <c r="Q45" s="9">
        <f t="shared" si="3"/>
        <v>0</v>
      </c>
      <c r="T45" s="6">
        <f>SUM(NNIC!LIFE_CALLED)</f>
        <v>0</v>
      </c>
      <c r="U45" s="1">
        <f>SUM(NNIC!LIFE_REFUNDED)</f>
        <v>0</v>
      </c>
      <c r="W45" s="1">
        <f>SUM(NNIC!ALLOC_CALLED)</f>
        <v>0</v>
      </c>
      <c r="X45" s="1">
        <f>SUM(NNIC!ALLOC_REFUNDED)</f>
        <v>0</v>
      </c>
      <c r="Z45" s="1">
        <f>SUM(NNIC!HEALTH_CALLED)</f>
        <v>1792496</v>
      </c>
      <c r="AA45" s="1">
        <f>SUM(NNIC!HEALTH_REFUNDED)</f>
        <v>0</v>
      </c>
      <c r="AC45" s="1">
        <f>SUM(NNIC!UNALLOC_CALLED)</f>
        <v>0</v>
      </c>
      <c r="AD45" s="9">
        <f>SUM(NNIC!UNALLOC_REFUNDED)</f>
        <v>0</v>
      </c>
    </row>
    <row r="46" spans="2:30">
      <c r="B46" s="6" t="s">
        <v>324</v>
      </c>
      <c r="C46" s="1" t="s">
        <v>325</v>
      </c>
      <c r="D46" s="1" t="s">
        <v>199</v>
      </c>
      <c r="E46" s="1" t="s">
        <v>326</v>
      </c>
      <c r="F46" s="1" t="s">
        <v>327</v>
      </c>
      <c r="G46" s="1" t="s">
        <v>328</v>
      </c>
      <c r="H46" s="1" t="s">
        <v>329</v>
      </c>
      <c r="J46" s="1">
        <f>SUM(Reliance!LIFE)</f>
        <v>0</v>
      </c>
      <c r="K46" s="1">
        <f>SUM(Reliance!ALLOCATED)</f>
        <v>0</v>
      </c>
      <c r="L46" s="1">
        <f>SUM(Reliance!HEALTH)</f>
        <v>512896.03600000095</v>
      </c>
      <c r="M46" s="1">
        <f>SUM(Reliance!UNALLOCATED)</f>
        <v>0</v>
      </c>
      <c r="N46" s="1">
        <f>SUM(Reliance!LTC)</f>
        <v>0</v>
      </c>
      <c r="O46" s="1">
        <f t="shared" si="2"/>
        <v>512896.03600000095</v>
      </c>
      <c r="P46" s="6">
        <v>512896.03600000095</v>
      </c>
      <c r="Q46" s="9">
        <f t="shared" si="3"/>
        <v>0</v>
      </c>
      <c r="T46" s="6">
        <f>SUM(Reliance!LIFE_CALLED)</f>
        <v>151260</v>
      </c>
      <c r="U46" s="1">
        <f>SUM(Reliance!LIFE_REFUNDED)</f>
        <v>0</v>
      </c>
      <c r="W46" s="1">
        <f>SUM(Reliance!ALLOC_CALLED)</f>
        <v>0</v>
      </c>
      <c r="X46" s="1">
        <f>SUM(Reliance!ALLOC_REFUNDED)</f>
        <v>0</v>
      </c>
      <c r="Z46" s="1">
        <f>SUM(Reliance!HEALTH_CALLED)</f>
        <v>6480687</v>
      </c>
      <c r="AA46" s="1">
        <f>SUM(Reliance!HEALTH_REFUNDED)</f>
        <v>1000000</v>
      </c>
      <c r="AC46" s="1">
        <f>SUM(Reliance!UNALLOC_CALLED)</f>
        <v>0</v>
      </c>
      <c r="AD46" s="9">
        <f>SUM(Reliance!UNALLOC_REFUNDED)</f>
        <v>0</v>
      </c>
    </row>
    <row r="47" spans="2:30" ht="28.8">
      <c r="B47" s="6" t="s">
        <v>330</v>
      </c>
      <c r="C47" s="1" t="s">
        <v>331</v>
      </c>
      <c r="D47" s="1" t="s">
        <v>332</v>
      </c>
      <c r="E47" s="1" t="s">
        <v>333</v>
      </c>
      <c r="F47" s="1" t="s">
        <v>334</v>
      </c>
      <c r="I47" s="1" t="s">
        <v>335</v>
      </c>
      <c r="J47" s="1">
        <f>SUM('Standard Life IN'!LIFE)</f>
        <v>0</v>
      </c>
      <c r="K47" s="1">
        <f>SUM('Standard Life IN'!ALLOCATED)</f>
        <v>3028888.897625369</v>
      </c>
      <c r="L47" s="1">
        <f>SUM('Standard Life IN'!HEALTH)</f>
        <v>0</v>
      </c>
      <c r="M47" s="1">
        <f>SUM('Standard Life IN'!UNALLOCATED)</f>
        <v>0</v>
      </c>
      <c r="N47" s="1">
        <f>SUM('Standard Life IN'!LTC)</f>
        <v>0</v>
      </c>
      <c r="O47" s="1">
        <f t="shared" si="2"/>
        <v>3028888.897625369</v>
      </c>
      <c r="P47" s="6">
        <v>3028888.897625369</v>
      </c>
      <c r="Q47" s="9">
        <f t="shared" si="3"/>
        <v>0</v>
      </c>
      <c r="T47" s="6">
        <f>SUM('Standard Life IN'!LIFE_CALLED)</f>
        <v>0</v>
      </c>
      <c r="U47" s="1">
        <f>SUM('Standard Life IN'!LIFE_REFUNDED)</f>
        <v>0</v>
      </c>
      <c r="W47" s="1">
        <f>SUM('Standard Life IN'!ALLOC_CALLED)</f>
        <v>438000</v>
      </c>
      <c r="X47" s="1">
        <f>SUM('Standard Life IN'!ALLOC_REFUNDED)</f>
        <v>0</v>
      </c>
      <c r="Z47" s="1">
        <f>SUM('Standard Life IN'!HEALTH_CALLED)</f>
        <v>0</v>
      </c>
      <c r="AA47" s="1">
        <f>SUM('Standard Life IN'!HEALTH_REFUNDED)</f>
        <v>0</v>
      </c>
      <c r="AC47" s="1">
        <f>SUM('Standard Life IN'!UNALLOC_CALLED)</f>
        <v>0</v>
      </c>
      <c r="AD47" s="9">
        <f>SUM('Standard Life IN'!UNALLOC_REFUNDED)</f>
        <v>0</v>
      </c>
    </row>
    <row r="48" spans="2:30">
      <c r="B48" s="6" t="s">
        <v>336</v>
      </c>
      <c r="C48" s="1" t="s">
        <v>337</v>
      </c>
      <c r="D48" s="1" t="s">
        <v>320</v>
      </c>
      <c r="E48" s="1" t="s">
        <v>338</v>
      </c>
      <c r="F48" s="1" t="s">
        <v>339</v>
      </c>
      <c r="H48" s="1" t="s">
        <v>340</v>
      </c>
      <c r="J48" s="1">
        <f>SUM(Time!LIFE)</f>
        <v>-520195.91671440483</v>
      </c>
      <c r="K48" s="1">
        <f>SUM(Time!ALLOCATED)</f>
        <v>0</v>
      </c>
      <c r="L48" s="1">
        <f>SUM(Time!HEALTH)</f>
        <v>1683609.5498684382</v>
      </c>
      <c r="M48" s="1">
        <f>SUM(Time!UNALLOCATED)</f>
        <v>0</v>
      </c>
      <c r="N48" s="1">
        <f>SUM(Time!LTC)</f>
        <v>0</v>
      </c>
      <c r="O48" s="1">
        <f t="shared" si="2"/>
        <v>1163413.6331540332</v>
      </c>
      <c r="P48" s="6">
        <v>1150108.4152936616</v>
      </c>
      <c r="Q48" s="9">
        <f t="shared" si="3"/>
        <v>13305.217860371573</v>
      </c>
      <c r="T48" s="6">
        <f>SUM(Time!LIFE_CALLED)</f>
        <v>0</v>
      </c>
      <c r="U48" s="1">
        <f>SUM(Time!LIFE_REFUNDED)</f>
        <v>0</v>
      </c>
      <c r="W48" s="1">
        <f>SUM(Time!ALLOC_CALLED)</f>
        <v>0</v>
      </c>
      <c r="X48" s="1">
        <f>SUM(Time!ALLOC_REFUNDED)</f>
        <v>0</v>
      </c>
      <c r="Z48" s="1">
        <f>SUM(Time!HEALTH_CALLED)</f>
        <v>0</v>
      </c>
      <c r="AA48" s="1">
        <f>SUM(Time!HEALTH_REFUNDED)</f>
        <v>0</v>
      </c>
      <c r="AC48" s="1">
        <f>SUM(Time!UNALLOC_CALLED)</f>
        <v>0</v>
      </c>
      <c r="AD48" s="9">
        <f>SUM(Time!UNALLOC_REFUNDED)</f>
        <v>0</v>
      </c>
    </row>
    <row r="49" spans="2:30">
      <c r="B49" s="6" t="s">
        <v>341</v>
      </c>
      <c r="C49" s="1" t="s">
        <v>342</v>
      </c>
      <c r="D49" s="1" t="s">
        <v>343</v>
      </c>
      <c r="E49" s="1" t="s">
        <v>344</v>
      </c>
      <c r="F49" s="1" t="s">
        <v>345</v>
      </c>
      <c r="J49" s="1">
        <f>SUM('Universal Health Care'!LIFE)</f>
        <v>0</v>
      </c>
      <c r="K49" s="1">
        <f>SUM('Universal Health Care'!ALLOCATED)</f>
        <v>0</v>
      </c>
      <c r="L49" s="1">
        <f>SUM('Universal Health Care'!HEALTH)</f>
        <v>-1157050.7913558462</v>
      </c>
      <c r="M49" s="1">
        <f>SUM('Universal Health Care'!UNALLOCATED)</f>
        <v>0</v>
      </c>
      <c r="N49" s="1">
        <f>SUM('Universal Health Care'!LTC)</f>
        <v>0</v>
      </c>
      <c r="O49" s="1">
        <f t="shared" si="2"/>
        <v>-1157050.7913558462</v>
      </c>
      <c r="P49" s="6">
        <v>-1166994.4613558461</v>
      </c>
      <c r="Q49" s="9">
        <f t="shared" si="3"/>
        <v>9943.6699999999255</v>
      </c>
      <c r="T49" s="6">
        <f>SUM('Universal Health Care'!LIFE_CALLED)</f>
        <v>0</v>
      </c>
      <c r="U49" s="1">
        <f>SUM('Universal Health Care'!LIFE_REFUNDED)</f>
        <v>0</v>
      </c>
      <c r="W49" s="1">
        <f>SUM('Universal Health Care'!ALLOC_CALLED)</f>
        <v>0</v>
      </c>
      <c r="X49" s="1">
        <f>SUM('Universal Health Care'!ALLOC_REFUNDED)</f>
        <v>0</v>
      </c>
      <c r="Z49" s="1">
        <f>SUM('Universal Health Care'!HEALTH_CALLED)</f>
        <v>250000</v>
      </c>
      <c r="AA49" s="1">
        <f>SUM('Universal Health Care'!HEALTH_REFUNDED)</f>
        <v>0</v>
      </c>
      <c r="AC49" s="1">
        <f>SUM('Universal Health Care'!UNALLOC_CALLED)</f>
        <v>0</v>
      </c>
      <c r="AD49" s="9">
        <f>SUM('Universal Health Care'!UNALLOC_REFUNDED)</f>
        <v>0</v>
      </c>
    </row>
    <row r="50" spans="2:30" ht="6.9" customHeight="1" thickBot="1">
      <c r="B50" s="8"/>
      <c r="C50" s="5"/>
      <c r="D50" s="5"/>
      <c r="E50" s="5"/>
      <c r="F50" s="5"/>
      <c r="G50" s="5"/>
      <c r="H50" s="5"/>
      <c r="I50" s="5"/>
      <c r="J50" s="5"/>
      <c r="K50" s="5"/>
      <c r="L50" s="5"/>
      <c r="M50" s="5"/>
      <c r="N50" s="5"/>
      <c r="O50" s="5"/>
      <c r="P50" s="8"/>
      <c r="Q50" s="11"/>
      <c r="T50" s="8"/>
      <c r="U50" s="5"/>
      <c r="V50" s="5"/>
      <c r="W50" s="5"/>
      <c r="X50" s="5"/>
      <c r="Y50" s="5"/>
      <c r="Z50" s="5"/>
      <c r="AA50" s="5"/>
      <c r="AB50" s="5"/>
      <c r="AC50" s="5"/>
      <c r="AD50" s="11"/>
    </row>
    <row r="51" spans="2:30" ht="15" thickBot="1">
      <c r="B51" s="31" t="s">
        <v>346</v>
      </c>
      <c r="C51" s="30"/>
      <c r="D51" s="30"/>
      <c r="E51" s="30"/>
      <c r="F51" s="30"/>
      <c r="G51" s="30"/>
      <c r="H51" s="30"/>
      <c r="I51" s="30"/>
      <c r="J51" s="30">
        <f>SUM(CL_LIFE)</f>
        <v>1433553127.3287919</v>
      </c>
      <c r="K51" s="30">
        <f>SUM(CL_ALLOCATED)</f>
        <v>2478831756.7276516</v>
      </c>
      <c r="L51" s="30">
        <f>SUM(CL_HEALTH)</f>
        <v>213190414.60980415</v>
      </c>
      <c r="M51" s="30">
        <f>SUM(CL_UNALLOCATED)</f>
        <v>31883962.737060916</v>
      </c>
      <c r="N51" s="30">
        <f>SUM(CL_LTC)</f>
        <v>0</v>
      </c>
      <c r="O51" s="30">
        <f>SUM(CL_TOTAL)</f>
        <v>4157459261.4033084</v>
      </c>
      <c r="P51" s="33">
        <f>SUM(CL_TOTAL_PREV)</f>
        <v>4160650059.6127238</v>
      </c>
      <c r="Q51" s="32">
        <f>SUM(CL_CHANGE)</f>
        <v>-3190798.2094150437</v>
      </c>
      <c r="T51" s="33">
        <f>SUM(CL_LIFE_CALLED)</f>
        <v>2060076733</v>
      </c>
      <c r="U51" s="30">
        <f>SUM(CL_LIFE_REFUNDED)</f>
        <v>8524284</v>
      </c>
      <c r="V51" s="30"/>
      <c r="W51" s="30">
        <f>SUM(CL_ALLOC_CALLED)</f>
        <v>1756236243</v>
      </c>
      <c r="X51" s="30">
        <f>SUM(CL_ALLOC_REFUNDED)</f>
        <v>66984348.450000003</v>
      </c>
      <c r="Y51" s="30"/>
      <c r="Z51" s="30">
        <f>SUM(CL_HEALTH_CALLED)</f>
        <v>390457353</v>
      </c>
      <c r="AA51" s="30">
        <f>SUM(CL_HEALTH_REFUNDED)</f>
        <v>86008009</v>
      </c>
      <c r="AB51" s="30"/>
      <c r="AC51" s="30">
        <f>SUM(CL_UNALLOC_CALLED)</f>
        <v>42365781</v>
      </c>
      <c r="AD51" s="32">
        <f>SUM(CL_UNALLOC_REFUNDED)</f>
        <v>23169526.82</v>
      </c>
    </row>
    <row r="53" spans="2:30">
      <c r="B53" s="27" t="s">
        <v>347</v>
      </c>
      <c r="C53" s="26"/>
      <c r="D53" s="26"/>
      <c r="E53" s="26"/>
      <c r="F53" s="26"/>
      <c r="G53" s="26"/>
      <c r="H53" s="26"/>
      <c r="I53" s="26"/>
      <c r="J53" s="26"/>
      <c r="K53" s="26"/>
      <c r="L53" s="26"/>
      <c r="M53" s="26"/>
      <c r="N53" s="26"/>
      <c r="O53" s="26"/>
      <c r="P53" s="29"/>
      <c r="Q53" s="28"/>
      <c r="T53" s="29"/>
      <c r="U53" s="26"/>
      <c r="V53" s="26"/>
      <c r="W53" s="26"/>
      <c r="X53" s="26"/>
      <c r="Y53" s="26"/>
      <c r="Z53" s="26"/>
      <c r="AA53" s="26"/>
      <c r="AB53" s="26"/>
      <c r="AC53" s="26"/>
      <c r="AD53" s="28"/>
    </row>
    <row r="54" spans="2:30" ht="6.9" customHeight="1">
      <c r="B54" s="6"/>
      <c r="P54" s="6"/>
      <c r="Q54" s="9"/>
      <c r="T54" s="6"/>
      <c r="AD54" s="9"/>
    </row>
    <row r="55" spans="2:30">
      <c r="B55" s="6" t="s">
        <v>348</v>
      </c>
      <c r="C55" s="1" t="s">
        <v>349</v>
      </c>
      <c r="D55" s="1" t="s">
        <v>210</v>
      </c>
      <c r="E55" s="1" t="s">
        <v>350</v>
      </c>
      <c r="F55" s="1" t="s">
        <v>351</v>
      </c>
      <c r="G55" s="1" t="s">
        <v>352</v>
      </c>
      <c r="H55" s="1" t="s">
        <v>353</v>
      </c>
      <c r="J55" s="1">
        <f>SUM('Alabama Life'!LIFE)</f>
        <v>2137779.3229980012</v>
      </c>
      <c r="K55" s="1">
        <f>SUM('Alabama Life'!ALLOCATED)</f>
        <v>1170473.7981022638</v>
      </c>
      <c r="L55" s="1">
        <f>SUM('Alabama Life'!HEALTH)</f>
        <v>10279.638899735133</v>
      </c>
      <c r="M55" s="1">
        <f>SUM('Alabama Life'!UNALLOCATED)</f>
        <v>0</v>
      </c>
      <c r="N55" s="1">
        <f>SUM('Alabama Life'!LTC)</f>
        <v>0</v>
      </c>
      <c r="O55" s="1">
        <f t="shared" ref="O55:O87" si="4">SUM(J55:N55)</f>
        <v>3318532.7600000002</v>
      </c>
      <c r="P55" s="6">
        <v>3318532.7600000002</v>
      </c>
      <c r="Q55" s="9">
        <f t="shared" ref="Q55:Q86" si="5">+O55-P55</f>
        <v>0</v>
      </c>
      <c r="T55" s="6">
        <f>SUM('Alabama Life'!LIFE_CALLED)</f>
        <v>2800000</v>
      </c>
      <c r="U55" s="1">
        <f>SUM('Alabama Life'!LIFE_REFUNDED)</f>
        <v>0</v>
      </c>
      <c r="W55" s="1">
        <f>SUM('Alabama Life'!ALLOC_CALLED)</f>
        <v>568170</v>
      </c>
      <c r="X55" s="1">
        <f>SUM('Alabama Life'!ALLOC_REFUNDED)</f>
        <v>0</v>
      </c>
      <c r="Z55" s="1">
        <f>SUM('Alabama Life'!HEALTH_CALLED)</f>
        <v>13000</v>
      </c>
      <c r="AA55" s="1">
        <f>SUM('Alabama Life'!HEALTH_REFUNDED)</f>
        <v>0</v>
      </c>
      <c r="AC55" s="1">
        <f>SUM('Alabama Life'!UNALLOC_CALLED)</f>
        <v>0</v>
      </c>
      <c r="AD55" s="9">
        <f>SUM('Alabama Life'!UNALLOC_REFUNDED)</f>
        <v>0</v>
      </c>
    </row>
    <row r="56" spans="2:30">
      <c r="B56" s="6" t="s">
        <v>354</v>
      </c>
      <c r="C56" s="1" t="s">
        <v>355</v>
      </c>
      <c r="D56" s="1" t="s">
        <v>271</v>
      </c>
      <c r="E56" s="1" t="s">
        <v>356</v>
      </c>
      <c r="F56" s="1" t="s">
        <v>357</v>
      </c>
      <c r="G56" s="1" t="s">
        <v>358</v>
      </c>
      <c r="H56" s="1" t="s">
        <v>359</v>
      </c>
      <c r="J56" s="1">
        <f>SUM('American Chambers'!LIFE)</f>
        <v>79567.167830055259</v>
      </c>
      <c r="K56" s="1">
        <f>SUM('American Chambers'!ALLOCATED)</f>
        <v>0</v>
      </c>
      <c r="L56" s="1">
        <f>SUM('American Chambers'!HEALTH)</f>
        <v>26352847.616249941</v>
      </c>
      <c r="M56" s="1">
        <f>SUM('American Chambers'!UNALLOCATED)</f>
        <v>0</v>
      </c>
      <c r="N56" s="1">
        <f>SUM('American Chambers'!LTC)</f>
        <v>0</v>
      </c>
      <c r="O56" s="1">
        <f t="shared" si="4"/>
        <v>26432414.784079995</v>
      </c>
      <c r="P56" s="6">
        <v>26432414.784079999</v>
      </c>
      <c r="Q56" s="9">
        <f t="shared" si="5"/>
        <v>0</v>
      </c>
      <c r="T56" s="6">
        <f>SUM('American Chambers'!LIFE_CALLED)</f>
        <v>253143</v>
      </c>
      <c r="U56" s="1">
        <f>SUM('American Chambers'!LIFE_REFUNDED)</f>
        <v>4500</v>
      </c>
      <c r="W56" s="1">
        <f>SUM('American Chambers'!ALLOC_CALLED)</f>
        <v>0</v>
      </c>
      <c r="X56" s="1">
        <f>SUM('American Chambers'!ALLOC_REFUNDED)</f>
        <v>0</v>
      </c>
      <c r="Z56" s="1">
        <f>SUM('American Chambers'!HEALTH_CALLED)</f>
        <v>58771774</v>
      </c>
      <c r="AA56" s="1">
        <f>SUM('American Chambers'!HEALTH_REFUNDED)</f>
        <v>16096567</v>
      </c>
      <c r="AC56" s="1">
        <f>SUM('American Chambers'!UNALLOC_CALLED)</f>
        <v>0</v>
      </c>
      <c r="AD56" s="9">
        <f>SUM('American Chambers'!UNALLOC_REFUNDED)</f>
        <v>0</v>
      </c>
    </row>
    <row r="57" spans="2:30">
      <c r="B57" s="6" t="s">
        <v>360</v>
      </c>
      <c r="C57" s="1" t="s">
        <v>361</v>
      </c>
      <c r="D57" s="1" t="s">
        <v>210</v>
      </c>
      <c r="E57" s="1" t="s">
        <v>350</v>
      </c>
      <c r="F57" s="1" t="s">
        <v>362</v>
      </c>
      <c r="G57" s="1" t="s">
        <v>363</v>
      </c>
      <c r="H57" s="1" t="s">
        <v>364</v>
      </c>
      <c r="J57" s="1">
        <f>SUM('American Educators'!LIFE)</f>
        <v>227596.37831170985</v>
      </c>
      <c r="K57" s="1">
        <f>SUM('American Educators'!ALLOCATED)</f>
        <v>4592238.8649955532</v>
      </c>
      <c r="L57" s="1">
        <f>SUM('American Educators'!HEALTH)</f>
        <v>109820.02669273682</v>
      </c>
      <c r="M57" s="1">
        <f>SUM('American Educators'!UNALLOCATED)</f>
        <v>0</v>
      </c>
      <c r="N57" s="1">
        <f>SUM('American Educators'!LTC)</f>
        <v>0</v>
      </c>
      <c r="O57" s="1">
        <f t="shared" si="4"/>
        <v>4929655.2699999996</v>
      </c>
      <c r="P57" s="6">
        <v>4929655.2699999996</v>
      </c>
      <c r="Q57" s="9">
        <f t="shared" si="5"/>
        <v>0</v>
      </c>
      <c r="T57" s="6">
        <f>SUM('American Educators'!LIFE_CALLED)</f>
        <v>19024</v>
      </c>
      <c r="U57" s="1">
        <f>SUM('American Educators'!LIFE_REFUNDED)</f>
        <v>0</v>
      </c>
      <c r="W57" s="1">
        <f>SUM('American Educators'!ALLOC_CALLED)</f>
        <v>284983</v>
      </c>
      <c r="X57" s="1">
        <f>SUM('American Educators'!ALLOC_REFUNDED)</f>
        <v>1409.23</v>
      </c>
      <c r="Z57" s="1">
        <f>SUM('American Educators'!HEALTH_CALLED)</f>
        <v>7000</v>
      </c>
      <c r="AA57" s="1">
        <f>SUM('American Educators'!HEALTH_REFUNDED)</f>
        <v>0</v>
      </c>
      <c r="AC57" s="1">
        <f>SUM('American Educators'!UNALLOC_CALLED)</f>
        <v>0</v>
      </c>
      <c r="AD57" s="9">
        <f>SUM('American Educators'!UNALLOC_REFUNDED)</f>
        <v>0</v>
      </c>
    </row>
    <row r="58" spans="2:30">
      <c r="B58" s="6" t="s">
        <v>365</v>
      </c>
      <c r="C58" s="1" t="s">
        <v>366</v>
      </c>
      <c r="D58" s="1" t="s">
        <v>199</v>
      </c>
      <c r="F58" s="1" t="s">
        <v>367</v>
      </c>
      <c r="G58" s="1" t="s">
        <v>368</v>
      </c>
      <c r="H58" s="1" t="s">
        <v>369</v>
      </c>
      <c r="J58" s="1">
        <f>SUM('American Integrity'!LIFE)</f>
        <v>0</v>
      </c>
      <c r="K58" s="1">
        <f>SUM('American Integrity'!ALLOCATED)</f>
        <v>0</v>
      </c>
      <c r="L58" s="1">
        <f>SUM('American Integrity'!HEALTH)</f>
        <v>34222634.49000001</v>
      </c>
      <c r="M58" s="1">
        <f>SUM('American Integrity'!UNALLOCATED)</f>
        <v>0</v>
      </c>
      <c r="N58" s="1">
        <f>SUM('American Integrity'!LTC)</f>
        <v>0</v>
      </c>
      <c r="O58" s="1">
        <f t="shared" si="4"/>
        <v>34222634.49000001</v>
      </c>
      <c r="P58" s="6">
        <v>34222634.49000001</v>
      </c>
      <c r="Q58" s="9">
        <f t="shared" si="5"/>
        <v>0</v>
      </c>
      <c r="T58" s="6">
        <f>SUM('American Integrity'!LIFE_CALLED)</f>
        <v>9517</v>
      </c>
      <c r="U58" s="1">
        <f>SUM('American Integrity'!LIFE_REFUNDED)</f>
        <v>729780</v>
      </c>
      <c r="W58" s="1">
        <f>SUM('American Integrity'!ALLOC_CALLED)</f>
        <v>0</v>
      </c>
      <c r="X58" s="1">
        <f>SUM('American Integrity'!ALLOC_REFUNDED)</f>
        <v>0</v>
      </c>
      <c r="Z58" s="1">
        <f>SUM('American Integrity'!HEALTH_CALLED)</f>
        <v>85880466.5</v>
      </c>
      <c r="AA58" s="1">
        <f>SUM('American Integrity'!HEALTH_REFUNDED)</f>
        <v>30818274</v>
      </c>
      <c r="AC58" s="1">
        <f>SUM('American Integrity'!UNALLOC_CALLED)</f>
        <v>0</v>
      </c>
      <c r="AD58" s="9">
        <f>SUM('American Integrity'!UNALLOC_REFUNDED)</f>
        <v>0</v>
      </c>
    </row>
    <row r="59" spans="2:30">
      <c r="B59" s="6" t="s">
        <v>370</v>
      </c>
      <c r="C59" s="1" t="s">
        <v>371</v>
      </c>
      <c r="D59" s="1" t="s">
        <v>210</v>
      </c>
      <c r="E59" s="1" t="s">
        <v>372</v>
      </c>
      <c r="F59" s="1" t="s">
        <v>373</v>
      </c>
      <c r="G59" s="1" t="s">
        <v>374</v>
      </c>
      <c r="H59" s="1" t="s">
        <v>375</v>
      </c>
      <c r="J59" s="1">
        <f>SUM('Amer Life Asr'!LIFE)</f>
        <v>95497.661041522748</v>
      </c>
      <c r="K59" s="1">
        <f>SUM('Amer Life Asr'!ALLOCATED)</f>
        <v>855117.8363727564</v>
      </c>
      <c r="L59" s="1">
        <f>SUM('Amer Life Asr'!HEALTH)</f>
        <v>4435326.012585721</v>
      </c>
      <c r="M59" s="1">
        <f>SUM('Amer Life Asr'!UNALLOCATED)</f>
        <v>0</v>
      </c>
      <c r="N59" s="1">
        <f>SUM('Amer Life Asr'!LTC)</f>
        <v>0</v>
      </c>
      <c r="O59" s="1">
        <f t="shared" si="4"/>
        <v>5385941.5099999998</v>
      </c>
      <c r="P59" s="6">
        <v>5385941.5099999998</v>
      </c>
      <c r="Q59" s="9">
        <f t="shared" si="5"/>
        <v>0</v>
      </c>
      <c r="T59" s="6">
        <f>SUM('Amer Life Asr'!LIFE_CALLED)</f>
        <v>10971</v>
      </c>
      <c r="U59" s="1">
        <f>SUM('Amer Life Asr'!LIFE_REFUNDED)</f>
        <v>0</v>
      </c>
      <c r="W59" s="1">
        <f>SUM('Amer Life Asr'!ALLOC_CALLED)</f>
        <v>0</v>
      </c>
      <c r="X59" s="1">
        <f>SUM('Amer Life Asr'!ALLOC_REFUNDED)</f>
        <v>0</v>
      </c>
      <c r="Z59" s="1">
        <f>SUM('Amer Life Asr'!HEALTH_CALLED)</f>
        <v>148029</v>
      </c>
      <c r="AA59" s="1">
        <f>SUM('Amer Life Asr'!HEALTH_REFUNDED)</f>
        <v>0</v>
      </c>
      <c r="AC59" s="1">
        <f>SUM('Amer Life Asr'!UNALLOC_CALLED)</f>
        <v>0</v>
      </c>
      <c r="AD59" s="9">
        <f>SUM('Amer Life Asr'!UNALLOC_REFUNDED)</f>
        <v>0</v>
      </c>
    </row>
    <row r="60" spans="2:30">
      <c r="B60" s="6" t="s">
        <v>376</v>
      </c>
      <c r="C60" s="1" t="s">
        <v>377</v>
      </c>
      <c r="D60" s="1" t="s">
        <v>282</v>
      </c>
      <c r="F60" s="1" t="s">
        <v>378</v>
      </c>
      <c r="H60" s="1" t="s">
        <v>379</v>
      </c>
      <c r="J60" s="1">
        <f>SUM('American Medical'!LIFE)</f>
        <v>0</v>
      </c>
      <c r="K60" s="1">
        <f>SUM('American Medical'!ALLOCATED)</f>
        <v>0</v>
      </c>
      <c r="L60" s="1">
        <f>SUM('American Medical'!HEALTH)</f>
        <v>412897.00922114402</v>
      </c>
      <c r="M60" s="1">
        <f>SUM('American Medical'!UNALLOCATED)</f>
        <v>0</v>
      </c>
      <c r="N60" s="1">
        <f>SUM('American Medical'!LTC)</f>
        <v>0</v>
      </c>
      <c r="O60" s="1">
        <f t="shared" si="4"/>
        <v>412897.00922114402</v>
      </c>
      <c r="P60" s="6">
        <v>440433.00922114414</v>
      </c>
      <c r="Q60" s="9">
        <f t="shared" si="5"/>
        <v>-27536.000000000116</v>
      </c>
      <c r="T60" s="6">
        <f>SUM('American Medical'!LIFE_CALLED)</f>
        <v>0</v>
      </c>
      <c r="U60" s="1">
        <f>SUM('American Medical'!LIFE_REFUNDED)</f>
        <v>0</v>
      </c>
      <c r="W60" s="1">
        <f>SUM('American Medical'!ALLOC_CALLED)</f>
        <v>0</v>
      </c>
      <c r="X60" s="1">
        <f>SUM('American Medical'!ALLOC_REFUNDED)</f>
        <v>0</v>
      </c>
      <c r="Z60" s="1">
        <f>SUM('American Medical'!HEALTH_CALLED)</f>
        <v>0</v>
      </c>
      <c r="AA60" s="1">
        <f>SUM('American Medical'!HEALTH_REFUNDED)</f>
        <v>0</v>
      </c>
      <c r="AC60" s="1">
        <f>SUM('American Medical'!UNALLOC_CALLED)</f>
        <v>0</v>
      </c>
      <c r="AD60" s="9">
        <f>SUM('American Medical'!UNALLOC_REFUNDED)</f>
        <v>0</v>
      </c>
    </row>
    <row r="61" spans="2:30">
      <c r="B61" s="6" t="s">
        <v>380</v>
      </c>
      <c r="C61" s="1" t="s">
        <v>381</v>
      </c>
      <c r="D61" s="1" t="s">
        <v>382</v>
      </c>
      <c r="E61" s="1" t="s">
        <v>383</v>
      </c>
      <c r="F61" s="1" t="s">
        <v>384</v>
      </c>
      <c r="G61" s="1" t="s">
        <v>384</v>
      </c>
      <c r="H61" s="1" t="s">
        <v>385</v>
      </c>
      <c r="J61" s="1">
        <f>SUM('Amer Std Life Acc'!LIFE)</f>
        <v>7621588.1753547508</v>
      </c>
      <c r="K61" s="1">
        <f>SUM('Amer Std Life Acc'!ALLOCATED)</f>
        <v>432420.10685980052</v>
      </c>
      <c r="L61" s="1">
        <f>SUM('Amer Std Life Acc'!HEALTH)</f>
        <v>422747.11778544862</v>
      </c>
      <c r="M61" s="1">
        <f>SUM('Amer Std Life Acc'!UNALLOCATED)</f>
        <v>0</v>
      </c>
      <c r="N61" s="1">
        <f>SUM('Amer Std Life Acc'!LTC)</f>
        <v>0</v>
      </c>
      <c r="O61" s="1">
        <f t="shared" si="4"/>
        <v>8476755.4000000004</v>
      </c>
      <c r="P61" s="6">
        <v>8476755.4000000004</v>
      </c>
      <c r="Q61" s="9">
        <f t="shared" si="5"/>
        <v>0</v>
      </c>
      <c r="T61" s="6">
        <f>SUM('Amer Std Life Acc'!LIFE_CALLED)</f>
        <v>6139072</v>
      </c>
      <c r="U61" s="1">
        <f>SUM('Amer Std Life Acc'!LIFE_REFUNDED)</f>
        <v>5473823.1830000002</v>
      </c>
      <c r="W61" s="1">
        <f>SUM('Amer Std Life Acc'!ALLOC_CALLED)</f>
        <v>10343</v>
      </c>
      <c r="X61" s="1">
        <f>SUM('Amer Std Life Acc'!ALLOC_REFUNDED)</f>
        <v>111000</v>
      </c>
      <c r="Z61" s="1">
        <f>SUM('Amer Std Life Acc'!HEALTH_CALLED)</f>
        <v>1280461</v>
      </c>
      <c r="AA61" s="1">
        <f>SUM('Amer Std Life Acc'!HEALTH_REFUNDED)</f>
        <v>660184.81700000004</v>
      </c>
      <c r="AC61" s="1">
        <f>SUM('Amer Std Life Acc'!UNALLOC_CALLED)</f>
        <v>0</v>
      </c>
      <c r="AD61" s="9">
        <f>SUM('Amer Std Life Acc'!UNALLOC_REFUNDED)</f>
        <v>0</v>
      </c>
    </row>
    <row r="62" spans="2:30">
      <c r="B62" s="6" t="s">
        <v>386</v>
      </c>
      <c r="C62" s="1" t="s">
        <v>387</v>
      </c>
      <c r="D62" s="1" t="s">
        <v>388</v>
      </c>
      <c r="E62" s="1" t="s">
        <v>389</v>
      </c>
      <c r="F62" s="1" t="s">
        <v>390</v>
      </c>
      <c r="G62" s="1" t="s">
        <v>358</v>
      </c>
      <c r="H62" s="1" t="s">
        <v>391</v>
      </c>
      <c r="J62" s="1">
        <f>SUM(AmerWstrn!LIFE)</f>
        <v>-693.9963165864574</v>
      </c>
      <c r="K62" s="1">
        <f>SUM(AmerWstrn!ALLOCATED)</f>
        <v>0</v>
      </c>
      <c r="L62" s="1">
        <f>SUM(AmerWstrn!HEALTH)</f>
        <v>-135358.01368341275</v>
      </c>
      <c r="M62" s="1">
        <f>SUM(AmerWstrn!UNALLOCATED)</f>
        <v>0</v>
      </c>
      <c r="N62" s="1">
        <f>SUM(AmerWstrn!LTC)</f>
        <v>0</v>
      </c>
      <c r="O62" s="1">
        <f t="shared" si="4"/>
        <v>-136052.00999999919</v>
      </c>
      <c r="P62" s="6">
        <v>-136052.00999999919</v>
      </c>
      <c r="Q62" s="9">
        <f t="shared" si="5"/>
        <v>0</v>
      </c>
      <c r="T62" s="6">
        <f>SUM(AmerWstrn!LIFE_CALLED)</f>
        <v>0</v>
      </c>
      <c r="U62" s="1">
        <f>SUM(AmerWstrn!LIFE_REFUNDED)</f>
        <v>0</v>
      </c>
      <c r="W62" s="1">
        <f>SUM(AmerWstrn!ALLOC_CALLED)</f>
        <v>0</v>
      </c>
      <c r="X62" s="1">
        <f>SUM(AmerWstrn!ALLOC_REFUNDED)</f>
        <v>0</v>
      </c>
      <c r="Z62" s="1">
        <f>SUM(AmerWstrn!HEALTH_CALLED)</f>
        <v>1804218</v>
      </c>
      <c r="AA62" s="1">
        <f>SUM(AmerWstrn!HEALTH_REFUNDED)</f>
        <v>1145622</v>
      </c>
      <c r="AC62" s="1">
        <f>SUM(AmerWstrn!UNALLOC_CALLED)</f>
        <v>0</v>
      </c>
      <c r="AD62" s="9">
        <f>SUM(AmerWstrn!UNALLOC_REFUNDED)</f>
        <v>0</v>
      </c>
    </row>
    <row r="63" spans="2:30">
      <c r="B63" s="6" t="s">
        <v>392</v>
      </c>
      <c r="C63" s="1" t="s">
        <v>393</v>
      </c>
      <c r="D63" s="1" t="s">
        <v>257</v>
      </c>
      <c r="E63" s="1" t="s">
        <v>394</v>
      </c>
      <c r="F63" s="1" t="s">
        <v>395</v>
      </c>
      <c r="G63" s="1" t="s">
        <v>396</v>
      </c>
      <c r="H63" s="1" t="s">
        <v>397</v>
      </c>
      <c r="J63" s="1">
        <f>SUM('AMS Life'!LIFE)</f>
        <v>1793887.6697184704</v>
      </c>
      <c r="K63" s="1">
        <f>SUM('AMS Life'!ALLOCATED)</f>
        <v>31550504.988168035</v>
      </c>
      <c r="L63" s="1">
        <f>SUM('AMS Life'!HEALTH)</f>
        <v>-118324.99788650456</v>
      </c>
      <c r="M63" s="1">
        <f>SUM('AMS Life'!UNALLOCATED)</f>
        <v>0</v>
      </c>
      <c r="N63" s="1">
        <f>SUM('AMS Life'!LTC)</f>
        <v>0</v>
      </c>
      <c r="O63" s="1">
        <f t="shared" si="4"/>
        <v>33226067.66</v>
      </c>
      <c r="P63" s="6">
        <v>33226067.66</v>
      </c>
      <c r="Q63" s="9">
        <f t="shared" si="5"/>
        <v>0</v>
      </c>
      <c r="T63" s="6">
        <f>SUM('AMS Life'!LIFE_CALLED)</f>
        <v>4459142</v>
      </c>
      <c r="U63" s="1">
        <f>SUM('AMS Life'!LIFE_REFUNDED)</f>
        <v>3474861.5120000001</v>
      </c>
      <c r="W63" s="1">
        <f>SUM('AMS Life'!ALLOC_CALLED)</f>
        <v>65758257</v>
      </c>
      <c r="X63" s="1">
        <f>SUM('AMS Life'!ALLOC_REFUNDED)</f>
        <v>40390278.487999998</v>
      </c>
      <c r="Z63" s="1">
        <f>SUM('AMS Life'!HEALTH_CALLED)</f>
        <v>1310907</v>
      </c>
      <c r="AA63" s="1">
        <f>SUM('AMS Life'!HEALTH_REFUNDED)</f>
        <v>1500000</v>
      </c>
      <c r="AC63" s="1">
        <f>SUM('AMS Life'!UNALLOC_CALLED)</f>
        <v>8000000</v>
      </c>
      <c r="AD63" s="9">
        <f>SUM('AMS Life'!UNALLOC_REFUNDED)</f>
        <v>2700000</v>
      </c>
    </row>
    <row r="64" spans="2:30">
      <c r="B64" s="6" t="s">
        <v>398</v>
      </c>
      <c r="C64" s="1" t="s">
        <v>399</v>
      </c>
      <c r="D64" s="1" t="s">
        <v>287</v>
      </c>
      <c r="E64" s="1" t="s">
        <v>400</v>
      </c>
      <c r="F64" s="1" t="s">
        <v>401</v>
      </c>
      <c r="G64" s="1" t="s">
        <v>402</v>
      </c>
      <c r="H64" s="1" t="s">
        <v>403</v>
      </c>
      <c r="J64" s="1">
        <f>SUM('Andrew Jackson'!LIFE)</f>
        <v>19903797.133650288</v>
      </c>
      <c r="K64" s="1">
        <f>SUM('Andrew Jackson'!ALLOCATED)</f>
        <v>5168842.4671326708</v>
      </c>
      <c r="L64" s="1">
        <f>SUM('Andrew Jackson'!HEALTH)</f>
        <v>74149.660417533494</v>
      </c>
      <c r="M64" s="1">
        <f>SUM('Andrew Jackson'!UNALLOCATED)</f>
        <v>0</v>
      </c>
      <c r="N64" s="1">
        <f>SUM('Andrew Jackson'!LTC)</f>
        <v>0</v>
      </c>
      <c r="O64" s="1">
        <f t="shared" si="4"/>
        <v>25146789.261200495</v>
      </c>
      <c r="P64" s="6">
        <v>25146789.261200488</v>
      </c>
      <c r="Q64" s="9">
        <f t="shared" si="5"/>
        <v>0</v>
      </c>
      <c r="T64" s="6">
        <f>SUM('Andrew Jackson'!LIFE_CALLED)</f>
        <v>28735867</v>
      </c>
      <c r="U64" s="1">
        <f>SUM('Andrew Jackson'!LIFE_REFUNDED)</f>
        <v>280000</v>
      </c>
      <c r="W64" s="1">
        <f>SUM('Andrew Jackson'!ALLOC_CALLED)</f>
        <v>10977686</v>
      </c>
      <c r="X64" s="1">
        <f>SUM('Andrew Jackson'!ALLOC_REFUNDED)</f>
        <v>50403.45</v>
      </c>
      <c r="Z64" s="1">
        <f>SUM('Andrew Jackson'!HEALTH_CALLED)</f>
        <v>0</v>
      </c>
      <c r="AA64" s="1">
        <f>SUM('Andrew Jackson'!HEALTH_REFUNDED)</f>
        <v>0</v>
      </c>
      <c r="AC64" s="1">
        <f>SUM('Andrew Jackson'!UNALLOC_CALLED)</f>
        <v>3735647</v>
      </c>
      <c r="AD64" s="9">
        <f>SUM('Andrew Jackson'!UNALLOC_REFUNDED)</f>
        <v>0</v>
      </c>
    </row>
    <row r="65" spans="2:30">
      <c r="B65" s="6" t="s">
        <v>404</v>
      </c>
      <c r="C65" s="1" t="s">
        <v>405</v>
      </c>
      <c r="D65" s="1" t="s">
        <v>307</v>
      </c>
      <c r="E65" s="1" t="s">
        <v>406</v>
      </c>
      <c r="F65" s="1" t="s">
        <v>407</v>
      </c>
      <c r="G65" s="1" t="s">
        <v>408</v>
      </c>
      <c r="H65" s="1" t="s">
        <v>409</v>
      </c>
      <c r="J65" s="1">
        <f>SUM('Bankers Commercial'!LIFE)</f>
        <v>-1026.9908479711739</v>
      </c>
      <c r="K65" s="1">
        <f>SUM('Bankers Commercial'!ALLOCATED)</f>
        <v>0</v>
      </c>
      <c r="L65" s="1">
        <f>SUM('Bankers Commercial'!HEALTH)</f>
        <v>13837680.63084797</v>
      </c>
      <c r="M65" s="1">
        <f>SUM('Bankers Commercial'!UNALLOCATED)</f>
        <v>0</v>
      </c>
      <c r="N65" s="1">
        <f>SUM('Bankers Commercial'!LTC)</f>
        <v>0</v>
      </c>
      <c r="O65" s="1">
        <f t="shared" si="4"/>
        <v>13836653.639999999</v>
      </c>
      <c r="P65" s="6">
        <v>13836653.640000001</v>
      </c>
      <c r="Q65" s="9">
        <f t="shared" si="5"/>
        <v>0</v>
      </c>
      <c r="T65" s="6">
        <f>SUM('Bankers Commercial'!LIFE_CALLED)</f>
        <v>70714</v>
      </c>
      <c r="U65" s="1">
        <f>SUM('Bankers Commercial'!LIFE_REFUNDED)</f>
        <v>16487.105000000003</v>
      </c>
      <c r="W65" s="1">
        <f>SUM('Bankers Commercial'!ALLOC_CALLED)</f>
        <v>0</v>
      </c>
      <c r="X65" s="1">
        <f>SUM('Bankers Commercial'!ALLOC_REFUNDED)</f>
        <v>0</v>
      </c>
      <c r="Z65" s="1">
        <f>SUM('Bankers Commercial'!HEALTH_CALLED)</f>
        <v>17454254</v>
      </c>
      <c r="AA65" s="1">
        <f>SUM('Bankers Commercial'!HEALTH_REFUNDED)</f>
        <v>2830939.895</v>
      </c>
      <c r="AC65" s="1">
        <f>SUM('Bankers Commercial'!UNALLOC_CALLED)</f>
        <v>0</v>
      </c>
      <c r="AD65" s="9">
        <f>SUM('Bankers Commercial'!UNALLOC_REFUNDED)</f>
        <v>0</v>
      </c>
    </row>
    <row r="66" spans="2:30">
      <c r="B66" s="6" t="s">
        <v>410</v>
      </c>
      <c r="C66" s="1" t="s">
        <v>411</v>
      </c>
      <c r="D66" s="1" t="s">
        <v>332</v>
      </c>
      <c r="E66" s="1" t="s">
        <v>412</v>
      </c>
      <c r="F66" s="1" t="s">
        <v>413</v>
      </c>
      <c r="G66" s="1" t="s">
        <v>358</v>
      </c>
      <c r="H66" s="1" t="s">
        <v>414</v>
      </c>
      <c r="J66" s="1">
        <f>SUM(Benicorp!LIFE)</f>
        <v>12197.93518345054</v>
      </c>
      <c r="K66" s="1">
        <f>SUM(Benicorp!ALLOCATED)</f>
        <v>0</v>
      </c>
      <c r="L66" s="1">
        <f>SUM(Benicorp!HEALTH)</f>
        <v>26435130.35580549</v>
      </c>
      <c r="M66" s="1">
        <f>SUM(Benicorp!UNALLOCATED)</f>
        <v>0</v>
      </c>
      <c r="N66" s="1">
        <f>SUM(Benicorp!LTC)</f>
        <v>0</v>
      </c>
      <c r="O66" s="1">
        <f t="shared" si="4"/>
        <v>26447328.290988941</v>
      </c>
      <c r="P66" s="6">
        <v>26447328.290988941</v>
      </c>
      <c r="Q66" s="9">
        <f t="shared" si="5"/>
        <v>0</v>
      </c>
      <c r="T66" s="6">
        <f>SUM(Benicorp!LIFE_CALLED)</f>
        <v>0</v>
      </c>
      <c r="U66" s="1">
        <f>SUM(Benicorp!LIFE_REFUNDED)</f>
        <v>0</v>
      </c>
      <c r="W66" s="1">
        <f>SUM(Benicorp!ALLOC_CALLED)</f>
        <v>0</v>
      </c>
      <c r="X66" s="1">
        <f>SUM(Benicorp!ALLOC_REFUNDED)</f>
        <v>0</v>
      </c>
      <c r="Z66" s="1">
        <f>SUM(Benicorp!HEALTH_CALLED)</f>
        <v>38791852</v>
      </c>
      <c r="AA66" s="1">
        <f>SUM(Benicorp!HEALTH_REFUNDED)</f>
        <v>0</v>
      </c>
      <c r="AC66" s="1">
        <f>SUM(Benicorp!UNALLOC_CALLED)</f>
        <v>0</v>
      </c>
      <c r="AD66" s="9">
        <f>SUM(Benicorp!UNALLOC_REFUNDED)</f>
        <v>0</v>
      </c>
    </row>
    <row r="67" spans="2:30">
      <c r="B67" s="6" t="s">
        <v>415</v>
      </c>
      <c r="C67" s="1" t="s">
        <v>416</v>
      </c>
      <c r="D67" s="1" t="s">
        <v>417</v>
      </c>
      <c r="E67" s="1" t="s">
        <v>418</v>
      </c>
      <c r="F67" s="1" t="s">
        <v>419</v>
      </c>
      <c r="G67" s="1" t="s">
        <v>420</v>
      </c>
      <c r="H67" s="1" t="s">
        <v>421</v>
      </c>
      <c r="J67" s="1">
        <f>SUM(Centennial!LIFE)</f>
        <v>15763</v>
      </c>
      <c r="K67" s="1">
        <f>SUM(Centennial!ALLOCATED)</f>
        <v>0</v>
      </c>
      <c r="L67" s="1">
        <f>SUM(Centennial!HEALTH)</f>
        <v>-196404.04872965094</v>
      </c>
      <c r="M67" s="1">
        <f>SUM(Centennial!UNALLOCATED)</f>
        <v>0</v>
      </c>
      <c r="N67" s="1">
        <f>SUM(Centennial!LTC)</f>
        <v>0</v>
      </c>
      <c r="O67" s="1">
        <f t="shared" si="4"/>
        <v>-180641.04872965094</v>
      </c>
      <c r="P67" s="6">
        <v>-180641.048729651</v>
      </c>
      <c r="Q67" s="9">
        <f t="shared" si="5"/>
        <v>0</v>
      </c>
      <c r="T67" s="6">
        <f>SUM(Centennial!LIFE_CALLED)</f>
        <v>793564</v>
      </c>
      <c r="U67" s="1">
        <f>SUM(Centennial!LIFE_REFUNDED)</f>
        <v>687271</v>
      </c>
      <c r="W67" s="1">
        <f>SUM(Centennial!ALLOC_CALLED)</f>
        <v>100000</v>
      </c>
      <c r="X67" s="1">
        <f>SUM(Centennial!ALLOC_REFUNDED)</f>
        <v>50000</v>
      </c>
      <c r="Z67" s="1">
        <f>SUM(Centennial!HEALTH_CALLED)</f>
        <v>19664517</v>
      </c>
      <c r="AA67" s="1">
        <f>SUM(Centennial!HEALTH_REFUNDED)</f>
        <v>13362131</v>
      </c>
      <c r="AC67" s="1">
        <f>SUM(Centennial!UNALLOC_CALLED)</f>
        <v>0</v>
      </c>
      <c r="AD67" s="9">
        <f>SUM(Centennial!UNALLOC_REFUNDED)</f>
        <v>0</v>
      </c>
    </row>
    <row r="68" spans="2:30">
      <c r="B68" s="6" t="s">
        <v>422</v>
      </c>
      <c r="C68" s="1" t="s">
        <v>423</v>
      </c>
      <c r="D68" s="1" t="s">
        <v>424</v>
      </c>
      <c r="E68" s="1" t="s">
        <v>425</v>
      </c>
      <c r="F68" s="1" t="s">
        <v>426</v>
      </c>
      <c r="G68" s="1" t="s">
        <v>427</v>
      </c>
      <c r="H68" s="1" t="s">
        <v>428</v>
      </c>
      <c r="J68" s="1">
        <f>SUM('Coastal States'!LIFE)</f>
        <v>48630.912068676385</v>
      </c>
      <c r="K68" s="1">
        <f>SUM('Coastal States'!ALLOCATED)</f>
        <v>16276482.967931326</v>
      </c>
      <c r="L68" s="1">
        <f>SUM('Coastal States'!HEALTH)</f>
        <v>0</v>
      </c>
      <c r="M68" s="1">
        <f>SUM('Coastal States'!UNALLOCATED)</f>
        <v>0</v>
      </c>
      <c r="N68" s="1">
        <f>SUM('Coastal States'!LTC)</f>
        <v>0</v>
      </c>
      <c r="O68" s="1">
        <f t="shared" si="4"/>
        <v>16325113.880000003</v>
      </c>
      <c r="P68" s="6">
        <v>16325113.880000003</v>
      </c>
      <c r="Q68" s="9">
        <f t="shared" si="5"/>
        <v>0</v>
      </c>
      <c r="T68" s="6">
        <f>SUM('Coastal States'!LIFE_CALLED)</f>
        <v>340667</v>
      </c>
      <c r="U68" s="1">
        <f>SUM('Coastal States'!LIFE_REFUNDED)</f>
        <v>49490.362081562751</v>
      </c>
      <c r="W68" s="1">
        <f>SUM('Coastal States'!ALLOC_CALLED)</f>
        <v>17248265</v>
      </c>
      <c r="X68" s="1">
        <f>SUM('Coastal States'!ALLOC_REFUNDED)</f>
        <v>1038487.1079184372</v>
      </c>
      <c r="Z68" s="1">
        <f>SUM('Coastal States'!HEALTH_CALLED)</f>
        <v>0</v>
      </c>
      <c r="AA68" s="1">
        <f>SUM('Coastal States'!HEALTH_REFUNDED)</f>
        <v>0</v>
      </c>
      <c r="AC68" s="1">
        <f>SUM('Coastal States'!UNALLOC_CALLED)</f>
        <v>0</v>
      </c>
      <c r="AD68" s="9">
        <f>SUM('Coastal States'!UNALLOC_REFUNDED)</f>
        <v>0</v>
      </c>
    </row>
    <row r="69" spans="2:30">
      <c r="B69" s="6" t="s">
        <v>429</v>
      </c>
      <c r="C69" s="1" t="s">
        <v>430</v>
      </c>
      <c r="D69" s="1" t="s">
        <v>431</v>
      </c>
      <c r="E69" s="1" t="s">
        <v>432</v>
      </c>
      <c r="F69" s="1" t="s">
        <v>432</v>
      </c>
      <c r="G69" s="1" t="s">
        <v>433</v>
      </c>
      <c r="H69" s="1" t="s">
        <v>434</v>
      </c>
      <c r="J69" s="1">
        <f>SUM('Confed Life (CLIC)'!LIFE)</f>
        <v>-1213.1284319363447</v>
      </c>
      <c r="K69" s="1">
        <f>SUM('Confed Life (CLIC)'!ALLOCATED)</f>
        <v>-2954.8541946554742</v>
      </c>
      <c r="L69" s="1">
        <f>SUM('Confed Life (CLIC)'!HEALTH)</f>
        <v>-1.3039194318268192E-2</v>
      </c>
      <c r="M69" s="1">
        <f>SUM('Confed Life (CLIC)'!UNALLOCATED)</f>
        <v>-12459.080375238889</v>
      </c>
      <c r="N69" s="1">
        <f>SUM('Confed Life (CLIC)'!LTC)</f>
        <v>0</v>
      </c>
      <c r="O69" s="1">
        <f t="shared" si="4"/>
        <v>-16627.076041025026</v>
      </c>
      <c r="P69" s="6">
        <v>-16627.076041025026</v>
      </c>
      <c r="Q69" s="9">
        <f t="shared" si="5"/>
        <v>0</v>
      </c>
      <c r="T69" s="6">
        <f>SUM('Confed Life (CLIC)'!LIFE_CALLED)</f>
        <v>11306785</v>
      </c>
      <c r="U69" s="1">
        <f>SUM('Confed Life (CLIC)'!LIFE_REFUNDED)</f>
        <v>10875478</v>
      </c>
      <c r="W69" s="1">
        <f>SUM('Confed Life (CLIC)'!ALLOC_CALLED)</f>
        <v>44055596</v>
      </c>
      <c r="X69" s="1">
        <f>SUM('Confed Life (CLIC)'!ALLOC_REFUNDED)</f>
        <v>26201957.009999998</v>
      </c>
      <c r="Z69" s="1">
        <f>SUM('Confed Life (CLIC)'!HEALTH_CALLED)</f>
        <v>895082</v>
      </c>
      <c r="AA69" s="1">
        <f>SUM('Confed Life (CLIC)'!HEALTH_REFUNDED)</f>
        <v>960837</v>
      </c>
      <c r="AC69" s="1">
        <f>SUM('Confed Life (CLIC)'!UNALLOC_CALLED)</f>
        <v>108553958</v>
      </c>
      <c r="AD69" s="9">
        <f>SUM('Confed Life (CLIC)'!UNALLOC_REFUNDED)</f>
        <v>75903888.789999992</v>
      </c>
    </row>
    <row r="70" spans="2:30">
      <c r="B70" s="6" t="s">
        <v>435</v>
      </c>
      <c r="C70" s="1" t="s">
        <v>436</v>
      </c>
      <c r="D70" s="1" t="s">
        <v>332</v>
      </c>
      <c r="E70" s="1" t="s">
        <v>350</v>
      </c>
      <c r="F70" s="1" t="s">
        <v>437</v>
      </c>
      <c r="G70" s="1" t="s">
        <v>363</v>
      </c>
      <c r="H70" s="1" t="s">
        <v>438</v>
      </c>
      <c r="J70" s="1">
        <f>SUM('Consolidated National'!LIFE)</f>
        <v>8707270.0434274822</v>
      </c>
      <c r="K70" s="1">
        <f>SUM('Consolidated National'!ALLOCATED)</f>
        <v>151402.52384007059</v>
      </c>
      <c r="L70" s="1">
        <f>SUM('Consolidated National'!HEALTH)</f>
        <v>24545.817860651736</v>
      </c>
      <c r="M70" s="1">
        <f>SUM('Consolidated National'!UNALLOCATED)</f>
        <v>0</v>
      </c>
      <c r="N70" s="1">
        <f>SUM('Consolidated National'!LTC)</f>
        <v>0</v>
      </c>
      <c r="O70" s="1">
        <f t="shared" si="4"/>
        <v>8883218.3851282038</v>
      </c>
      <c r="P70" s="6">
        <v>8883218.3851282019</v>
      </c>
      <c r="Q70" s="9">
        <f t="shared" si="5"/>
        <v>0</v>
      </c>
      <c r="T70" s="6">
        <f>SUM('Consolidated National'!LIFE_CALLED)</f>
        <v>11271909</v>
      </c>
      <c r="U70" s="1">
        <f>SUM('Consolidated National'!LIFE_REFUNDED)</f>
        <v>1041272</v>
      </c>
      <c r="W70" s="1">
        <f>SUM('Consolidated National'!ALLOC_CALLED)</f>
        <v>1401485</v>
      </c>
      <c r="X70" s="1">
        <f>SUM('Consolidated National'!ALLOC_REFUNDED)</f>
        <v>0</v>
      </c>
      <c r="Z70" s="1">
        <f>SUM('Consolidated National'!HEALTH_CALLED)</f>
        <v>122000</v>
      </c>
      <c r="AA70" s="1">
        <f>SUM('Consolidated National'!HEALTH_REFUNDED)</f>
        <v>0</v>
      </c>
      <c r="AC70" s="1">
        <f>SUM('Consolidated National'!UNALLOC_CALLED)</f>
        <v>0</v>
      </c>
      <c r="AD70" s="9">
        <f>SUM('Consolidated National'!UNALLOC_REFUNDED)</f>
        <v>0</v>
      </c>
    </row>
    <row r="71" spans="2:30">
      <c r="B71" s="6" t="s">
        <v>106</v>
      </c>
      <c r="C71" s="1" t="s">
        <v>439</v>
      </c>
      <c r="D71" s="1" t="s">
        <v>431</v>
      </c>
      <c r="E71" s="1" t="s">
        <v>440</v>
      </c>
      <c r="F71" s="1" t="s">
        <v>441</v>
      </c>
      <c r="H71" s="1" t="s">
        <v>442</v>
      </c>
      <c r="J71" s="1">
        <f>SUM('Consumers Mutual'!LIFE)</f>
        <v>0</v>
      </c>
      <c r="K71" s="1">
        <f>SUM('Consumers Mutual'!ALLOCATED)</f>
        <v>0</v>
      </c>
      <c r="L71" s="1">
        <f>SUM('Consumers Mutual'!HEALTH)</f>
        <v>5569399</v>
      </c>
      <c r="M71" s="1">
        <f>SUM('Consumers Mutual'!UNALLOCATED)</f>
        <v>0</v>
      </c>
      <c r="N71" s="1">
        <f>SUM('Consumers Mutual'!LTC)</f>
        <v>0</v>
      </c>
      <c r="O71" s="1">
        <f t="shared" si="4"/>
        <v>5569399</v>
      </c>
      <c r="P71" s="6">
        <v>5569399</v>
      </c>
      <c r="Q71" s="9">
        <f t="shared" si="5"/>
        <v>0</v>
      </c>
      <c r="T71" s="6">
        <f>SUM('Consumers Mutual'!LIFE_CALLED)</f>
        <v>0</v>
      </c>
      <c r="U71" s="1">
        <f>SUM('Consumers Mutual'!LIFE_REFUNDED)</f>
        <v>0</v>
      </c>
      <c r="W71" s="1">
        <f>SUM('Consumers Mutual'!ALLOC_CALLED)</f>
        <v>0</v>
      </c>
      <c r="X71" s="1">
        <f>SUM('Consumers Mutual'!ALLOC_REFUNDED)</f>
        <v>0</v>
      </c>
      <c r="Z71" s="1">
        <f>SUM('Consumers Mutual'!HEALTH_CALLED)</f>
        <v>10800000</v>
      </c>
      <c r="AA71" s="1">
        <f>SUM('Consumers Mutual'!HEALTH_REFUNDED)</f>
        <v>4998893</v>
      </c>
      <c r="AC71" s="1">
        <f>SUM('Consumers Mutual'!UNALLOC_CALLED)</f>
        <v>0</v>
      </c>
      <c r="AD71" s="9">
        <f>SUM('Consumers Mutual'!UNALLOC_REFUNDED)</f>
        <v>0</v>
      </c>
    </row>
    <row r="72" spans="2:30">
      <c r="B72" s="6" t="s">
        <v>443</v>
      </c>
      <c r="C72" s="1" t="s">
        <v>444</v>
      </c>
      <c r="D72" s="1" t="s">
        <v>218</v>
      </c>
      <c r="E72" s="1" t="s">
        <v>445</v>
      </c>
      <c r="F72" s="1" t="s">
        <v>446</v>
      </c>
      <c r="G72" s="1" t="s">
        <v>447</v>
      </c>
      <c r="H72" s="1" t="s">
        <v>448</v>
      </c>
      <c r="J72" s="1">
        <f>SUM('Consumers United'!LIFE)</f>
        <v>1117757.2820758612</v>
      </c>
      <c r="K72" s="1">
        <f>SUM('Consumers United'!ALLOCATED)</f>
        <v>8414958.5289221276</v>
      </c>
      <c r="L72" s="1">
        <f>SUM('Consumers United'!HEALTH)</f>
        <v>5571815.9190020086</v>
      </c>
      <c r="M72" s="1">
        <f>SUM('Consumers United'!UNALLOCATED)</f>
        <v>0</v>
      </c>
      <c r="N72" s="1">
        <f>SUM('Consumers United'!LTC)</f>
        <v>0</v>
      </c>
      <c r="O72" s="1">
        <f t="shared" si="4"/>
        <v>15104531.729999997</v>
      </c>
      <c r="P72" s="6">
        <v>15104531.729999999</v>
      </c>
      <c r="Q72" s="9">
        <f t="shared" si="5"/>
        <v>0</v>
      </c>
      <c r="T72" s="6">
        <f>SUM('Consumers United'!LIFE_CALLED)</f>
        <v>868884</v>
      </c>
      <c r="U72" s="1">
        <f>SUM('Consumers United'!LIFE_REFUNDED)</f>
        <v>258055.07010800001</v>
      </c>
      <c r="W72" s="1">
        <f>SUM('Consumers United'!ALLOC_CALLED)</f>
        <v>5279053</v>
      </c>
      <c r="X72" s="1">
        <f>SUM('Consumers United'!ALLOC_REFUNDED)</f>
        <v>275536.95542000001</v>
      </c>
      <c r="Z72" s="1">
        <f>SUM('Consumers United'!HEALTH_CALLED)</f>
        <v>12212190</v>
      </c>
      <c r="AA72" s="1">
        <f>SUM('Consumers United'!HEALTH_REFUNDED)</f>
        <v>3611951.2544720001</v>
      </c>
      <c r="AC72" s="1">
        <f>SUM('Consumers United'!UNALLOC_CALLED)</f>
        <v>40</v>
      </c>
      <c r="AD72" s="9">
        <f>SUM('Consumers United'!UNALLOC_REFUNDED)</f>
        <v>4</v>
      </c>
    </row>
    <row r="73" spans="2:30">
      <c r="B73" s="6" t="s">
        <v>449</v>
      </c>
      <c r="C73" s="1" t="s">
        <v>450</v>
      </c>
      <c r="D73" s="1" t="s">
        <v>199</v>
      </c>
      <c r="E73" s="1" t="s">
        <v>451</v>
      </c>
      <c r="F73" s="1" t="s">
        <v>452</v>
      </c>
      <c r="G73" s="1" t="s">
        <v>453</v>
      </c>
      <c r="H73" s="1" t="s">
        <v>454</v>
      </c>
      <c r="J73" s="1">
        <f>SUM('Corporate Life'!LIFE)</f>
        <v>2485907.0505228303</v>
      </c>
      <c r="K73" s="1">
        <f>SUM('Corporate Life'!ALLOCATED)</f>
        <v>170712718.23676884</v>
      </c>
      <c r="L73" s="1">
        <f>SUM('Corporate Life'!HEALTH)</f>
        <v>389201.58535833366</v>
      </c>
      <c r="M73" s="1">
        <f>SUM('Corporate Life'!UNALLOCATED)</f>
        <v>0</v>
      </c>
      <c r="N73" s="1">
        <f>SUM('Corporate Life'!LTC)</f>
        <v>0</v>
      </c>
      <c r="O73" s="1">
        <f t="shared" si="4"/>
        <v>173587826.87265</v>
      </c>
      <c r="P73" s="6">
        <v>173587826.87265003</v>
      </c>
      <c r="Q73" s="9">
        <f t="shared" si="5"/>
        <v>0</v>
      </c>
      <c r="T73" s="6">
        <f>SUM('Corporate Life'!LIFE_CALLED)</f>
        <v>94012513</v>
      </c>
      <c r="U73" s="1">
        <f>SUM('Corporate Life'!LIFE_REFUNDED)</f>
        <v>0</v>
      </c>
      <c r="W73" s="1">
        <f>SUM('Corporate Life'!ALLOC_CALLED)</f>
        <v>76061564</v>
      </c>
      <c r="X73" s="1">
        <f>SUM('Corporate Life'!ALLOC_REFUNDED)</f>
        <v>0</v>
      </c>
      <c r="Z73" s="1">
        <f>SUM('Corporate Life'!HEALTH_CALLED)</f>
        <v>250000</v>
      </c>
      <c r="AA73" s="1">
        <f>SUM('Corporate Life'!HEALTH_REFUNDED)</f>
        <v>0</v>
      </c>
      <c r="AC73" s="1">
        <f>SUM('Corporate Life'!UNALLOC_CALLED)</f>
        <v>67153313</v>
      </c>
      <c r="AD73" s="9">
        <f>SUM('Corporate Life'!UNALLOC_REFUNDED)</f>
        <v>0</v>
      </c>
    </row>
    <row r="74" spans="2:30">
      <c r="B74" s="6" t="s">
        <v>455</v>
      </c>
      <c r="C74" s="1" t="s">
        <v>456</v>
      </c>
      <c r="D74" s="1" t="s">
        <v>257</v>
      </c>
      <c r="E74" s="1" t="s">
        <v>457</v>
      </c>
      <c r="F74" s="1" t="s">
        <v>458</v>
      </c>
      <c r="G74" s="1" t="s">
        <v>459</v>
      </c>
      <c r="H74" s="1" t="s">
        <v>460</v>
      </c>
      <c r="J74" s="1">
        <f>SUM('Diamond Benefits'!LIFE)</f>
        <v>0</v>
      </c>
      <c r="K74" s="1">
        <f>SUM('Diamond Benefits'!ALLOCATED)</f>
        <v>12093330.970000001</v>
      </c>
      <c r="L74" s="1">
        <f>SUM('Diamond Benefits'!HEALTH)</f>
        <v>0</v>
      </c>
      <c r="M74" s="1">
        <f>SUM('Diamond Benefits'!UNALLOCATED)</f>
        <v>0</v>
      </c>
      <c r="N74" s="1">
        <f>SUM('Diamond Benefits'!LTC)</f>
        <v>0</v>
      </c>
      <c r="O74" s="1">
        <f t="shared" si="4"/>
        <v>12093330.970000001</v>
      </c>
      <c r="P74" s="6">
        <v>12093330.970000001</v>
      </c>
      <c r="Q74" s="9">
        <f t="shared" si="5"/>
        <v>0</v>
      </c>
      <c r="T74" s="6">
        <f>SUM('Diamond Benefits'!LIFE_CALLED)</f>
        <v>176802</v>
      </c>
      <c r="U74" s="1">
        <f>SUM('Diamond Benefits'!LIFE_REFUNDED)</f>
        <v>237.5558</v>
      </c>
      <c r="W74" s="1">
        <f>SUM('Diamond Benefits'!ALLOC_CALLED)</f>
        <v>5957495</v>
      </c>
      <c r="X74" s="1">
        <f>SUM('Diamond Benefits'!ALLOC_REFUNDED)</f>
        <v>1545000</v>
      </c>
      <c r="Z74" s="1">
        <f>SUM('Diamond Benefits'!HEALTH_CALLED)</f>
        <v>12004070</v>
      </c>
      <c r="AA74" s="1">
        <f>SUM('Diamond Benefits'!HEALTH_REFUNDED)</f>
        <v>85843.444199999998</v>
      </c>
      <c r="AC74" s="1">
        <f>SUM('Diamond Benefits'!UNALLOC_CALLED)</f>
        <v>0</v>
      </c>
      <c r="AD74" s="9">
        <f>SUM('Diamond Benefits'!UNALLOC_REFUNDED)</f>
        <v>0</v>
      </c>
    </row>
    <row r="75" spans="2:30">
      <c r="B75" s="6" t="s">
        <v>461</v>
      </c>
      <c r="C75" s="1" t="s">
        <v>462</v>
      </c>
      <c r="D75" s="1" t="s">
        <v>199</v>
      </c>
      <c r="F75" s="1" t="s">
        <v>463</v>
      </c>
      <c r="G75" s="1" t="s">
        <v>464</v>
      </c>
      <c r="H75" s="1" t="s">
        <v>465</v>
      </c>
      <c r="J75" s="1">
        <f>SUM('EBL Life'!LIFE)</f>
        <v>11141434.614007073</v>
      </c>
      <c r="K75" s="1">
        <f>SUM('EBL Life'!ALLOCATED)</f>
        <v>3113637.2159929276</v>
      </c>
      <c r="L75" s="1">
        <f>SUM('EBL Life'!HEALTH)</f>
        <v>0</v>
      </c>
      <c r="M75" s="1">
        <f>SUM('EBL Life'!UNALLOCATED)</f>
        <v>0</v>
      </c>
      <c r="N75" s="1">
        <f>SUM('EBL Life'!LTC)</f>
        <v>0</v>
      </c>
      <c r="O75" s="1">
        <f t="shared" si="4"/>
        <v>14255071.83</v>
      </c>
      <c r="P75" s="6">
        <v>14255071.83</v>
      </c>
      <c r="Q75" s="9">
        <f t="shared" si="5"/>
        <v>0</v>
      </c>
      <c r="T75" s="6">
        <f>SUM('EBL Life'!LIFE_CALLED)</f>
        <v>32000000</v>
      </c>
      <c r="U75" s="1">
        <f>SUM('EBL Life'!LIFE_REFUNDED)</f>
        <v>0</v>
      </c>
      <c r="W75" s="1">
        <f>SUM('EBL Life'!ALLOC_CALLED)</f>
        <v>0</v>
      </c>
      <c r="X75" s="1">
        <f>SUM('EBL Life'!ALLOC_REFUNDED)</f>
        <v>0</v>
      </c>
      <c r="Z75" s="1">
        <f>SUM('EBL Life'!HEALTH_CALLED)</f>
        <v>0</v>
      </c>
      <c r="AA75" s="1">
        <f>SUM('EBL Life'!HEALTH_REFUNDED)</f>
        <v>0</v>
      </c>
      <c r="AC75" s="1">
        <f>SUM('EBL Life'!UNALLOC_CALLED)</f>
        <v>0</v>
      </c>
      <c r="AD75" s="9">
        <f>SUM('EBL Life'!UNALLOC_REFUNDED)</f>
        <v>0</v>
      </c>
    </row>
    <row r="76" spans="2:30">
      <c r="B76" s="6" t="s">
        <v>466</v>
      </c>
      <c r="C76" s="1" t="s">
        <v>467</v>
      </c>
      <c r="D76" s="1" t="s">
        <v>287</v>
      </c>
      <c r="E76" s="1" t="s">
        <v>288</v>
      </c>
      <c r="F76" s="1" t="s">
        <v>289</v>
      </c>
      <c r="G76" s="1" t="s">
        <v>290</v>
      </c>
      <c r="H76" s="1" t="s">
        <v>468</v>
      </c>
      <c r="J76" s="1">
        <f>SUM('Family Guaranty'!LIFE)</f>
        <v>19770463.759021532</v>
      </c>
      <c r="K76" s="1">
        <f>SUM('Family Guaranty'!ALLOCATED)</f>
        <v>0</v>
      </c>
      <c r="L76" s="1">
        <f>SUM('Family Guaranty'!HEALTH)</f>
        <v>0</v>
      </c>
      <c r="M76" s="1">
        <f>SUM('Family Guaranty'!UNALLOCATED)</f>
        <v>0</v>
      </c>
      <c r="N76" s="1">
        <f>SUM('Family Guaranty'!LTC)</f>
        <v>0</v>
      </c>
      <c r="O76" s="1">
        <f t="shared" si="4"/>
        <v>19770463.759021532</v>
      </c>
      <c r="P76" s="6">
        <v>19770463.759021532</v>
      </c>
      <c r="Q76" s="9">
        <f t="shared" si="5"/>
        <v>0</v>
      </c>
      <c r="T76" s="6">
        <f>SUM('Family Guaranty'!LIFE_CALLED)</f>
        <v>13800320</v>
      </c>
      <c r="U76" s="1">
        <f>SUM('Family Guaranty'!LIFE_REFUNDED)</f>
        <v>0</v>
      </c>
      <c r="W76" s="1">
        <f>SUM('Family Guaranty'!ALLOC_CALLED)</f>
        <v>4950590</v>
      </c>
      <c r="X76" s="1">
        <f>SUM('Family Guaranty'!ALLOC_REFUNDED)</f>
        <v>0</v>
      </c>
      <c r="Z76" s="1">
        <f>SUM('Family Guaranty'!HEALTH_CALLED)</f>
        <v>0</v>
      </c>
      <c r="AA76" s="1">
        <f>SUM('Family Guaranty'!HEALTH_REFUNDED)</f>
        <v>0</v>
      </c>
      <c r="AC76" s="1">
        <f>SUM('Family Guaranty'!UNALLOC_CALLED)</f>
        <v>1518800</v>
      </c>
      <c r="AD76" s="9">
        <f>SUM('Family Guaranty'!UNALLOC_REFUNDED)</f>
        <v>0</v>
      </c>
    </row>
    <row r="77" spans="2:30">
      <c r="B77" s="6" t="s">
        <v>469</v>
      </c>
      <c r="C77" s="1" t="s">
        <v>470</v>
      </c>
      <c r="D77" s="1" t="s">
        <v>471</v>
      </c>
      <c r="E77" s="1" t="s">
        <v>472</v>
      </c>
      <c r="F77" s="1" t="s">
        <v>473</v>
      </c>
      <c r="G77" s="1" t="s">
        <v>474</v>
      </c>
      <c r="H77" s="1" t="s">
        <v>475</v>
      </c>
      <c r="J77" s="1">
        <f>SUM('Fidelity Bankers'!LIFE)</f>
        <v>275941.47297185229</v>
      </c>
      <c r="K77" s="1">
        <f>SUM('Fidelity Bankers'!ALLOCATED)</f>
        <v>14164519.977028148</v>
      </c>
      <c r="L77" s="1">
        <f>SUM('Fidelity Bankers'!HEALTH)</f>
        <v>0</v>
      </c>
      <c r="M77" s="1">
        <f>SUM('Fidelity Bankers'!UNALLOCATED)</f>
        <v>0</v>
      </c>
      <c r="N77" s="1">
        <f>SUM('Fidelity Bankers'!LTC)</f>
        <v>0</v>
      </c>
      <c r="O77" s="1">
        <f t="shared" si="4"/>
        <v>14440461.450000001</v>
      </c>
      <c r="P77" s="6">
        <v>14440461.449999999</v>
      </c>
      <c r="Q77" s="9">
        <f t="shared" si="5"/>
        <v>0</v>
      </c>
      <c r="T77" s="6">
        <f>SUM('Fidelity Bankers'!LIFE_CALLED)</f>
        <v>889508</v>
      </c>
      <c r="U77" s="1">
        <f>SUM('Fidelity Bankers'!LIFE_REFUNDED)</f>
        <v>30</v>
      </c>
      <c r="W77" s="1">
        <f>SUM('Fidelity Bankers'!ALLOC_CALLED)</f>
        <v>2648350</v>
      </c>
      <c r="X77" s="1">
        <f>SUM('Fidelity Bankers'!ALLOC_REFUNDED)</f>
        <v>20</v>
      </c>
      <c r="Z77" s="1">
        <f>SUM('Fidelity Bankers'!HEALTH_CALLED)</f>
        <v>330078</v>
      </c>
      <c r="AA77" s="1">
        <f>SUM('Fidelity Bankers'!HEALTH_REFUNDED)</f>
        <v>0</v>
      </c>
      <c r="AC77" s="1">
        <f>SUM('Fidelity Bankers'!UNALLOC_CALLED)</f>
        <v>35000</v>
      </c>
      <c r="AD77" s="9">
        <f>SUM('Fidelity Bankers'!UNALLOC_REFUNDED)</f>
        <v>0</v>
      </c>
    </row>
    <row r="78" spans="2:30">
      <c r="B78" s="6" t="s">
        <v>476</v>
      </c>
      <c r="C78" s="1" t="s">
        <v>477</v>
      </c>
      <c r="D78" s="1" t="s">
        <v>210</v>
      </c>
      <c r="E78" s="1" t="s">
        <v>478</v>
      </c>
      <c r="F78" s="1" t="s">
        <v>479</v>
      </c>
      <c r="G78" s="1" t="s">
        <v>358</v>
      </c>
      <c r="H78" s="1" t="s">
        <v>480</v>
      </c>
      <c r="J78" s="1">
        <f>SUM('First Natl'!LIFE)</f>
        <v>0</v>
      </c>
      <c r="K78" s="1">
        <f>SUM('First Natl'!ALLOCATED)</f>
        <v>0</v>
      </c>
      <c r="L78" s="1">
        <f>SUM('First Natl'!HEALTH)</f>
        <v>226006.55000000005</v>
      </c>
      <c r="M78" s="1">
        <f>SUM('First Natl'!UNALLOCATED)</f>
        <v>0</v>
      </c>
      <c r="N78" s="1">
        <f>SUM('First Natl'!LTC)</f>
        <v>0</v>
      </c>
      <c r="O78" s="1">
        <f t="shared" si="4"/>
        <v>226006.55000000005</v>
      </c>
      <c r="P78" s="6">
        <v>226006.55000000005</v>
      </c>
      <c r="Q78" s="9">
        <f t="shared" si="5"/>
        <v>0</v>
      </c>
      <c r="T78" s="6">
        <f>SUM('First Natl'!LIFE_CALLED)</f>
        <v>8231</v>
      </c>
      <c r="U78" s="1">
        <f>SUM('First Natl'!LIFE_REFUNDED)</f>
        <v>500000</v>
      </c>
      <c r="W78" s="1">
        <f>SUM('First Natl'!ALLOC_CALLED)</f>
        <v>0</v>
      </c>
      <c r="X78" s="1">
        <f>SUM('First Natl'!ALLOC_REFUNDED)</f>
        <v>1700000</v>
      </c>
      <c r="Z78" s="1">
        <f>SUM('First Natl'!HEALTH_CALLED)</f>
        <v>192196</v>
      </c>
      <c r="AA78" s="1">
        <f>SUM('First Natl'!HEALTH_REFUNDED)</f>
        <v>116294</v>
      </c>
      <c r="AC78" s="1">
        <f>SUM('First Natl'!UNALLOC_CALLED)</f>
        <v>0</v>
      </c>
      <c r="AD78" s="9">
        <f>SUM('First Natl'!UNALLOC_REFUNDED)</f>
        <v>0</v>
      </c>
    </row>
    <row r="79" spans="2:30">
      <c r="B79" s="6" t="s">
        <v>481</v>
      </c>
      <c r="C79" s="1" t="s">
        <v>482</v>
      </c>
      <c r="D79" s="1" t="s">
        <v>483</v>
      </c>
      <c r="E79" s="1" t="s">
        <v>484</v>
      </c>
      <c r="F79" s="1" t="s">
        <v>485</v>
      </c>
      <c r="G79" s="1" t="s">
        <v>486</v>
      </c>
      <c r="H79" s="1" t="s">
        <v>487</v>
      </c>
      <c r="J79" s="1">
        <f>SUM('Franklin American'!LIFE)</f>
        <v>382375.32680352038</v>
      </c>
      <c r="K79" s="1">
        <f>SUM('Franklin American'!ALLOCATED)</f>
        <v>91252.470563604744</v>
      </c>
      <c r="L79" s="1">
        <f>SUM('Franklin American'!HEALTH)</f>
        <v>0</v>
      </c>
      <c r="M79" s="1">
        <f>SUM('Franklin American'!UNALLOCATED)</f>
        <v>0</v>
      </c>
      <c r="N79" s="1">
        <f>SUM('Franklin American'!LTC)</f>
        <v>0</v>
      </c>
      <c r="O79" s="1">
        <f t="shared" si="4"/>
        <v>473627.79736712511</v>
      </c>
      <c r="P79" s="6">
        <v>473627.79736712517</v>
      </c>
      <c r="Q79" s="9">
        <f t="shared" si="5"/>
        <v>0</v>
      </c>
      <c r="T79" s="6">
        <f>SUM('Franklin American'!LIFE_CALLED)</f>
        <v>1242916</v>
      </c>
      <c r="U79" s="1">
        <f>SUM('Franklin American'!LIFE_REFUNDED)</f>
        <v>770166</v>
      </c>
      <c r="W79" s="1">
        <f>SUM('Franklin American'!ALLOC_CALLED)</f>
        <v>89000</v>
      </c>
      <c r="X79" s="1">
        <f>SUM('Franklin American'!ALLOC_REFUNDED)</f>
        <v>131036</v>
      </c>
      <c r="Z79" s="1">
        <f>SUM('Franklin American'!HEALTH_CALLED)</f>
        <v>0</v>
      </c>
      <c r="AA79" s="1">
        <f>SUM('Franklin American'!HEALTH_REFUNDED)</f>
        <v>0</v>
      </c>
      <c r="AC79" s="1">
        <f>SUM('Franklin American'!UNALLOC_CALLED)</f>
        <v>0</v>
      </c>
      <c r="AD79" s="9">
        <f>SUM('Franklin American'!UNALLOC_REFUNDED)</f>
        <v>0</v>
      </c>
    </row>
    <row r="80" spans="2:30">
      <c r="B80" s="6" t="s">
        <v>488</v>
      </c>
      <c r="C80" s="1" t="s">
        <v>489</v>
      </c>
      <c r="D80" s="1" t="s">
        <v>287</v>
      </c>
      <c r="E80" s="1" t="s">
        <v>288</v>
      </c>
      <c r="F80" s="1" t="s">
        <v>289</v>
      </c>
      <c r="G80" s="1" t="s">
        <v>290</v>
      </c>
      <c r="H80" s="1" t="s">
        <v>490</v>
      </c>
      <c r="J80" s="1">
        <f>SUM('Franklin Protective'!LIFE)</f>
        <v>9546426.6887206286</v>
      </c>
      <c r="K80" s="1">
        <f>SUM('Franklin Protective'!ALLOCATED)</f>
        <v>3036995.4983911808</v>
      </c>
      <c r="L80" s="1">
        <f>SUM('Franklin Protective'!HEALTH)</f>
        <v>0</v>
      </c>
      <c r="M80" s="1">
        <f>SUM('Franklin Protective'!UNALLOCATED)</f>
        <v>0</v>
      </c>
      <c r="N80" s="1">
        <f>SUM('Franklin Protective'!LTC)</f>
        <v>0</v>
      </c>
      <c r="O80" s="1">
        <f t="shared" si="4"/>
        <v>12583422.18711181</v>
      </c>
      <c r="P80" s="6">
        <v>12583422.18711181</v>
      </c>
      <c r="Q80" s="9">
        <f t="shared" si="5"/>
        <v>0</v>
      </c>
      <c r="T80" s="6">
        <f>SUM('Franklin Protective'!LIFE_CALLED)</f>
        <v>5884152</v>
      </c>
      <c r="U80" s="1">
        <f>SUM('Franklin Protective'!LIFE_REFUNDED)</f>
        <v>0</v>
      </c>
      <c r="W80" s="1">
        <f>SUM('Franklin Protective'!ALLOC_CALLED)</f>
        <v>2082992</v>
      </c>
      <c r="X80" s="1">
        <f>SUM('Franklin Protective'!ALLOC_REFUNDED)</f>
        <v>0</v>
      </c>
      <c r="Z80" s="1">
        <f>SUM('Franklin Protective'!HEALTH_CALLED)</f>
        <v>52921</v>
      </c>
      <c r="AA80" s="1">
        <f>SUM('Franklin Protective'!HEALTH_REFUNDED)</f>
        <v>0</v>
      </c>
      <c r="AC80" s="1">
        <f>SUM('Franklin Protective'!UNALLOC_CALLED)</f>
        <v>0</v>
      </c>
      <c r="AD80" s="9">
        <f>SUM('Franklin Protective'!UNALLOC_REFUNDED)</f>
        <v>0</v>
      </c>
    </row>
    <row r="81" spans="2:30">
      <c r="B81" s="6" t="s">
        <v>216</v>
      </c>
      <c r="C81" s="1" t="s">
        <v>217</v>
      </c>
      <c r="D81" s="1" t="s">
        <v>218</v>
      </c>
      <c r="E81" s="1" t="s">
        <v>219</v>
      </c>
      <c r="F81" s="1" t="s">
        <v>220</v>
      </c>
      <c r="J81" s="1">
        <f>SUM(Freestone!LIFE)</f>
        <v>0</v>
      </c>
      <c r="K81" s="1">
        <f>SUM(Freestone!ALLOCATED)</f>
        <v>0</v>
      </c>
      <c r="L81" s="1">
        <f>SUM(Freestone!HEALTH)</f>
        <v>192080.37999999998</v>
      </c>
      <c r="M81" s="1">
        <f>SUM(Freestone!UNALLOCATED)</f>
        <v>0</v>
      </c>
      <c r="N81" s="1">
        <f>SUM(Freestone!LTC)</f>
        <v>0</v>
      </c>
      <c r="O81" s="1">
        <f t="shared" si="4"/>
        <v>192080.37999999998</v>
      </c>
      <c r="P81" s="6">
        <v>192080.37999999998</v>
      </c>
      <c r="Q81" s="9">
        <f t="shared" si="5"/>
        <v>0</v>
      </c>
      <c r="T81" s="6">
        <f>SUM(Freestone!LIFE_CALLED)</f>
        <v>0</v>
      </c>
      <c r="U81" s="1">
        <f>SUM(Freestone!LIFE_REFUNDED)</f>
        <v>0</v>
      </c>
      <c r="W81" s="1">
        <f>SUM(Freestone!ALLOC_CALLED)</f>
        <v>0</v>
      </c>
      <c r="X81" s="1">
        <f>SUM(Freestone!ALLOC_REFUNDED)</f>
        <v>0</v>
      </c>
      <c r="Z81" s="1">
        <f>SUM(Freestone!HEALTH_CALLED)</f>
        <v>0</v>
      </c>
      <c r="AA81" s="1">
        <f>SUM(Freestone!HEALTH_REFUNDED)</f>
        <v>0</v>
      </c>
      <c r="AC81" s="1">
        <f>SUM(Freestone!UNALLOC_CALLED)</f>
        <v>0</v>
      </c>
      <c r="AD81" s="9">
        <f>SUM(Freestone!UNALLOC_REFUNDED)</f>
        <v>0</v>
      </c>
    </row>
    <row r="82" spans="2:30">
      <c r="B82" s="6" t="s">
        <v>491</v>
      </c>
      <c r="C82" s="1" t="s">
        <v>492</v>
      </c>
      <c r="D82" s="1" t="s">
        <v>493</v>
      </c>
      <c r="E82" s="1" t="s">
        <v>494</v>
      </c>
      <c r="F82" s="1" t="s">
        <v>495</v>
      </c>
      <c r="G82" s="1" t="s">
        <v>433</v>
      </c>
      <c r="H82" s="1" t="s">
        <v>496</v>
      </c>
      <c r="J82" s="1">
        <f>SUM('George Washington'!LIFE)</f>
        <v>1337189.0755588906</v>
      </c>
      <c r="K82" s="1">
        <f>SUM('George Washington'!ALLOCATED)</f>
        <v>77279.28077589313</v>
      </c>
      <c r="L82" s="1">
        <f>SUM('George Washington'!HEALTH)</f>
        <v>390514.74366521533</v>
      </c>
      <c r="M82" s="1">
        <f>SUM('George Washington'!UNALLOCATED)</f>
        <v>0</v>
      </c>
      <c r="N82" s="1">
        <f>SUM('George Washington'!LTC)</f>
        <v>0</v>
      </c>
      <c r="O82" s="1">
        <f t="shared" si="4"/>
        <v>1804983.0999999989</v>
      </c>
      <c r="P82" s="6">
        <v>1804983.0999999992</v>
      </c>
      <c r="Q82" s="9">
        <f t="shared" si="5"/>
        <v>0</v>
      </c>
      <c r="T82" s="6">
        <f>SUM('George Washington'!LIFE_CALLED)</f>
        <v>5231876</v>
      </c>
      <c r="U82" s="1">
        <f>SUM('George Washington'!LIFE_REFUNDED)</f>
        <v>2288000.2824999997</v>
      </c>
      <c r="W82" s="1">
        <f>SUM('George Washington'!ALLOC_CALLED)</f>
        <v>214664</v>
      </c>
      <c r="X82" s="1">
        <f>SUM('George Washington'!ALLOC_REFUNDED)</f>
        <v>154649.16</v>
      </c>
      <c r="Z82" s="1">
        <f>SUM('George Washington'!HEALTH_CALLED)</f>
        <v>13338293</v>
      </c>
      <c r="AA82" s="1">
        <f>SUM('George Washington'!HEALTH_REFUNDED)</f>
        <v>5683448.6675000004</v>
      </c>
      <c r="AC82" s="1">
        <f>SUM('George Washington'!UNALLOC_CALLED)</f>
        <v>0</v>
      </c>
      <c r="AD82" s="9">
        <f>SUM('George Washington'!UNALLOC_REFUNDED)</f>
        <v>0</v>
      </c>
    </row>
    <row r="83" spans="2:30">
      <c r="B83" s="6" t="s">
        <v>497</v>
      </c>
      <c r="C83" s="1" t="s">
        <v>498</v>
      </c>
      <c r="D83" s="1" t="s">
        <v>275</v>
      </c>
      <c r="E83" s="1" t="s">
        <v>499</v>
      </c>
      <c r="F83" s="1" t="s">
        <v>500</v>
      </c>
      <c r="H83" s="1" t="s">
        <v>501</v>
      </c>
      <c r="J83" s="1">
        <f>SUM('Golden State'!LIFE)</f>
        <v>1528853.5739999998</v>
      </c>
      <c r="K83" s="1">
        <f>SUM('Golden State'!ALLOCATED)</f>
        <v>12328.5</v>
      </c>
      <c r="L83" s="1">
        <f>SUM('Golden State'!HEALTH)</f>
        <v>59498.78</v>
      </c>
      <c r="M83" s="1">
        <f>SUM('Golden State'!UNALLOCATED)</f>
        <v>0</v>
      </c>
      <c r="N83" s="1">
        <f>SUM('Golden State'!LTC)</f>
        <v>0</v>
      </c>
      <c r="O83" s="1">
        <f t="shared" si="4"/>
        <v>1600680.8539999998</v>
      </c>
      <c r="P83" s="6">
        <v>1600680.8539999998</v>
      </c>
      <c r="Q83" s="9">
        <f t="shared" si="5"/>
        <v>0</v>
      </c>
      <c r="T83" s="6">
        <f>SUM('Golden State'!LIFE_CALLED)</f>
        <v>500000</v>
      </c>
      <c r="U83" s="1">
        <f>SUM('Golden State'!LIFE_REFUNDED)</f>
        <v>0</v>
      </c>
      <c r="W83" s="1">
        <f>SUM('Golden State'!ALLOC_CALLED)</f>
        <v>100000</v>
      </c>
      <c r="X83" s="1">
        <f>SUM('Golden State'!ALLOC_REFUNDED)</f>
        <v>0</v>
      </c>
      <c r="Z83" s="1">
        <f>SUM('Golden State'!HEALTH_CALLED)</f>
        <v>224926</v>
      </c>
      <c r="AA83" s="1">
        <f>SUM('Golden State'!HEALTH_REFUNDED)</f>
        <v>0</v>
      </c>
      <c r="AC83" s="1">
        <f>SUM('Golden State'!UNALLOC_CALLED)</f>
        <v>0</v>
      </c>
      <c r="AD83" s="9">
        <f>SUM('Golden State'!UNALLOC_REFUNDED)</f>
        <v>0</v>
      </c>
    </row>
    <row r="84" spans="2:30">
      <c r="B84" s="6" t="s">
        <v>502</v>
      </c>
      <c r="C84" s="1" t="s">
        <v>503</v>
      </c>
      <c r="D84" s="1" t="s">
        <v>343</v>
      </c>
      <c r="E84" s="1" t="s">
        <v>504</v>
      </c>
      <c r="F84" s="1" t="s">
        <v>505</v>
      </c>
      <c r="G84" s="1" t="s">
        <v>506</v>
      </c>
      <c r="H84" s="1" t="s">
        <v>507</v>
      </c>
      <c r="J84" s="1">
        <f>SUM('Guarantee Security'!LIFE)</f>
        <v>22786368.360161234</v>
      </c>
      <c r="K84" s="1">
        <f>SUM('Guarantee Security'!ALLOCATED)</f>
        <v>84132130.183011338</v>
      </c>
      <c r="L84" s="1">
        <f>SUM('Guarantee Security'!HEALTH)</f>
        <v>0</v>
      </c>
      <c r="M84" s="1">
        <f>SUM('Guarantee Security'!UNALLOCATED)</f>
        <v>0</v>
      </c>
      <c r="N84" s="1">
        <f>SUM('Guarantee Security'!LTC)</f>
        <v>0</v>
      </c>
      <c r="O84" s="1">
        <f t="shared" si="4"/>
        <v>106918498.54317257</v>
      </c>
      <c r="P84" s="6">
        <v>106918498.54317255</v>
      </c>
      <c r="Q84" s="9">
        <f t="shared" si="5"/>
        <v>0</v>
      </c>
      <c r="T84" s="6">
        <f>SUM('Guarantee Security'!LIFE_CALLED)</f>
        <v>60125731</v>
      </c>
      <c r="U84" s="1">
        <f>SUM('Guarantee Security'!LIFE_REFUNDED)</f>
        <v>10014471.07</v>
      </c>
      <c r="W84" s="1">
        <f>SUM('Guarantee Security'!ALLOC_CALLED)</f>
        <v>175491859</v>
      </c>
      <c r="X84" s="1">
        <f>SUM('Guarantee Security'!ALLOC_REFUNDED)</f>
        <v>19412205.129999999</v>
      </c>
      <c r="Z84" s="1">
        <f>SUM('Guarantee Security'!HEALTH_CALLED)</f>
        <v>0</v>
      </c>
      <c r="AA84" s="1">
        <f>SUM('Guarantee Security'!HEALTH_REFUNDED)</f>
        <v>0</v>
      </c>
      <c r="AC84" s="1">
        <f>SUM('Guarantee Security'!UNALLOC_CALLED)</f>
        <v>2000</v>
      </c>
      <c r="AD84" s="9">
        <f>SUM('Guarantee Security'!UNALLOC_REFUNDED)</f>
        <v>0</v>
      </c>
    </row>
    <row r="85" spans="2:30">
      <c r="B85" s="6" t="s">
        <v>508</v>
      </c>
      <c r="C85" s="1" t="s">
        <v>509</v>
      </c>
      <c r="D85" s="1" t="s">
        <v>510</v>
      </c>
      <c r="E85" s="1" t="s">
        <v>511</v>
      </c>
      <c r="F85" s="1" t="s">
        <v>512</v>
      </c>
      <c r="H85" s="1" t="s">
        <v>513</v>
      </c>
      <c r="J85" s="1">
        <f>SUM(Imerica!LIFE)</f>
        <v>0</v>
      </c>
      <c r="K85" s="1">
        <f>SUM(Imerica!ALLOCATED)</f>
        <v>0</v>
      </c>
      <c r="L85" s="1">
        <f>SUM(Imerica!HEALTH)</f>
        <v>11497817.278988643</v>
      </c>
      <c r="M85" s="1">
        <f>SUM(Imerica!UNALLOCATED)</f>
        <v>0</v>
      </c>
      <c r="N85" s="1">
        <f>SUM(Imerica!LTC)</f>
        <v>0</v>
      </c>
      <c r="O85" s="1">
        <f t="shared" si="4"/>
        <v>11497817.278988643</v>
      </c>
      <c r="P85" s="6">
        <v>11497817.278988643</v>
      </c>
      <c r="Q85" s="9">
        <f t="shared" si="5"/>
        <v>0</v>
      </c>
      <c r="T85" s="6">
        <f>SUM(Imerica!LIFE_CALLED)</f>
        <v>0</v>
      </c>
      <c r="U85" s="1">
        <f>SUM(Imerica!LIFE_REFUNDED)</f>
        <v>0</v>
      </c>
      <c r="W85" s="1">
        <f>SUM(Imerica!ALLOC_CALLED)</f>
        <v>0</v>
      </c>
      <c r="X85" s="1">
        <f>SUM(Imerica!ALLOC_REFUNDED)</f>
        <v>0</v>
      </c>
      <c r="Z85" s="1">
        <f>SUM(Imerica!HEALTH_CALLED)</f>
        <v>15692741</v>
      </c>
      <c r="AA85" s="1">
        <f>SUM(Imerica!HEALTH_REFUNDED)</f>
        <v>1450000</v>
      </c>
      <c r="AC85" s="1">
        <f>SUM(Imerica!UNALLOC_CALLED)</f>
        <v>0</v>
      </c>
      <c r="AD85" s="9">
        <f>SUM(Imerica!UNALLOC_REFUNDED)</f>
        <v>0</v>
      </c>
    </row>
    <row r="86" spans="2:30">
      <c r="B86" s="6" t="s">
        <v>514</v>
      </c>
      <c r="C86" s="1" t="s">
        <v>515</v>
      </c>
      <c r="D86" s="1" t="s">
        <v>302</v>
      </c>
      <c r="E86" s="1" t="s">
        <v>516</v>
      </c>
      <c r="F86" s="1" t="s">
        <v>517</v>
      </c>
      <c r="G86" s="1" t="s">
        <v>506</v>
      </c>
      <c r="H86" s="1" t="s">
        <v>518</v>
      </c>
      <c r="J86" s="1">
        <f>SUM('Inter-American'!LIFE)</f>
        <v>71930182.822873682</v>
      </c>
      <c r="K86" s="1">
        <f>SUM('Inter-American'!ALLOCATED)</f>
        <v>17952481.911415406</v>
      </c>
      <c r="L86" s="1">
        <f>SUM('Inter-American'!HEALTH)</f>
        <v>0</v>
      </c>
      <c r="M86" s="1">
        <f>SUM('Inter-American'!UNALLOCATED)</f>
        <v>17889139.495081443</v>
      </c>
      <c r="N86" s="1">
        <f>SUM('Inter-American'!LTC)</f>
        <v>0</v>
      </c>
      <c r="O86" s="1">
        <f t="shared" si="4"/>
        <v>107771804.22937052</v>
      </c>
      <c r="P86" s="6">
        <v>107771804.22937052</v>
      </c>
      <c r="Q86" s="9">
        <f t="shared" si="5"/>
        <v>0</v>
      </c>
      <c r="T86" s="6">
        <f>SUM('Inter-American'!LIFE_CALLED)</f>
        <v>90759188</v>
      </c>
      <c r="U86" s="1">
        <f>SUM('Inter-American'!LIFE_REFUNDED)</f>
        <v>25834985.63335</v>
      </c>
      <c r="W86" s="1">
        <f>SUM('Inter-American'!ALLOC_CALLED)</f>
        <v>37166103</v>
      </c>
      <c r="X86" s="1">
        <f>SUM('Inter-American'!ALLOC_REFUNDED)</f>
        <v>19867169.688979998</v>
      </c>
      <c r="Z86" s="1">
        <f>SUM('Inter-American'!HEALTH_CALLED)</f>
        <v>4032883</v>
      </c>
      <c r="AA86" s="1">
        <f>SUM('Inter-American'!HEALTH_REFUNDED)</f>
        <v>643059.62767000007</v>
      </c>
      <c r="AC86" s="1">
        <f>SUM('Inter-American'!UNALLOC_CALLED)</f>
        <v>41826413</v>
      </c>
      <c r="AD86" s="9">
        <f>SUM('Inter-American'!UNALLOC_REFUNDED)</f>
        <v>17982766.469999999</v>
      </c>
    </row>
    <row r="87" spans="2:30">
      <c r="B87" s="6" t="s">
        <v>519</v>
      </c>
      <c r="C87" s="1" t="s">
        <v>520</v>
      </c>
      <c r="D87" s="1" t="s">
        <v>227</v>
      </c>
      <c r="E87" s="1" t="s">
        <v>521</v>
      </c>
      <c r="F87" s="1" t="s">
        <v>522</v>
      </c>
      <c r="G87" s="1" t="s">
        <v>290</v>
      </c>
      <c r="H87" s="1" t="s">
        <v>523</v>
      </c>
      <c r="J87" s="1">
        <f>SUM('International Fin'!LIFE)</f>
        <v>1142532.7372618408</v>
      </c>
      <c r="K87" s="1">
        <f>SUM('International Fin'!ALLOCATED)</f>
        <v>731782.28871571959</v>
      </c>
      <c r="L87" s="1">
        <f>SUM('International Fin'!HEALTH)</f>
        <v>0</v>
      </c>
      <c r="M87" s="1">
        <f>SUM('International Fin'!UNALLOCATED)</f>
        <v>0</v>
      </c>
      <c r="N87" s="1">
        <f>SUM('International Fin'!LTC)</f>
        <v>0</v>
      </c>
      <c r="O87" s="1">
        <f t="shared" si="4"/>
        <v>1874315.0259775603</v>
      </c>
      <c r="P87" s="6">
        <v>1874315.0259775601</v>
      </c>
      <c r="Q87" s="9">
        <f t="shared" ref="Q87:Q114" si="6">+O87-P87</f>
        <v>0</v>
      </c>
      <c r="T87" s="6">
        <f>SUM('International Fin'!LIFE_CALLED)</f>
        <v>4602083</v>
      </c>
      <c r="U87" s="1">
        <f>SUM('International Fin'!LIFE_REFUNDED)</f>
        <v>3175000</v>
      </c>
      <c r="W87" s="1">
        <f>SUM('International Fin'!ALLOC_CALLED)</f>
        <v>277880</v>
      </c>
      <c r="X87" s="1">
        <f>SUM('International Fin'!ALLOC_REFUNDED)</f>
        <v>0</v>
      </c>
      <c r="Z87" s="1">
        <f>SUM('International Fin'!HEALTH_CALLED)</f>
        <v>152528</v>
      </c>
      <c r="AA87" s="1">
        <f>SUM('International Fin'!HEALTH_REFUNDED)</f>
        <v>125000</v>
      </c>
      <c r="AC87" s="1">
        <f>SUM('International Fin'!UNALLOC_CALLED)</f>
        <v>0</v>
      </c>
      <c r="AD87" s="9">
        <f>SUM('International Fin'!UNALLOC_REFUNDED)</f>
        <v>0</v>
      </c>
    </row>
    <row r="88" spans="2:30">
      <c r="B88" s="6" t="s">
        <v>524</v>
      </c>
      <c r="C88" s="1" t="s">
        <v>525</v>
      </c>
      <c r="D88" s="1" t="s">
        <v>205</v>
      </c>
      <c r="E88" s="1" t="s">
        <v>526</v>
      </c>
      <c r="F88" s="1" t="s">
        <v>527</v>
      </c>
      <c r="G88" s="1" t="s">
        <v>528</v>
      </c>
      <c r="H88" s="1" t="s">
        <v>529</v>
      </c>
      <c r="J88" s="1">
        <f>SUM('Investment Life of America'!LIFE)</f>
        <v>3600898.6111054136</v>
      </c>
      <c r="K88" s="1">
        <f>SUM('Investment Life of America'!ALLOCATED)</f>
        <v>12140925.673411671</v>
      </c>
      <c r="L88" s="1">
        <f>SUM('Investment Life of America'!HEALTH)</f>
        <v>16133.84</v>
      </c>
      <c r="M88" s="1">
        <f>SUM('Investment Life of America'!UNALLOCATED)</f>
        <v>0</v>
      </c>
      <c r="N88" s="1">
        <f>SUM('Investment Life of America'!LTC)</f>
        <v>0</v>
      </c>
      <c r="O88" s="1">
        <f t="shared" ref="O88:O114" si="7">SUM(J88:N88)</f>
        <v>15757958.124517085</v>
      </c>
      <c r="P88" s="6">
        <v>15757958.124517083</v>
      </c>
      <c r="Q88" s="9">
        <f t="shared" si="6"/>
        <v>0</v>
      </c>
      <c r="T88" s="6">
        <f>SUM('Investment Life of America'!LIFE_CALLED)</f>
        <v>5270688</v>
      </c>
      <c r="U88" s="1">
        <f>SUM('Investment Life of America'!LIFE_REFUNDED)</f>
        <v>356691</v>
      </c>
      <c r="W88" s="1">
        <f>SUM('Investment Life of America'!ALLOC_CALLED)</f>
        <v>17846770</v>
      </c>
      <c r="X88" s="1">
        <f>SUM('Investment Life of America'!ALLOC_REFUNDED)</f>
        <v>1325580.3500000001</v>
      </c>
      <c r="Z88" s="1">
        <f>SUM('Investment Life of America'!HEALTH_CALLED)</f>
        <v>0</v>
      </c>
      <c r="AA88" s="1">
        <f>SUM('Investment Life of America'!HEALTH_REFUNDED)</f>
        <v>0</v>
      </c>
      <c r="AC88" s="1">
        <f>SUM('Investment Life of America'!UNALLOC_CALLED)</f>
        <v>0</v>
      </c>
      <c r="AD88" s="9">
        <f>SUM('Investment Life of America'!UNALLOC_REFUNDED)</f>
        <v>0</v>
      </c>
    </row>
    <row r="89" spans="2:30">
      <c r="B89" s="6" t="s">
        <v>530</v>
      </c>
      <c r="C89" s="1" t="s">
        <v>531</v>
      </c>
      <c r="D89" s="1" t="s">
        <v>532</v>
      </c>
      <c r="E89" s="1" t="s">
        <v>533</v>
      </c>
      <c r="F89" s="1" t="s">
        <v>534</v>
      </c>
      <c r="G89" s="1" t="s">
        <v>535</v>
      </c>
      <c r="H89" s="1" t="s">
        <v>536</v>
      </c>
      <c r="J89" s="1">
        <f>SUM('Investors Equity'!LIFE)</f>
        <v>0</v>
      </c>
      <c r="K89" s="1">
        <f>SUM('Investors Equity'!ALLOCATED)</f>
        <v>37078074.870000005</v>
      </c>
      <c r="L89" s="1">
        <f>SUM('Investors Equity'!HEALTH)</f>
        <v>0</v>
      </c>
      <c r="M89" s="1">
        <f>SUM('Investors Equity'!UNALLOCATED)</f>
        <v>0</v>
      </c>
      <c r="N89" s="1">
        <f>SUM('Investors Equity'!LTC)</f>
        <v>0</v>
      </c>
      <c r="O89" s="1">
        <f t="shared" si="7"/>
        <v>37078074.870000005</v>
      </c>
      <c r="P89" s="6">
        <v>37078074.870000005</v>
      </c>
      <c r="Q89" s="9">
        <f t="shared" si="6"/>
        <v>0</v>
      </c>
      <c r="T89" s="6">
        <f>SUM('Investors Equity'!LIFE_CALLED)</f>
        <v>27611280</v>
      </c>
      <c r="U89" s="1">
        <f>SUM('Investors Equity'!LIFE_REFUNDED)</f>
        <v>20999761</v>
      </c>
      <c r="W89" s="1">
        <f>SUM('Investors Equity'!ALLOC_CALLED)</f>
        <v>22525117</v>
      </c>
      <c r="X89" s="1">
        <f>SUM('Investors Equity'!ALLOC_REFUNDED)</f>
        <v>11243274</v>
      </c>
      <c r="Z89" s="1">
        <f>SUM('Investors Equity'!HEALTH_CALLED)</f>
        <v>11732231</v>
      </c>
      <c r="AA89" s="1">
        <f>SUM('Investors Equity'!HEALTH_REFUNDED)</f>
        <v>11500000</v>
      </c>
      <c r="AC89" s="1">
        <f>SUM('Investors Equity'!UNALLOC_CALLED)</f>
        <v>0</v>
      </c>
      <c r="AD89" s="9">
        <f>SUM('Investors Equity'!UNALLOC_REFUNDED)</f>
        <v>0</v>
      </c>
    </row>
    <row r="90" spans="2:30">
      <c r="B90" s="6" t="s">
        <v>537</v>
      </c>
      <c r="C90" s="1" t="s">
        <v>538</v>
      </c>
      <c r="D90" s="1" t="s">
        <v>539</v>
      </c>
      <c r="E90" s="1" t="s">
        <v>540</v>
      </c>
      <c r="F90" s="1" t="s">
        <v>541</v>
      </c>
      <c r="G90" s="1" t="s">
        <v>542</v>
      </c>
      <c r="H90" s="1" t="s">
        <v>543</v>
      </c>
      <c r="J90" s="1">
        <f>SUM('Kentucky Central'!LIFE)</f>
        <v>-12441718.913903382</v>
      </c>
      <c r="K90" s="1">
        <f>SUM('Kentucky Central'!ALLOCATED)</f>
        <v>-59570.761363521255</v>
      </c>
      <c r="L90" s="1">
        <f>SUM('Kentucky Central'!HEALTH)</f>
        <v>0</v>
      </c>
      <c r="M90" s="1">
        <f>SUM('Kentucky Central'!UNALLOCATED)</f>
        <v>0</v>
      </c>
      <c r="N90" s="1">
        <f>SUM('Kentucky Central'!LTC)</f>
        <v>0</v>
      </c>
      <c r="O90" s="1">
        <f t="shared" si="7"/>
        <v>-12501289.675266903</v>
      </c>
      <c r="P90" s="6">
        <v>-12501289.675266905</v>
      </c>
      <c r="Q90" s="9">
        <f t="shared" si="6"/>
        <v>0</v>
      </c>
      <c r="T90" s="6">
        <f>SUM('Kentucky Central'!LIFE_CALLED)</f>
        <v>122437040</v>
      </c>
      <c r="U90" s="1">
        <f>SUM('Kentucky Central'!LIFE_REFUNDED)</f>
        <v>92956402.418200001</v>
      </c>
      <c r="W90" s="1">
        <f>SUM('Kentucky Central'!ALLOC_CALLED)</f>
        <v>13028405</v>
      </c>
      <c r="X90" s="1">
        <f>SUM('Kentucky Central'!ALLOC_REFUNDED)</f>
        <v>7287007.0312000001</v>
      </c>
      <c r="Z90" s="1">
        <f>SUM('Kentucky Central'!HEALTH_CALLED)</f>
        <v>141544</v>
      </c>
      <c r="AA90" s="1">
        <f>SUM('Kentucky Central'!HEALTH_REFUNDED)</f>
        <v>161507.8406</v>
      </c>
      <c r="AC90" s="1">
        <f>SUM('Kentucky Central'!UNALLOC_CALLED)</f>
        <v>0</v>
      </c>
      <c r="AD90" s="9">
        <f>SUM('Kentucky Central'!UNALLOC_REFUNDED)</f>
        <v>0</v>
      </c>
    </row>
    <row r="91" spans="2:30">
      <c r="B91" s="6" t="s">
        <v>544</v>
      </c>
      <c r="C91" s="1" t="s">
        <v>545</v>
      </c>
      <c r="D91" s="1" t="s">
        <v>199</v>
      </c>
      <c r="E91" s="1" t="s">
        <v>546</v>
      </c>
      <c r="F91" s="1" t="s">
        <v>547</v>
      </c>
      <c r="H91" s="1" t="s">
        <v>548</v>
      </c>
      <c r="I91" s="1" t="s">
        <v>358</v>
      </c>
      <c r="J91" s="1">
        <f>SUM(Legion!LIFE)</f>
        <v>0</v>
      </c>
      <c r="K91" s="1">
        <f>SUM(Legion!ALLOCATED)</f>
        <v>0</v>
      </c>
      <c r="L91" s="1">
        <f>SUM(Legion!HEALTH)</f>
        <v>410967.5164547048</v>
      </c>
      <c r="M91" s="1">
        <f>SUM(Legion!UNALLOCATED)</f>
        <v>0</v>
      </c>
      <c r="N91" s="1">
        <f>SUM(Legion!LTC)</f>
        <v>0</v>
      </c>
      <c r="O91" s="1">
        <f t="shared" si="7"/>
        <v>410967.5164547048</v>
      </c>
      <c r="P91" s="6">
        <v>410967.5164547048</v>
      </c>
      <c r="Q91" s="9">
        <f t="shared" si="6"/>
        <v>0</v>
      </c>
      <c r="T91" s="6">
        <f>SUM(Legion!LIFE_CALLED)</f>
        <v>0</v>
      </c>
      <c r="U91" s="1">
        <f>SUM(Legion!LIFE_REFUNDED)</f>
        <v>0</v>
      </c>
      <c r="W91" s="1">
        <f>SUM(Legion!ALLOC_CALLED)</f>
        <v>0</v>
      </c>
      <c r="X91" s="1">
        <f>SUM(Legion!ALLOC_REFUNDED)</f>
        <v>0</v>
      </c>
      <c r="Z91" s="1">
        <f>SUM(Legion!HEALTH_CALLED)</f>
        <v>584325</v>
      </c>
      <c r="AA91" s="1">
        <f>SUM(Legion!HEALTH_REFUNDED)</f>
        <v>0</v>
      </c>
      <c r="AC91" s="1">
        <f>SUM(Legion!UNALLOC_CALLED)</f>
        <v>0</v>
      </c>
      <c r="AD91" s="9">
        <f>SUM(Legion!UNALLOC_REFUNDED)</f>
        <v>0</v>
      </c>
    </row>
    <row r="92" spans="2:30">
      <c r="B92" s="6" t="s">
        <v>549</v>
      </c>
      <c r="C92" s="1" t="s">
        <v>550</v>
      </c>
      <c r="D92" s="1" t="s">
        <v>205</v>
      </c>
      <c r="E92" s="1" t="s">
        <v>551</v>
      </c>
      <c r="F92" s="1" t="s">
        <v>552</v>
      </c>
      <c r="G92" s="1" t="s">
        <v>553</v>
      </c>
      <c r="H92" s="1" t="s">
        <v>554</v>
      </c>
      <c r="J92" s="1">
        <f>SUM('London Pac'!LIFE)</f>
        <v>0</v>
      </c>
      <c r="K92" s="1">
        <f>SUM('London Pac'!ALLOCATED)</f>
        <v>96324078.240000188</v>
      </c>
      <c r="L92" s="1">
        <f>SUM('London Pac'!HEALTH)</f>
        <v>0</v>
      </c>
      <c r="M92" s="1">
        <f>SUM('London Pac'!UNALLOCATED)</f>
        <v>0</v>
      </c>
      <c r="N92" s="1">
        <f>SUM('London Pac'!LTC)</f>
        <v>0</v>
      </c>
      <c r="O92" s="1">
        <f t="shared" si="7"/>
        <v>96324078.240000188</v>
      </c>
      <c r="P92" s="6">
        <v>96324078.240000188</v>
      </c>
      <c r="Q92" s="9">
        <f t="shared" si="6"/>
        <v>0</v>
      </c>
      <c r="T92" s="6">
        <f>SUM('London Pac'!LIFE_CALLED)</f>
        <v>700638</v>
      </c>
      <c r="U92" s="1">
        <f>SUM('London Pac'!LIFE_REFUNDED)</f>
        <v>6000</v>
      </c>
      <c r="W92" s="1">
        <f>SUM('London Pac'!ALLOC_CALLED)</f>
        <v>88015647</v>
      </c>
      <c r="X92" s="1">
        <f>SUM('London Pac'!ALLOC_REFUNDED)</f>
        <v>10292000</v>
      </c>
      <c r="Z92" s="1">
        <f>SUM('London Pac'!HEALTH_CALLED)</f>
        <v>0</v>
      </c>
      <c r="AA92" s="1">
        <f>SUM('London Pac'!HEALTH_REFUNDED)</f>
        <v>1716536</v>
      </c>
      <c r="AC92" s="1">
        <f>SUM('London Pac'!UNALLOC_CALLED)</f>
        <v>0</v>
      </c>
      <c r="AD92" s="9">
        <f>SUM('London Pac'!UNALLOC_REFUNDED)</f>
        <v>0</v>
      </c>
    </row>
    <row r="93" spans="2:30">
      <c r="B93" s="6" t="s">
        <v>555</v>
      </c>
      <c r="C93" s="1" t="s">
        <v>556</v>
      </c>
      <c r="D93" s="1" t="s">
        <v>332</v>
      </c>
      <c r="E93" s="1" t="s">
        <v>557</v>
      </c>
      <c r="F93" s="1" t="s">
        <v>558</v>
      </c>
      <c r="H93" s="1" t="s">
        <v>559</v>
      </c>
      <c r="J93" s="1">
        <f>SUM('Medical Savings'!LIFE)</f>
        <v>0</v>
      </c>
      <c r="K93" s="1">
        <f>SUM('Medical Savings'!ALLOCATED)</f>
        <v>0</v>
      </c>
      <c r="L93" s="1">
        <f>SUM('Medical Savings'!HEALTH)</f>
        <v>25705698.670000002</v>
      </c>
      <c r="M93" s="1">
        <f>SUM('Medical Savings'!UNALLOCATED)</f>
        <v>0</v>
      </c>
      <c r="N93" s="1">
        <f>SUM('Medical Savings'!LTC)</f>
        <v>0</v>
      </c>
      <c r="O93" s="1">
        <f t="shared" si="7"/>
        <v>25705698.670000002</v>
      </c>
      <c r="P93" s="6">
        <v>25705698.670000002</v>
      </c>
      <c r="Q93" s="9">
        <f t="shared" si="6"/>
        <v>0</v>
      </c>
      <c r="T93" s="6">
        <f>SUM('Medical Savings'!LIFE_CALLED)</f>
        <v>0</v>
      </c>
      <c r="U93" s="1">
        <f>SUM('Medical Savings'!LIFE_REFUNDED)</f>
        <v>0</v>
      </c>
      <c r="W93" s="1">
        <f>SUM('Medical Savings'!ALLOC_CALLED)</f>
        <v>0</v>
      </c>
      <c r="X93" s="1">
        <f>SUM('Medical Savings'!ALLOC_REFUNDED)</f>
        <v>0</v>
      </c>
      <c r="Z93" s="1">
        <f>SUM('Medical Savings'!HEALTH_CALLED)</f>
        <v>22285577</v>
      </c>
      <c r="AA93" s="1">
        <f>SUM('Medical Savings'!HEALTH_REFUNDED)</f>
        <v>31891</v>
      </c>
      <c r="AC93" s="1">
        <f>SUM('Medical Savings'!UNALLOC_CALLED)</f>
        <v>0</v>
      </c>
      <c r="AD93" s="9">
        <f>SUM('Medical Savings'!UNALLOC_REFUNDED)</f>
        <v>0</v>
      </c>
    </row>
    <row r="94" spans="2:30">
      <c r="B94" s="6" t="s">
        <v>560</v>
      </c>
      <c r="C94" s="1" t="s">
        <v>561</v>
      </c>
      <c r="D94" s="1" t="s">
        <v>562</v>
      </c>
      <c r="E94" s="1" t="s">
        <v>563</v>
      </c>
      <c r="F94" s="1" t="s">
        <v>564</v>
      </c>
      <c r="G94" s="1" t="s">
        <v>565</v>
      </c>
      <c r="H94" s="1" t="s">
        <v>566</v>
      </c>
      <c r="J94" s="1">
        <f>SUM('Midwest Life'!LIFE)</f>
        <v>886028.97456892044</v>
      </c>
      <c r="K94" s="1">
        <f>SUM('Midwest Life'!ALLOCATED)</f>
        <v>32048671.496619485</v>
      </c>
      <c r="L94" s="1">
        <f>SUM('Midwest Life'!HEALTH)</f>
        <v>82009.568811594945</v>
      </c>
      <c r="M94" s="1">
        <f>SUM('Midwest Life'!UNALLOCATED)</f>
        <v>0</v>
      </c>
      <c r="N94" s="1">
        <f>SUM('Midwest Life'!LTC)</f>
        <v>0</v>
      </c>
      <c r="O94" s="1">
        <f t="shared" si="7"/>
        <v>33016710.040000003</v>
      </c>
      <c r="P94" s="6">
        <v>33016710.039999999</v>
      </c>
      <c r="Q94" s="9">
        <f t="shared" si="6"/>
        <v>0</v>
      </c>
      <c r="T94" s="6">
        <f>SUM('Midwest Life'!LIFE_CALLED)</f>
        <v>3798558</v>
      </c>
      <c r="U94" s="1">
        <f>SUM('Midwest Life'!LIFE_REFUNDED)</f>
        <v>1244000</v>
      </c>
      <c r="W94" s="1">
        <f>SUM('Midwest Life'!ALLOC_CALLED)</f>
        <v>75236595</v>
      </c>
      <c r="X94" s="1">
        <f>SUM('Midwest Life'!ALLOC_REFUNDED)</f>
        <v>12991485</v>
      </c>
      <c r="Z94" s="1">
        <f>SUM('Midwest Life'!HEALTH_CALLED)</f>
        <v>4535768</v>
      </c>
      <c r="AA94" s="1">
        <f>SUM('Midwest Life'!HEALTH_REFUNDED)</f>
        <v>725908</v>
      </c>
      <c r="AC94" s="1">
        <f>SUM('Midwest Life'!UNALLOC_CALLED)</f>
        <v>0</v>
      </c>
      <c r="AD94" s="9">
        <f>SUM('Midwest Life'!UNALLOC_REFUNDED)</f>
        <v>0</v>
      </c>
    </row>
    <row r="95" spans="2:30">
      <c r="B95" s="6" t="s">
        <v>567</v>
      </c>
      <c r="C95" s="1" t="s">
        <v>568</v>
      </c>
      <c r="D95" s="1" t="s">
        <v>293</v>
      </c>
      <c r="E95" s="1" t="s">
        <v>569</v>
      </c>
      <c r="F95" s="1" t="s">
        <v>570</v>
      </c>
      <c r="G95" s="1" t="s">
        <v>571</v>
      </c>
      <c r="H95" s="1" t="s">
        <v>572</v>
      </c>
      <c r="J95" s="1">
        <f>SUM('Mutual Benefit'!LIFE)</f>
        <v>-381962.22322039324</v>
      </c>
      <c r="K95" s="1">
        <f>SUM('Mutual Benefit'!ALLOCATED)</f>
        <v>-1112649.6289279202</v>
      </c>
      <c r="L95" s="1">
        <f>SUM('Mutual Benefit'!HEALTH)</f>
        <v>0</v>
      </c>
      <c r="M95" s="1">
        <f>SUM('Mutual Benefit'!UNALLOCATED)</f>
        <v>-170796.59785140699</v>
      </c>
      <c r="N95" s="1">
        <f>SUM('Mutual Benefit'!LTC)</f>
        <v>0</v>
      </c>
      <c r="O95" s="1">
        <f t="shared" si="7"/>
        <v>-1665408.4499997206</v>
      </c>
      <c r="P95" s="6">
        <v>-1665408.4499997203</v>
      </c>
      <c r="Q95" s="9">
        <f t="shared" si="6"/>
        <v>0</v>
      </c>
      <c r="T95" s="6">
        <f>SUM('Mutual Benefit'!LIFE_CALLED)</f>
        <v>113928847</v>
      </c>
      <c r="U95" s="1">
        <f>SUM('Mutual Benefit'!LIFE_REFUNDED)</f>
        <v>73393423.847253993</v>
      </c>
      <c r="W95" s="1">
        <f>SUM('Mutual Benefit'!ALLOC_CALLED)</f>
        <v>16270649</v>
      </c>
      <c r="X95" s="1">
        <f>SUM('Mutual Benefit'!ALLOC_REFUNDED)</f>
        <v>12224649.138025999</v>
      </c>
      <c r="Z95" s="1">
        <f>SUM('Mutual Benefit'!HEALTH_CALLED)</f>
        <v>4132289</v>
      </c>
      <c r="AA95" s="1">
        <f>SUM('Mutual Benefit'!HEALTH_REFUNDED)</f>
        <v>4836956.3147200001</v>
      </c>
      <c r="AC95" s="1">
        <f>SUM('Mutual Benefit'!UNALLOC_CALLED)</f>
        <v>2139524</v>
      </c>
      <c r="AD95" s="9">
        <f>SUM('Mutual Benefit'!UNALLOC_REFUNDED)</f>
        <v>1843252.74</v>
      </c>
    </row>
    <row r="96" spans="2:30">
      <c r="B96" s="6" t="s">
        <v>573</v>
      </c>
      <c r="C96" s="1" t="s">
        <v>574</v>
      </c>
      <c r="D96" s="1" t="s">
        <v>332</v>
      </c>
      <c r="E96" s="1" t="s">
        <v>575</v>
      </c>
      <c r="F96" s="1" t="s">
        <v>277</v>
      </c>
      <c r="G96" s="1" t="s">
        <v>433</v>
      </c>
      <c r="H96" s="1" t="s">
        <v>507</v>
      </c>
      <c r="J96" s="1">
        <f>SUM('Mutual Security'!LIFE)</f>
        <v>3156843.32973589</v>
      </c>
      <c r="K96" s="1">
        <f>SUM('Mutual Security'!ALLOCATED)</f>
        <v>11290437.844675858</v>
      </c>
      <c r="L96" s="1">
        <f>SUM('Mutual Security'!HEALTH)</f>
        <v>-6405966.9312069416</v>
      </c>
      <c r="M96" s="1">
        <f>SUM('Mutual Security'!UNALLOCATED)</f>
        <v>4718689.2567951931</v>
      </c>
      <c r="N96" s="1">
        <f>SUM('Mutual Security'!LTC)</f>
        <v>0</v>
      </c>
      <c r="O96" s="1">
        <f t="shared" si="7"/>
        <v>12760003.5</v>
      </c>
      <c r="P96" s="6">
        <v>12760003.5</v>
      </c>
      <c r="Q96" s="9">
        <f t="shared" si="6"/>
        <v>0</v>
      </c>
      <c r="T96" s="6">
        <f>SUM('Mutual Security'!LIFE_CALLED)</f>
        <v>53434308</v>
      </c>
      <c r="U96" s="1">
        <f>SUM('Mutual Security'!LIFE_REFUNDED)</f>
        <v>16260675.3488</v>
      </c>
      <c r="W96" s="1">
        <f>SUM('Mutual Security'!ALLOC_CALLED)</f>
        <v>117647747</v>
      </c>
      <c r="X96" s="1">
        <f>SUM('Mutual Security'!ALLOC_REFUNDED)</f>
        <v>23197622.820799999</v>
      </c>
      <c r="Z96" s="1">
        <f>SUM('Mutual Security'!HEALTH_CALLED)</f>
        <v>3972146</v>
      </c>
      <c r="AA96" s="1">
        <f>SUM('Mutual Security'!HEALTH_REFUNDED)</f>
        <v>2032125.8303999999</v>
      </c>
      <c r="AC96" s="1">
        <f>SUM('Mutual Security'!UNALLOC_CALLED)</f>
        <v>96890</v>
      </c>
      <c r="AD96" s="9">
        <f>SUM('Mutual Security'!UNALLOC_REFUNDED)</f>
        <v>84000</v>
      </c>
    </row>
    <row r="97" spans="2:30">
      <c r="B97" s="6" t="s">
        <v>576</v>
      </c>
      <c r="C97" s="1" t="s">
        <v>577</v>
      </c>
      <c r="D97" s="1" t="s">
        <v>562</v>
      </c>
      <c r="E97" s="1" t="s">
        <v>578</v>
      </c>
      <c r="F97" s="1" t="s">
        <v>579</v>
      </c>
      <c r="G97" s="1" t="s">
        <v>580</v>
      </c>
      <c r="H97" s="1" t="s">
        <v>581</v>
      </c>
      <c r="J97" s="1">
        <f>SUM('National Affiliated'!LIFE)</f>
        <v>1176583.8239110187</v>
      </c>
      <c r="K97" s="1">
        <f>SUM('National Affiliated'!ALLOCATED)</f>
        <v>122869.26166202863</v>
      </c>
      <c r="L97" s="1">
        <f>SUM('National Affiliated'!HEALTH)</f>
        <v>9635.0672854646855</v>
      </c>
      <c r="M97" s="1">
        <f>SUM('National Affiliated'!UNALLOCATED)</f>
        <v>0</v>
      </c>
      <c r="N97" s="1">
        <f>SUM('National Affiliated'!LTC)</f>
        <v>0</v>
      </c>
      <c r="O97" s="1">
        <f t="shared" si="7"/>
        <v>1309088.152858512</v>
      </c>
      <c r="P97" s="6">
        <v>1309088.1528585122</v>
      </c>
      <c r="Q97" s="9">
        <f t="shared" si="6"/>
        <v>0</v>
      </c>
      <c r="T97" s="6">
        <f>SUM('National Affiliated'!LIFE_CALLED)</f>
        <v>1144992</v>
      </c>
      <c r="U97" s="1">
        <f>SUM('National Affiliated'!LIFE_REFUNDED)</f>
        <v>41125</v>
      </c>
      <c r="W97" s="1">
        <f>SUM('National Affiliated'!ALLOC_CALLED)</f>
        <v>35389</v>
      </c>
      <c r="X97" s="1">
        <f>SUM('National Affiliated'!ALLOC_REFUNDED)</f>
        <v>0</v>
      </c>
      <c r="Z97" s="1">
        <f>SUM('National Affiliated'!HEALTH_CALLED)</f>
        <v>606622</v>
      </c>
      <c r="AA97" s="1">
        <f>SUM('National Affiliated'!HEALTH_REFUNDED)</f>
        <v>1257</v>
      </c>
      <c r="AC97" s="1">
        <f>SUM('National Affiliated'!UNALLOC_CALLED)</f>
        <v>0</v>
      </c>
      <c r="AD97" s="9">
        <f>SUM('National Affiliated'!UNALLOC_REFUNDED)</f>
        <v>0</v>
      </c>
    </row>
    <row r="98" spans="2:30">
      <c r="B98" s="6" t="s">
        <v>582</v>
      </c>
      <c r="C98" s="1" t="s">
        <v>583</v>
      </c>
      <c r="D98" s="1" t="s">
        <v>199</v>
      </c>
      <c r="E98" s="1" t="s">
        <v>584</v>
      </c>
      <c r="F98" s="1" t="s">
        <v>585</v>
      </c>
      <c r="G98" s="1" t="s">
        <v>586</v>
      </c>
      <c r="H98" s="1" t="s">
        <v>587</v>
      </c>
      <c r="J98" s="1">
        <f>SUM('Natl American'!LIFE)</f>
        <v>2604.3387856944819</v>
      </c>
      <c r="K98" s="1">
        <f>SUM('Natl American'!ALLOCATED)</f>
        <v>13124792.083000876</v>
      </c>
      <c r="L98" s="1">
        <f>SUM('Natl American'!HEALTH)</f>
        <v>6047.8936443914545</v>
      </c>
      <c r="M98" s="1">
        <f>SUM('Natl American'!UNALLOCATED)</f>
        <v>0</v>
      </c>
      <c r="N98" s="1">
        <f>SUM('Natl American'!LTC)</f>
        <v>0</v>
      </c>
      <c r="O98" s="1">
        <f t="shared" si="7"/>
        <v>13133444.315430962</v>
      </c>
      <c r="P98" s="6">
        <v>13133444.315430963</v>
      </c>
      <c r="Q98" s="9">
        <f t="shared" si="6"/>
        <v>0</v>
      </c>
      <c r="T98" s="6">
        <f>SUM('Natl American'!LIFE_CALLED)</f>
        <v>576171</v>
      </c>
      <c r="U98" s="1">
        <f>SUM('Natl American'!LIFE_REFUNDED)</f>
        <v>185418.76120000001</v>
      </c>
      <c r="W98" s="1">
        <f>SUM('Natl American'!ALLOC_CALLED)</f>
        <v>24494168</v>
      </c>
      <c r="X98" s="1">
        <f>SUM('Natl American'!ALLOC_REFUNDED)</f>
        <v>42107927.9296</v>
      </c>
      <c r="Z98" s="1">
        <f>SUM('Natl American'!HEALTH_CALLED)</f>
        <v>1785577</v>
      </c>
      <c r="AA98" s="1">
        <f>SUM('Natl American'!HEALTH_REFUNDED)</f>
        <v>1644030.4391999999</v>
      </c>
      <c r="AC98" s="1">
        <f>SUM('Natl American'!UNALLOC_CALLED)</f>
        <v>0</v>
      </c>
      <c r="AD98" s="9">
        <f>SUM('Natl American'!UNALLOC_REFUNDED)</f>
        <v>0</v>
      </c>
    </row>
    <row r="99" spans="2:30">
      <c r="B99" s="6" t="s">
        <v>588</v>
      </c>
      <c r="C99" s="1" t="s">
        <v>589</v>
      </c>
      <c r="D99" s="1" t="s">
        <v>218</v>
      </c>
      <c r="E99" s="1" t="s">
        <v>590</v>
      </c>
      <c r="F99" s="1" t="s">
        <v>591</v>
      </c>
      <c r="G99" s="1" t="s">
        <v>592</v>
      </c>
      <c r="H99" s="1" t="s">
        <v>593</v>
      </c>
      <c r="J99" s="1">
        <f>SUM('National Heritage'!LIFE)</f>
        <v>5524218.8873468246</v>
      </c>
      <c r="K99" s="1">
        <f>SUM('National Heritage'!ALLOCATED)</f>
        <v>146331160.75798312</v>
      </c>
      <c r="L99" s="1">
        <f>SUM('National Heritage'!HEALTH)</f>
        <v>0</v>
      </c>
      <c r="M99" s="1">
        <f>SUM('National Heritage'!UNALLOCATED)</f>
        <v>0</v>
      </c>
      <c r="N99" s="1">
        <f>SUM('National Heritage'!LTC)</f>
        <v>0</v>
      </c>
      <c r="O99" s="1">
        <f t="shared" si="7"/>
        <v>151855379.64532995</v>
      </c>
      <c r="P99" s="6">
        <v>151822778.84532994</v>
      </c>
      <c r="Q99" s="9">
        <f t="shared" si="6"/>
        <v>32600.800000011921</v>
      </c>
      <c r="T99" s="6">
        <f>SUM('National Heritage'!LIFE_CALLED)</f>
        <v>13267750</v>
      </c>
      <c r="U99" s="1">
        <f>SUM('National Heritage'!LIFE_REFUNDED)</f>
        <v>252755.488132</v>
      </c>
      <c r="W99" s="1">
        <f>SUM('National Heritage'!ALLOC_CALLED)</f>
        <v>236361567</v>
      </c>
      <c r="X99" s="1">
        <f>SUM('National Heritage'!ALLOC_REFUNDED)</f>
        <v>21694354.321867999</v>
      </c>
      <c r="Z99" s="1">
        <f>SUM('National Heritage'!HEALTH_CALLED)</f>
        <v>0</v>
      </c>
      <c r="AA99" s="1">
        <f>SUM('National Heritage'!HEALTH_REFUNDED)</f>
        <v>0</v>
      </c>
      <c r="AC99" s="1">
        <f>SUM('National Heritage'!UNALLOC_CALLED)</f>
        <v>2585649</v>
      </c>
      <c r="AD99" s="9">
        <f>SUM('National Heritage'!UNALLOC_REFUNDED)</f>
        <v>0</v>
      </c>
    </row>
    <row r="100" spans="2:30">
      <c r="B100" s="6" t="s">
        <v>594</v>
      </c>
      <c r="C100" s="1" t="s">
        <v>595</v>
      </c>
      <c r="D100" s="1" t="s">
        <v>293</v>
      </c>
      <c r="E100" s="1" t="s">
        <v>596</v>
      </c>
      <c r="F100" s="1" t="s">
        <v>597</v>
      </c>
      <c r="G100" s="1" t="s">
        <v>598</v>
      </c>
      <c r="H100" s="1" t="s">
        <v>599</v>
      </c>
      <c r="J100" s="1">
        <f>SUM('New Jersey Life'!LIFE)</f>
        <v>81903024.650000021</v>
      </c>
      <c r="K100" s="1">
        <f>SUM('New Jersey Life'!ALLOCATED)</f>
        <v>0</v>
      </c>
      <c r="L100" s="1">
        <f>SUM('New Jersey Life'!HEALTH)</f>
        <v>0</v>
      </c>
      <c r="M100" s="1">
        <f>SUM('New Jersey Life'!UNALLOCATED)</f>
        <v>0</v>
      </c>
      <c r="N100" s="1">
        <f>SUM('New Jersey Life'!LTC)</f>
        <v>0</v>
      </c>
      <c r="O100" s="1">
        <f t="shared" si="7"/>
        <v>81903024.650000021</v>
      </c>
      <c r="P100" s="6">
        <v>81903024.650000021</v>
      </c>
      <c r="Q100" s="9">
        <f t="shared" si="6"/>
        <v>0</v>
      </c>
      <c r="T100" s="6">
        <f>SUM('New Jersey Life'!LIFE_CALLED)</f>
        <v>88482480</v>
      </c>
      <c r="U100" s="1">
        <f>SUM('New Jersey Life'!LIFE_REFUNDED)</f>
        <v>2590816.2341999998</v>
      </c>
      <c r="W100" s="1">
        <f>SUM('New Jersey Life'!ALLOC_CALLED)</f>
        <v>20683</v>
      </c>
      <c r="X100" s="1">
        <f>SUM('New Jersey Life'!ALLOC_REFUNDED)</f>
        <v>26777</v>
      </c>
      <c r="Z100" s="1">
        <f>SUM('New Jersey Life'!HEALTH_CALLED)</f>
        <v>449</v>
      </c>
      <c r="AA100" s="1">
        <f>SUM('New Jersey Life'!HEALTH_REFUNDED)</f>
        <v>22.765800000006497</v>
      </c>
      <c r="AC100" s="1">
        <f>SUM('New Jersey Life'!UNALLOC_CALLED)</f>
        <v>0</v>
      </c>
      <c r="AD100" s="9">
        <f>SUM('New Jersey Life'!UNALLOC_REFUNDED)</f>
        <v>0</v>
      </c>
    </row>
    <row r="101" spans="2:30">
      <c r="B101" s="6" t="s">
        <v>600</v>
      </c>
      <c r="C101" s="1" t="s">
        <v>601</v>
      </c>
      <c r="D101" s="1" t="s">
        <v>424</v>
      </c>
      <c r="E101" s="1" t="s">
        <v>602</v>
      </c>
      <c r="F101" s="1" t="s">
        <v>603</v>
      </c>
      <c r="G101" s="1" t="s">
        <v>604</v>
      </c>
      <c r="H101" s="1" t="s">
        <v>605</v>
      </c>
      <c r="J101" s="1">
        <f>SUM('Old Colony Life'!LIFE)</f>
        <v>525995.35967304953</v>
      </c>
      <c r="K101" s="1">
        <f>SUM('Old Colony Life'!ALLOCATED)</f>
        <v>10650640.260326877</v>
      </c>
      <c r="L101" s="1">
        <f>SUM('Old Colony Life'!HEALTH)</f>
        <v>0</v>
      </c>
      <c r="M101" s="1">
        <f>SUM('Old Colony Life'!UNALLOCATED)</f>
        <v>0</v>
      </c>
      <c r="N101" s="1">
        <f>SUM('Old Colony Life'!LTC)</f>
        <v>0</v>
      </c>
      <c r="O101" s="1">
        <f t="shared" si="7"/>
        <v>11176635.619999927</v>
      </c>
      <c r="P101" s="6">
        <v>11176635.619999927</v>
      </c>
      <c r="Q101" s="9">
        <f t="shared" si="6"/>
        <v>0</v>
      </c>
      <c r="T101" s="6">
        <f>SUM('Old Colony Life'!LIFE_CALLED)</f>
        <v>859210</v>
      </c>
      <c r="U101" s="1">
        <f>SUM('Old Colony Life'!LIFE_REFUNDED)</f>
        <v>42450.53</v>
      </c>
      <c r="W101" s="1">
        <f>SUM('Old Colony Life'!ALLOC_CALLED)</f>
        <v>13560314</v>
      </c>
      <c r="X101" s="1">
        <f>SUM('Old Colony Life'!ALLOC_REFUNDED)</f>
        <v>1359248.82</v>
      </c>
      <c r="Z101" s="1">
        <f>SUM('Old Colony Life'!HEALTH_CALLED)</f>
        <v>53013</v>
      </c>
      <c r="AA101" s="1">
        <f>SUM('Old Colony Life'!HEALTH_REFUNDED)</f>
        <v>1</v>
      </c>
      <c r="AC101" s="1">
        <f>SUM('Old Colony Life'!UNALLOC_CALLED)</f>
        <v>0</v>
      </c>
      <c r="AD101" s="9">
        <f>SUM('Old Colony Life'!UNALLOC_REFUNDED)</f>
        <v>0</v>
      </c>
    </row>
    <row r="102" spans="2:30">
      <c r="B102" s="6" t="s">
        <v>606</v>
      </c>
      <c r="C102" s="1" t="s">
        <v>607</v>
      </c>
      <c r="D102" s="1" t="s">
        <v>608</v>
      </c>
      <c r="E102" s="1" t="s">
        <v>609</v>
      </c>
      <c r="F102" s="1" t="s">
        <v>610</v>
      </c>
      <c r="G102" s="1" t="s">
        <v>611</v>
      </c>
      <c r="H102" s="1" t="s">
        <v>612</v>
      </c>
      <c r="J102" s="1">
        <f>SUM('Old Faithful'!LIFE)</f>
        <v>649599.83585779928</v>
      </c>
      <c r="K102" s="1">
        <f>SUM('Old Faithful'!ALLOCATED)</f>
        <v>760326.7090813081</v>
      </c>
      <c r="L102" s="1">
        <f>SUM('Old Faithful'!HEALTH)</f>
        <v>64157.024160892492</v>
      </c>
      <c r="M102" s="1">
        <f>SUM('Old Faithful'!UNALLOCATED)</f>
        <v>0</v>
      </c>
      <c r="N102" s="1">
        <f>SUM('Old Faithful'!LTC)</f>
        <v>0</v>
      </c>
      <c r="O102" s="1">
        <f t="shared" si="7"/>
        <v>1474083.5690999997</v>
      </c>
      <c r="P102" s="6">
        <v>1474083.5691</v>
      </c>
      <c r="Q102" s="9">
        <f t="shared" si="6"/>
        <v>0</v>
      </c>
      <c r="T102" s="6">
        <f>SUM('Old Faithful'!LIFE_CALLED)</f>
        <v>1985301</v>
      </c>
      <c r="U102" s="1">
        <f>SUM('Old Faithful'!LIFE_REFUNDED)</f>
        <v>0</v>
      </c>
      <c r="W102" s="1">
        <f>SUM('Old Faithful'!ALLOC_CALLED)</f>
        <v>3071552</v>
      </c>
      <c r="X102" s="1">
        <f>SUM('Old Faithful'!ALLOC_REFUNDED)</f>
        <v>0</v>
      </c>
      <c r="Z102" s="1">
        <f>SUM('Old Faithful'!HEALTH_CALLED)</f>
        <v>35000</v>
      </c>
      <c r="AA102" s="1">
        <f>SUM('Old Faithful'!HEALTH_REFUNDED)</f>
        <v>0</v>
      </c>
      <c r="AC102" s="1">
        <f>SUM('Old Faithful'!UNALLOC_CALLED)</f>
        <v>0</v>
      </c>
      <c r="AD102" s="9">
        <f>SUM('Old Faithful'!UNALLOC_REFUNDED)</f>
        <v>0</v>
      </c>
    </row>
    <row r="103" spans="2:30">
      <c r="B103" s="6" t="s">
        <v>613</v>
      </c>
      <c r="C103" s="1" t="s">
        <v>614</v>
      </c>
      <c r="D103" s="1" t="s">
        <v>275</v>
      </c>
      <c r="E103" s="1" t="s">
        <v>615</v>
      </c>
      <c r="F103" s="1" t="s">
        <v>616</v>
      </c>
      <c r="G103" s="1" t="s">
        <v>616</v>
      </c>
      <c r="H103" s="1" t="s">
        <v>617</v>
      </c>
      <c r="J103" s="1">
        <f>SUM('Pacific Standard'!LIFE)</f>
        <v>12334766.906116879</v>
      </c>
      <c r="K103" s="1">
        <f>SUM('Pacific Standard'!ALLOCATED)</f>
        <v>16088740.853883121</v>
      </c>
      <c r="L103" s="1">
        <f>SUM('Pacific Standard'!HEALTH)</f>
        <v>0</v>
      </c>
      <c r="M103" s="1">
        <f>SUM('Pacific Standard'!UNALLOCATED)</f>
        <v>0</v>
      </c>
      <c r="N103" s="1">
        <f>SUM('Pacific Standard'!LTC)</f>
        <v>0</v>
      </c>
      <c r="O103" s="1">
        <f t="shared" si="7"/>
        <v>28423507.759999998</v>
      </c>
      <c r="P103" s="6">
        <v>28423507.759999994</v>
      </c>
      <c r="Q103" s="9">
        <f t="shared" si="6"/>
        <v>0</v>
      </c>
      <c r="T103" s="6">
        <f>SUM('Pacific Standard'!LIFE_CALLED)</f>
        <v>19125582</v>
      </c>
      <c r="U103" s="1">
        <f>SUM('Pacific Standard'!LIFE_REFUNDED)</f>
        <v>1724917.1957</v>
      </c>
      <c r="W103" s="1">
        <f>SUM('Pacific Standard'!ALLOC_CALLED)</f>
        <v>14801323</v>
      </c>
      <c r="X103" s="1">
        <f>SUM('Pacific Standard'!ALLOC_REFUNDED)</f>
        <v>323011.6201</v>
      </c>
      <c r="Z103" s="1">
        <f>SUM('Pacific Standard'!HEALTH_CALLED)</f>
        <v>30659</v>
      </c>
      <c r="AA103" s="1">
        <f>SUM('Pacific Standard'!HEALTH_REFUNDED)</f>
        <v>3117.0942000000005</v>
      </c>
      <c r="AC103" s="1">
        <f>SUM('Pacific Standard'!UNALLOC_CALLED)</f>
        <v>0</v>
      </c>
      <c r="AD103" s="9">
        <f>SUM('Pacific Standard'!UNALLOC_REFUNDED)</f>
        <v>0</v>
      </c>
    </row>
    <row r="104" spans="2:30">
      <c r="B104" s="6" t="s">
        <v>618</v>
      </c>
      <c r="C104" s="1" t="s">
        <v>619</v>
      </c>
      <c r="D104" s="1" t="s">
        <v>382</v>
      </c>
      <c r="E104" s="1" t="s">
        <v>620</v>
      </c>
      <c r="F104" s="1" t="s">
        <v>621</v>
      </c>
      <c r="J104" s="1">
        <f>SUM('Red Rock'!LIFE)</f>
        <v>0</v>
      </c>
      <c r="K104" s="1">
        <f>SUM('Red Rock'!ALLOCATED)</f>
        <v>0</v>
      </c>
      <c r="L104" s="1">
        <f>SUM('Red Rock'!HEALTH)</f>
        <v>16216</v>
      </c>
      <c r="M104" s="1">
        <f>SUM('Red Rock'!UNALLOCATED)</f>
        <v>0</v>
      </c>
      <c r="N104" s="1">
        <f>SUM('Red Rock'!LTC)</f>
        <v>0</v>
      </c>
      <c r="O104" s="1">
        <f t="shared" si="7"/>
        <v>16216</v>
      </c>
      <c r="P104" s="6">
        <v>16216</v>
      </c>
      <c r="Q104" s="9">
        <f t="shared" si="6"/>
        <v>0</v>
      </c>
      <c r="T104" s="6">
        <f>SUM('Red Rock'!LIFE_CALLED)</f>
        <v>0</v>
      </c>
      <c r="U104" s="1">
        <f>SUM('Red Rock'!LIFE_REFUNDED)</f>
        <v>0</v>
      </c>
      <c r="W104" s="1">
        <f>SUM('Red Rock'!ALLOC_CALLED)</f>
        <v>0</v>
      </c>
      <c r="X104" s="1">
        <f>SUM('Red Rock'!ALLOC_REFUNDED)</f>
        <v>0</v>
      </c>
      <c r="Z104" s="1">
        <f>SUM('Red Rock'!HEALTH_CALLED)</f>
        <v>0</v>
      </c>
      <c r="AA104" s="1">
        <f>SUM('Red Rock'!HEALTH_REFUNDED)</f>
        <v>0</v>
      </c>
      <c r="AC104" s="1">
        <f>SUM('Red Rock'!UNALLOC_CALLED)</f>
        <v>0</v>
      </c>
      <c r="AD104" s="9">
        <f>SUM('Red Rock'!UNALLOC_REFUNDED)</f>
        <v>0</v>
      </c>
    </row>
    <row r="105" spans="2:30">
      <c r="B105" s="6" t="s">
        <v>622</v>
      </c>
      <c r="C105" s="1" t="s">
        <v>623</v>
      </c>
      <c r="D105" s="1" t="s">
        <v>275</v>
      </c>
      <c r="E105" s="1" t="s">
        <v>624</v>
      </c>
      <c r="F105" s="1" t="s">
        <v>625</v>
      </c>
      <c r="H105" s="1" t="s">
        <v>468</v>
      </c>
      <c r="J105" s="1">
        <f>SUM(SeeChange!LIFE)</f>
        <v>0</v>
      </c>
      <c r="K105" s="1">
        <f>SUM(SeeChange!ALLOCATED)</f>
        <v>0</v>
      </c>
      <c r="L105" s="1">
        <f>SUM(SeeChange!HEALTH)</f>
        <v>12380466.671347052</v>
      </c>
      <c r="M105" s="1">
        <f>SUM(SeeChange!UNALLOCATED)</f>
        <v>0</v>
      </c>
      <c r="N105" s="1">
        <f>SUM(SeeChange!LTC)</f>
        <v>0</v>
      </c>
      <c r="O105" s="1">
        <f t="shared" si="7"/>
        <v>12380466.671347052</v>
      </c>
      <c r="P105" s="6">
        <v>12380466.671347052</v>
      </c>
      <c r="Q105" s="9">
        <f t="shared" si="6"/>
        <v>0</v>
      </c>
      <c r="T105" s="6">
        <f>SUM(SeeChange!LIFE_CALLED)</f>
        <v>0</v>
      </c>
      <c r="U105" s="1">
        <f>SUM(SeeChange!LIFE_REFUNDED)</f>
        <v>0</v>
      </c>
      <c r="W105" s="1">
        <f>SUM(SeeChange!ALLOC_CALLED)</f>
        <v>0</v>
      </c>
      <c r="X105" s="1">
        <f>SUM(SeeChange!ALLOC_REFUNDED)</f>
        <v>0</v>
      </c>
      <c r="Z105" s="1">
        <f>SUM(SeeChange!HEALTH_CALLED)</f>
        <v>14005894</v>
      </c>
      <c r="AA105" s="1">
        <f>SUM(SeeChange!HEALTH_REFUNDED)</f>
        <v>500000</v>
      </c>
      <c r="AC105" s="1">
        <f>SUM(SeeChange!UNALLOC_CALLED)</f>
        <v>0</v>
      </c>
      <c r="AD105" s="9">
        <f>SUM(SeeChange!UNALLOC_REFUNDED)</f>
        <v>0</v>
      </c>
    </row>
    <row r="106" spans="2:30">
      <c r="B106" s="6" t="s">
        <v>626</v>
      </c>
      <c r="C106" s="1" t="s">
        <v>627</v>
      </c>
      <c r="D106" s="1" t="s">
        <v>307</v>
      </c>
      <c r="E106" s="1" t="s">
        <v>628</v>
      </c>
      <c r="F106" s="1" t="s">
        <v>629</v>
      </c>
      <c r="G106" s="1" t="s">
        <v>630</v>
      </c>
      <c r="H106" s="1" t="s">
        <v>631</v>
      </c>
      <c r="J106" s="1">
        <f>SUM('States General'!LIFE)</f>
        <v>2000</v>
      </c>
      <c r="K106" s="1">
        <f>SUM('States General'!ALLOCATED)</f>
        <v>0</v>
      </c>
      <c r="L106" s="1">
        <f>SUM('States General'!HEALTH)</f>
        <v>4936099.3900000006</v>
      </c>
      <c r="M106" s="1">
        <f>SUM('States General'!UNALLOCATED)</f>
        <v>0</v>
      </c>
      <c r="N106" s="1">
        <f>SUM('States General'!LTC)</f>
        <v>0</v>
      </c>
      <c r="O106" s="1">
        <f t="shared" si="7"/>
        <v>4938099.3900000006</v>
      </c>
      <c r="P106" s="6">
        <v>4938099.3900000006</v>
      </c>
      <c r="Q106" s="9">
        <f t="shared" si="6"/>
        <v>0</v>
      </c>
      <c r="T106" s="6">
        <f>SUM('States General'!LIFE_CALLED)</f>
        <v>226286</v>
      </c>
      <c r="U106" s="1">
        <f>SUM('States General'!LIFE_REFUNDED)</f>
        <v>0</v>
      </c>
      <c r="W106" s="1">
        <f>SUM('States General'!ALLOC_CALLED)</f>
        <v>0</v>
      </c>
      <c r="X106" s="1">
        <f>SUM('States General'!ALLOC_REFUNDED)</f>
        <v>0</v>
      </c>
      <c r="Z106" s="1">
        <f>SUM('States General'!HEALTH_CALLED)</f>
        <v>3959304</v>
      </c>
      <c r="AA106" s="1">
        <f>SUM('States General'!HEALTH_REFUNDED)</f>
        <v>0</v>
      </c>
      <c r="AC106" s="1">
        <f>SUM('States General'!UNALLOC_CALLED)</f>
        <v>0</v>
      </c>
      <c r="AD106" s="9">
        <f>SUM('States General'!UNALLOC_REFUNDED)</f>
        <v>0</v>
      </c>
    </row>
    <row r="107" spans="2:30">
      <c r="B107" s="6" t="s">
        <v>632</v>
      </c>
      <c r="C107" s="1" t="s">
        <v>633</v>
      </c>
      <c r="D107" s="1" t="s">
        <v>307</v>
      </c>
      <c r="E107" s="1" t="s">
        <v>634</v>
      </c>
      <c r="F107" s="1" t="s">
        <v>635</v>
      </c>
      <c r="G107" s="1" t="s">
        <v>636</v>
      </c>
      <c r="H107" s="1" t="s">
        <v>637</v>
      </c>
      <c r="J107" s="1">
        <f>SUM(Statesman!LIFE)</f>
        <v>0</v>
      </c>
      <c r="K107" s="1">
        <f>SUM(Statesman!ALLOCATED)</f>
        <v>0</v>
      </c>
      <c r="L107" s="1">
        <f>SUM(Statesman!HEALTH)</f>
        <v>4051414.9099999983</v>
      </c>
      <c r="M107" s="1">
        <f>SUM(Statesman!UNALLOCATED)</f>
        <v>0</v>
      </c>
      <c r="N107" s="1">
        <f>SUM(Statesman!LTC)</f>
        <v>0</v>
      </c>
      <c r="O107" s="1">
        <f t="shared" si="7"/>
        <v>4051414.9099999983</v>
      </c>
      <c r="P107" s="6">
        <v>4051414.9099999983</v>
      </c>
      <c r="Q107" s="9">
        <f t="shared" si="6"/>
        <v>0</v>
      </c>
      <c r="T107" s="6">
        <f>SUM(Statesman!LIFE_CALLED)</f>
        <v>645876</v>
      </c>
      <c r="U107" s="1">
        <f>SUM(Statesman!LIFE_REFUNDED)</f>
        <v>211787</v>
      </c>
      <c r="W107" s="1">
        <f>SUM(Statesman!ALLOC_CALLED)</f>
        <v>0</v>
      </c>
      <c r="X107" s="1">
        <f>SUM(Statesman!ALLOC_REFUNDED)</f>
        <v>0</v>
      </c>
      <c r="Z107" s="1">
        <f>SUM(Statesman!HEALTH_CALLED)</f>
        <v>11548200</v>
      </c>
      <c r="AA107" s="1">
        <f>SUM(Statesman!HEALTH_REFUNDED)</f>
        <v>2534083</v>
      </c>
      <c r="AC107" s="1">
        <f>SUM(Statesman!UNALLOC_CALLED)</f>
        <v>0</v>
      </c>
      <c r="AD107" s="9">
        <f>SUM(Statesman!UNALLOC_REFUNDED)</f>
        <v>0</v>
      </c>
    </row>
    <row r="108" spans="2:30">
      <c r="B108" s="6" t="s">
        <v>638</v>
      </c>
      <c r="C108" s="1" t="s">
        <v>639</v>
      </c>
      <c r="D108" s="1" t="s">
        <v>199</v>
      </c>
      <c r="E108" s="1" t="s">
        <v>640</v>
      </c>
      <c r="F108" s="1" t="s">
        <v>641</v>
      </c>
      <c r="G108" s="1" t="s">
        <v>464</v>
      </c>
      <c r="H108" s="1" t="s">
        <v>642</v>
      </c>
      <c r="J108" s="1">
        <f>SUM('Summit National'!LIFE)</f>
        <v>3768842.6602135198</v>
      </c>
      <c r="K108" s="1">
        <f>SUM('Summit National'!ALLOCATED)</f>
        <v>815376.26978646184</v>
      </c>
      <c r="L108" s="1">
        <f>SUM('Summit National'!HEALTH)</f>
        <v>73031.100000000006</v>
      </c>
      <c r="M108" s="1">
        <f>SUM('Summit National'!UNALLOCATED)</f>
        <v>0</v>
      </c>
      <c r="N108" s="1">
        <f>SUM('Summit National'!LTC)</f>
        <v>0</v>
      </c>
      <c r="O108" s="1">
        <f t="shared" si="7"/>
        <v>4657250.0299999816</v>
      </c>
      <c r="P108" s="6">
        <v>4657250.0299999816</v>
      </c>
      <c r="Q108" s="9">
        <f t="shared" si="6"/>
        <v>0</v>
      </c>
      <c r="T108" s="6">
        <f>SUM('Summit National'!LIFE_CALLED)</f>
        <v>71046715</v>
      </c>
      <c r="U108" s="1">
        <f>SUM('Summit National'!LIFE_REFUNDED)</f>
        <v>40054374.341363996</v>
      </c>
      <c r="W108" s="1">
        <f>SUM('Summit National'!ALLOC_CALLED)</f>
        <v>31672495</v>
      </c>
      <c r="X108" s="1">
        <f>SUM('Summit National'!ALLOC_REFUNDED)</f>
        <v>12506699.048636001</v>
      </c>
      <c r="Z108" s="1">
        <f>SUM('Summit National'!HEALTH_CALLED)</f>
        <v>79818</v>
      </c>
      <c r="AA108" s="1">
        <f>SUM('Summit National'!HEALTH_REFUNDED)</f>
        <v>111672</v>
      </c>
      <c r="AC108" s="1">
        <f>SUM('Summit National'!UNALLOC_CALLED)</f>
        <v>0</v>
      </c>
      <c r="AD108" s="9">
        <f>SUM('Summit National'!UNALLOC_REFUNDED)</f>
        <v>0</v>
      </c>
    </row>
    <row r="109" spans="2:30">
      <c r="B109" s="6" t="s">
        <v>643</v>
      </c>
      <c r="C109" s="1" t="s">
        <v>644</v>
      </c>
      <c r="D109" s="1" t="s">
        <v>302</v>
      </c>
      <c r="F109" s="1" t="s">
        <v>645</v>
      </c>
      <c r="G109" s="1" t="s">
        <v>358</v>
      </c>
      <c r="H109" s="1" t="s">
        <v>646</v>
      </c>
      <c r="J109" s="1">
        <f>SUM(Supreme!LIFE)</f>
        <v>27905.711253215781</v>
      </c>
      <c r="K109" s="1">
        <f>SUM(Supreme!ALLOCATED)</f>
        <v>0</v>
      </c>
      <c r="L109" s="1">
        <f>SUM(Supreme!HEALTH)</f>
        <v>9624.5187467842243</v>
      </c>
      <c r="M109" s="1">
        <f>SUM(Supreme!UNALLOCATED)</f>
        <v>0</v>
      </c>
      <c r="N109" s="1">
        <f>SUM(Supreme!LTC)</f>
        <v>0</v>
      </c>
      <c r="O109" s="1">
        <f t="shared" si="7"/>
        <v>37530.230000000003</v>
      </c>
      <c r="P109" s="6">
        <v>37530.230000000003</v>
      </c>
      <c r="Q109" s="9">
        <f t="shared" si="6"/>
        <v>0</v>
      </c>
      <c r="T109" s="6">
        <f>SUM(Supreme!LIFE_CALLED)</f>
        <v>80000</v>
      </c>
      <c r="U109" s="1">
        <f>SUM(Supreme!LIFE_REFUNDED)</f>
        <v>54000</v>
      </c>
      <c r="W109" s="1">
        <f>SUM(Supreme!ALLOC_CALLED)</f>
        <v>0</v>
      </c>
      <c r="X109" s="1">
        <f>SUM(Supreme!ALLOC_REFUNDED)</f>
        <v>0</v>
      </c>
      <c r="Z109" s="1">
        <f>SUM(Supreme!HEALTH_CALLED)</f>
        <v>20000</v>
      </c>
      <c r="AA109" s="1">
        <f>SUM(Supreme!HEALTH_REFUNDED)</f>
        <v>24000</v>
      </c>
      <c r="AC109" s="1">
        <f>SUM(Supreme!UNALLOC_CALLED)</f>
        <v>0</v>
      </c>
      <c r="AD109" s="9">
        <f>SUM(Supreme!UNALLOC_REFUNDED)</f>
        <v>0</v>
      </c>
    </row>
    <row r="110" spans="2:30">
      <c r="B110" s="6" t="s">
        <v>647</v>
      </c>
      <c r="C110" s="1" t="s">
        <v>648</v>
      </c>
      <c r="D110" s="1" t="s">
        <v>649</v>
      </c>
      <c r="E110" s="1" t="s">
        <v>650</v>
      </c>
      <c r="F110" s="1" t="s">
        <v>651</v>
      </c>
      <c r="G110" s="1" t="s">
        <v>652</v>
      </c>
      <c r="H110" s="1" t="s">
        <v>653</v>
      </c>
      <c r="J110" s="1">
        <f>SUM(Underwriters!LIFE)</f>
        <v>0</v>
      </c>
      <c r="K110" s="1">
        <f>SUM(Underwriters!ALLOCATED)</f>
        <v>0</v>
      </c>
      <c r="L110" s="1">
        <f>SUM(Underwriters!HEALTH)</f>
        <v>8106994</v>
      </c>
      <c r="M110" s="1">
        <f>SUM(Underwriters!UNALLOCATED)</f>
        <v>0</v>
      </c>
      <c r="N110" s="1">
        <f>SUM(Underwriters!LTC)</f>
        <v>0</v>
      </c>
      <c r="O110" s="1">
        <f t="shared" si="7"/>
        <v>8106994</v>
      </c>
      <c r="P110" s="6">
        <v>8106994</v>
      </c>
      <c r="Q110" s="9">
        <f t="shared" si="6"/>
        <v>0</v>
      </c>
      <c r="T110" s="6">
        <f>SUM(Underwriters!LIFE_CALLED)</f>
        <v>136845</v>
      </c>
      <c r="U110" s="1">
        <f>SUM(Underwriters!LIFE_REFUNDED)</f>
        <v>48177.093999999997</v>
      </c>
      <c r="W110" s="1">
        <f>SUM(Underwriters!ALLOC_CALLED)</f>
        <v>514100</v>
      </c>
      <c r="X110" s="1">
        <f>SUM(Underwriters!ALLOC_REFUNDED)</f>
        <v>0</v>
      </c>
      <c r="Z110" s="1">
        <f>SUM(Underwriters!HEALTH_CALLED)</f>
        <v>7083431</v>
      </c>
      <c r="AA110" s="1">
        <f>SUM(Underwriters!HEALTH_REFUNDED)</f>
        <v>1408959.2960000001</v>
      </c>
      <c r="AC110" s="1">
        <f>SUM(Underwriters!UNALLOC_CALLED)</f>
        <v>0</v>
      </c>
      <c r="AD110" s="9">
        <f>SUM(Underwriters!UNALLOC_REFUNDED)</f>
        <v>0</v>
      </c>
    </row>
    <row r="111" spans="2:30">
      <c r="B111" s="6" t="s">
        <v>654</v>
      </c>
      <c r="C111" s="1" t="s">
        <v>655</v>
      </c>
      <c r="D111" s="1" t="s">
        <v>382</v>
      </c>
      <c r="E111" s="1" t="s">
        <v>656</v>
      </c>
      <c r="F111" s="1" t="s">
        <v>540</v>
      </c>
      <c r="G111" s="1" t="s">
        <v>402</v>
      </c>
      <c r="H111" s="1" t="s">
        <v>408</v>
      </c>
      <c r="J111" s="1">
        <f>SUM(Unison!LIFE)</f>
        <v>3344192.9688403099</v>
      </c>
      <c r="K111" s="1">
        <f>SUM(Unison!ALLOCATED)</f>
        <v>10066575.645620819</v>
      </c>
      <c r="L111" s="1">
        <f>SUM(Unison!HEALTH)</f>
        <v>4151.474452420307</v>
      </c>
      <c r="M111" s="1">
        <f>SUM(Unison!UNALLOCATED)</f>
        <v>0</v>
      </c>
      <c r="N111" s="1">
        <f>SUM(Unison!LTC)</f>
        <v>0</v>
      </c>
      <c r="O111" s="1">
        <f t="shared" si="7"/>
        <v>13414920.088913551</v>
      </c>
      <c r="P111" s="6">
        <v>13414920.088913549</v>
      </c>
      <c r="Q111" s="9">
        <f t="shared" si="6"/>
        <v>0</v>
      </c>
      <c r="T111" s="6">
        <f>SUM(Unison!LIFE_CALLED)</f>
        <v>12164294</v>
      </c>
      <c r="U111" s="1">
        <f>SUM(Unison!LIFE_REFUNDED)</f>
        <v>4473210.9462700002</v>
      </c>
      <c r="W111" s="1">
        <f>SUM(Unison!ALLOC_CALLED)</f>
        <v>9814075</v>
      </c>
      <c r="X111" s="1">
        <f>SUM(Unison!ALLOC_REFUNDED)</f>
        <v>1493192.4337299999</v>
      </c>
      <c r="Z111" s="1">
        <f>SUM(Unison!HEALTH_CALLED)</f>
        <v>81022</v>
      </c>
      <c r="AA111" s="1">
        <f>SUM(Unison!HEALTH_REFUNDED)</f>
        <v>100117</v>
      </c>
      <c r="AC111" s="1">
        <f>SUM(Unison!UNALLOC_CALLED)</f>
        <v>0</v>
      </c>
      <c r="AD111" s="9">
        <f>SUM(Unison!UNALLOC_REFUNDED)</f>
        <v>0</v>
      </c>
    </row>
    <row r="112" spans="2:30">
      <c r="B112" s="6" t="s">
        <v>657</v>
      </c>
      <c r="C112" s="1" t="s">
        <v>658</v>
      </c>
      <c r="D112" s="1" t="s">
        <v>388</v>
      </c>
      <c r="E112" s="1" t="s">
        <v>659</v>
      </c>
      <c r="F112" s="1" t="s">
        <v>660</v>
      </c>
      <c r="G112" s="1" t="s">
        <v>661</v>
      </c>
      <c r="H112" s="1" t="s">
        <v>662</v>
      </c>
      <c r="J112" s="1">
        <f>SUM('United Republic'!LIFE)</f>
        <v>13024.421721024919</v>
      </c>
      <c r="K112" s="1">
        <f>SUM('United Republic'!ALLOCATED)</f>
        <v>198.8324883999733</v>
      </c>
      <c r="L112" s="1">
        <f>SUM('United Republic'!HEALTH)</f>
        <v>0</v>
      </c>
      <c r="M112" s="1">
        <f>SUM('United Republic'!UNALLOCATED)</f>
        <v>27443.965790575112</v>
      </c>
      <c r="N112" s="1">
        <f>SUM('United Republic'!LTC)</f>
        <v>0</v>
      </c>
      <c r="O112" s="1">
        <f t="shared" si="7"/>
        <v>40667.22</v>
      </c>
      <c r="P112" s="6">
        <v>40667.22</v>
      </c>
      <c r="Q112" s="9">
        <f t="shared" si="6"/>
        <v>0</v>
      </c>
      <c r="T112" s="6">
        <f>SUM('United Republic'!LIFE_CALLED)</f>
        <v>57000</v>
      </c>
      <c r="U112" s="1">
        <f>SUM('United Republic'!LIFE_REFUNDED)</f>
        <v>0</v>
      </c>
      <c r="W112" s="1">
        <f>SUM('United Republic'!ALLOC_CALLED)</f>
        <v>0</v>
      </c>
      <c r="X112" s="1">
        <f>SUM('United Republic'!ALLOC_REFUNDED)</f>
        <v>0</v>
      </c>
      <c r="Z112" s="1">
        <f>SUM('United Republic'!HEALTH_CALLED)</f>
        <v>0</v>
      </c>
      <c r="AA112" s="1">
        <f>SUM('United Republic'!HEALTH_REFUNDED)</f>
        <v>0</v>
      </c>
      <c r="AC112" s="1">
        <f>SUM('United Republic'!UNALLOC_CALLED)</f>
        <v>0</v>
      </c>
      <c r="AD112" s="9">
        <f>SUM('United Republic'!UNALLOC_REFUNDED)</f>
        <v>0</v>
      </c>
    </row>
    <row r="113" spans="2:30">
      <c r="B113" s="6" t="s">
        <v>663</v>
      </c>
      <c r="C113" s="1" t="s">
        <v>664</v>
      </c>
      <c r="D113" s="1" t="s">
        <v>665</v>
      </c>
      <c r="E113" s="1" t="s">
        <v>666</v>
      </c>
      <c r="F113" s="1" t="s">
        <v>667</v>
      </c>
      <c r="G113" s="1" t="s">
        <v>668</v>
      </c>
      <c r="H113" s="1" t="s">
        <v>669</v>
      </c>
      <c r="J113" s="1">
        <f>SUM(Universe!LIFE)</f>
        <v>0</v>
      </c>
      <c r="K113" s="1">
        <f>SUM(Universe!ALLOCATED)</f>
        <v>0</v>
      </c>
      <c r="L113" s="1">
        <f>SUM(Universe!HEALTH)</f>
        <v>10397891.84</v>
      </c>
      <c r="M113" s="1">
        <f>SUM(Universe!UNALLOCATED)</f>
        <v>0</v>
      </c>
      <c r="N113" s="1">
        <f>SUM(Universe!LTC)</f>
        <v>0</v>
      </c>
      <c r="O113" s="1">
        <f t="shared" si="7"/>
        <v>10397891.84</v>
      </c>
      <c r="P113" s="6">
        <v>10397891.84</v>
      </c>
      <c r="Q113" s="9">
        <f t="shared" si="6"/>
        <v>0</v>
      </c>
      <c r="T113" s="6">
        <f>SUM(Universe!LIFE_CALLED)</f>
        <v>122316</v>
      </c>
      <c r="U113" s="1">
        <f>SUM(Universe!LIFE_REFUNDED)</f>
        <v>718.197</v>
      </c>
      <c r="W113" s="1">
        <f>SUM(Universe!ALLOC_CALLED)</f>
        <v>5000</v>
      </c>
      <c r="X113" s="1">
        <f>SUM(Universe!ALLOC_REFUNDED)</f>
        <v>0</v>
      </c>
      <c r="Z113" s="1">
        <f>SUM(Universe!HEALTH_CALLED)</f>
        <v>7662381</v>
      </c>
      <c r="AA113" s="1">
        <f>SUM(Universe!HEALTH_REFUNDED)</f>
        <v>851691.65300000005</v>
      </c>
      <c r="AC113" s="1">
        <f>SUM(Universe!UNALLOC_CALLED)</f>
        <v>0</v>
      </c>
      <c r="AD113" s="9">
        <f>SUM(Universe!UNALLOC_REFUNDED)</f>
        <v>0</v>
      </c>
    </row>
    <row r="114" spans="2:30">
      <c r="B114" s="6" t="s">
        <v>670</v>
      </c>
      <c r="C114" s="1" t="s">
        <v>671</v>
      </c>
      <c r="D114" s="1" t="s">
        <v>199</v>
      </c>
      <c r="E114" s="1" t="s">
        <v>546</v>
      </c>
      <c r="F114" s="1" t="s">
        <v>547</v>
      </c>
      <c r="G114" s="1" t="s">
        <v>358</v>
      </c>
      <c r="H114" s="1" t="s">
        <v>548</v>
      </c>
      <c r="J114" s="1">
        <f>SUM(Villanova!LIFE)</f>
        <v>0</v>
      </c>
      <c r="K114" s="1">
        <f>SUM(Villanova!ALLOCATED)</f>
        <v>0</v>
      </c>
      <c r="L114" s="1">
        <f>SUM(Villanova!HEALTH)</f>
        <v>0</v>
      </c>
      <c r="M114" s="1">
        <f>SUM(Villanova!UNALLOCATED)</f>
        <v>0</v>
      </c>
      <c r="N114" s="1">
        <f>SUM(Villanova!LTC)</f>
        <v>0</v>
      </c>
      <c r="O114" s="1">
        <f t="shared" si="7"/>
        <v>0</v>
      </c>
      <c r="P114" s="6">
        <v>0</v>
      </c>
      <c r="Q114" s="9">
        <f t="shared" si="6"/>
        <v>0</v>
      </c>
      <c r="T114" s="6">
        <f>SUM(Villanova!LIFE_CALLED)</f>
        <v>0</v>
      </c>
      <c r="U114" s="1">
        <f>SUM(Villanova!LIFE_REFUNDED)</f>
        <v>170000</v>
      </c>
      <c r="W114" s="1">
        <f>SUM(Villanova!ALLOC_CALLED)</f>
        <v>0</v>
      </c>
      <c r="X114" s="1">
        <f>SUM(Villanova!ALLOC_REFUNDED)</f>
        <v>0</v>
      </c>
      <c r="Z114" s="1">
        <f>SUM(Villanova!HEALTH_CALLED)</f>
        <v>400000</v>
      </c>
      <c r="AA114" s="1">
        <f>SUM(Villanova!HEALTH_REFUNDED)</f>
        <v>0</v>
      </c>
      <c r="AC114" s="1">
        <f>SUM(Villanova!UNALLOC_CALLED)</f>
        <v>0</v>
      </c>
      <c r="AD114" s="9">
        <f>SUM(Villanova!UNALLOC_REFUNDED)</f>
        <v>0</v>
      </c>
    </row>
    <row r="115" spans="2:30" ht="6.9" customHeight="1" thickBot="1">
      <c r="B115" s="8"/>
      <c r="C115" s="5"/>
      <c r="D115" s="5"/>
      <c r="E115" s="5"/>
      <c r="F115" s="5"/>
      <c r="G115" s="5"/>
      <c r="H115" s="5"/>
      <c r="I115" s="5"/>
      <c r="J115" s="5"/>
      <c r="K115" s="5"/>
      <c r="L115" s="5"/>
      <c r="M115" s="5"/>
      <c r="N115" s="5"/>
      <c r="O115" s="5"/>
      <c r="P115" s="8"/>
      <c r="Q115" s="11"/>
      <c r="T115" s="8"/>
      <c r="U115" s="5"/>
      <c r="V115" s="5"/>
      <c r="W115" s="5"/>
      <c r="X115" s="5"/>
      <c r="Y115" s="5"/>
      <c r="Z115" s="5"/>
      <c r="AA115" s="5"/>
      <c r="AB115" s="5"/>
      <c r="AC115" s="5"/>
      <c r="AD115" s="11"/>
    </row>
    <row r="116" spans="2:30" ht="15" thickBot="1">
      <c r="B116" s="31" t="s">
        <v>672</v>
      </c>
      <c r="C116" s="30"/>
      <c r="D116" s="30"/>
      <c r="E116" s="30"/>
      <c r="F116" s="30"/>
      <c r="G116" s="30"/>
      <c r="H116" s="30"/>
      <c r="I116" s="30"/>
      <c r="J116" s="30">
        <f>SUM(EC_LIFE)</f>
        <v>288178923.38997269</v>
      </c>
      <c r="K116" s="30">
        <f>SUM(EC_ALLOCATED)</f>
        <v>760398592.16904175</v>
      </c>
      <c r="L116" s="30">
        <f>SUM(EC_HEALTH)</f>
        <v>189648878.0937382</v>
      </c>
      <c r="M116" s="30">
        <f>SUM(EC_UNALLOCATED)</f>
        <v>22452017.039440565</v>
      </c>
      <c r="N116" s="30">
        <f>SUM(EC_LTC)</f>
        <v>0</v>
      </c>
      <c r="O116" s="30">
        <f>SUM(EC_TOTAL)</f>
        <v>1260678410.692193</v>
      </c>
      <c r="P116" s="33">
        <f>SUM(EC_TOTAL_PREV)</f>
        <v>1260673345.8921931</v>
      </c>
      <c r="Q116" s="32">
        <f>SUM(EC_CHANGE)</f>
        <v>5064.8000000118045</v>
      </c>
      <c r="T116" s="33">
        <f>SUM(EC_LIFE_CALLED)</f>
        <v>913414756</v>
      </c>
      <c r="U116" s="30">
        <f>SUM(EC_LIFE_REFUNDED)</f>
        <v>320540613.17595947</v>
      </c>
      <c r="V116" s="30"/>
      <c r="W116" s="30">
        <f>SUM(EC_ALLOC_CALLED)</f>
        <v>1135645931</v>
      </c>
      <c r="X116" s="30">
        <f>SUM(EC_ALLOC_REFUNDED)</f>
        <v>269001981.73427838</v>
      </c>
      <c r="Y116" s="30"/>
      <c r="Z116" s="30">
        <f>SUM(EC_HEALTH_CALLED)</f>
        <v>390161636.5</v>
      </c>
      <c r="AA116" s="30">
        <f>SUM(EC_HEALTH_REFUNDED)</f>
        <v>112272921.93976203</v>
      </c>
      <c r="AB116" s="30"/>
      <c r="AC116" s="30">
        <f>SUM(EC_UNALLOC_CALLED)</f>
        <v>235647234</v>
      </c>
      <c r="AD116" s="32">
        <f>SUM(EC_UNALLOC_REFUNDED)</f>
        <v>98513911.999999985</v>
      </c>
    </row>
    <row r="118" spans="2:30">
      <c r="B118" s="27" t="s">
        <v>673</v>
      </c>
      <c r="C118" s="26"/>
      <c r="D118" s="26"/>
      <c r="E118" s="26"/>
      <c r="F118" s="26"/>
      <c r="G118" s="26"/>
      <c r="H118" s="26"/>
      <c r="I118" s="26"/>
      <c r="J118" s="26"/>
      <c r="K118" s="26"/>
      <c r="L118" s="26"/>
      <c r="M118" s="26"/>
      <c r="N118" s="26"/>
      <c r="O118" s="26"/>
      <c r="P118" s="29"/>
      <c r="Q118" s="28"/>
      <c r="T118" s="29"/>
      <c r="U118" s="26"/>
      <c r="V118" s="26"/>
      <c r="W118" s="26"/>
      <c r="X118" s="26"/>
      <c r="Y118" s="26"/>
      <c r="Z118" s="26"/>
      <c r="AA118" s="26"/>
      <c r="AB118" s="26"/>
      <c r="AC118" s="26"/>
      <c r="AD118" s="28"/>
    </row>
    <row r="119" spans="2:30" ht="6.9" customHeight="1">
      <c r="B119" s="6"/>
      <c r="P119" s="6"/>
      <c r="Q119" s="9"/>
      <c r="T119" s="6"/>
      <c r="AD119" s="9"/>
    </row>
    <row r="120" spans="2:30">
      <c r="B120" s="6" t="s">
        <v>674</v>
      </c>
      <c r="C120" s="1" t="s">
        <v>675</v>
      </c>
      <c r="D120" s="1" t="s">
        <v>431</v>
      </c>
      <c r="E120" s="1" t="s">
        <v>676</v>
      </c>
      <c r="J120" s="1">
        <f>SUM('American Community'!LIFE)</f>
        <v>3248.7721903966681</v>
      </c>
      <c r="K120" s="1">
        <f>SUM('American Community'!ALLOCATED)</f>
        <v>0</v>
      </c>
      <c r="L120" s="1">
        <f>SUM('American Community'!HEALTH)</f>
        <v>269964.59780960332</v>
      </c>
      <c r="M120" s="1">
        <f>SUM('American Community'!UNALLOCATED)</f>
        <v>0</v>
      </c>
      <c r="N120" s="1">
        <f>SUM('American Community'!LTC)</f>
        <v>0</v>
      </c>
      <c r="O120" s="1">
        <f t="shared" ref="O120:O127" si="8">SUM(J120:N120)</f>
        <v>273213.37</v>
      </c>
      <c r="P120" s="6">
        <v>273213.37</v>
      </c>
      <c r="Q120" s="9">
        <f t="shared" ref="Q120:Q127" si="9">+O120-P120</f>
        <v>0</v>
      </c>
      <c r="T120" s="6">
        <f>SUM('American Community'!LIFE_CALLED)</f>
        <v>0</v>
      </c>
      <c r="U120" s="1">
        <f>SUM('American Community'!LIFE_REFUNDED)</f>
        <v>0</v>
      </c>
      <c r="W120" s="1">
        <f>SUM('American Community'!ALLOC_CALLED)</f>
        <v>0</v>
      </c>
      <c r="X120" s="1">
        <f>SUM('American Community'!ALLOC_REFUNDED)</f>
        <v>0</v>
      </c>
      <c r="Z120" s="1">
        <f>SUM('American Community'!HEALTH_CALLED)</f>
        <v>0</v>
      </c>
      <c r="AA120" s="1">
        <f>SUM('American Community'!HEALTH_REFUNDED)</f>
        <v>0</v>
      </c>
      <c r="AC120" s="1">
        <f>SUM('American Community'!UNALLOC_CALLED)</f>
        <v>0</v>
      </c>
      <c r="AD120" s="9">
        <f>SUM('American Community'!UNALLOC_REFUNDED)</f>
        <v>0</v>
      </c>
    </row>
    <row r="121" spans="2:30" ht="28.8">
      <c r="B121" s="6" t="s">
        <v>677</v>
      </c>
      <c r="C121" s="1" t="s">
        <v>678</v>
      </c>
      <c r="D121" s="1" t="s">
        <v>424</v>
      </c>
      <c r="E121" s="1" t="s">
        <v>679</v>
      </c>
      <c r="G121" s="1" t="s">
        <v>680</v>
      </c>
      <c r="H121" s="1" t="s">
        <v>681</v>
      </c>
      <c r="I121" s="1" t="s">
        <v>682</v>
      </c>
      <c r="J121" s="1">
        <f>SUM('Confed Life &amp; Annty (CLIAC)'!LIFE)</f>
        <v>0</v>
      </c>
      <c r="K121" s="1">
        <f>SUM('Confed Life &amp; Annty (CLIAC)'!ALLOCATED)</f>
        <v>0</v>
      </c>
      <c r="L121" s="1">
        <f>SUM('Confed Life &amp; Annty (CLIAC)'!HEALTH)</f>
        <v>0</v>
      </c>
      <c r="M121" s="1">
        <f>SUM('Confed Life &amp; Annty (CLIAC)'!UNALLOCATED)</f>
        <v>0</v>
      </c>
      <c r="N121" s="1">
        <f>SUM('Confed Life &amp; Annty (CLIAC)'!LTC)</f>
        <v>0</v>
      </c>
      <c r="O121" s="1">
        <f t="shared" si="8"/>
        <v>0</v>
      </c>
      <c r="P121" s="6">
        <v>0</v>
      </c>
      <c r="Q121" s="9">
        <f t="shared" si="9"/>
        <v>0</v>
      </c>
      <c r="T121" s="6">
        <f>SUM('Confed Life &amp; Annty (CLIAC)'!LIFE_CALLED)</f>
        <v>0</v>
      </c>
      <c r="U121" s="1">
        <f>SUM('Confed Life &amp; Annty (CLIAC)'!LIFE_REFUNDED)</f>
        <v>0</v>
      </c>
      <c r="W121" s="1">
        <f>SUM('Confed Life &amp; Annty (CLIAC)'!ALLOC_CALLED)</f>
        <v>0</v>
      </c>
      <c r="X121" s="1">
        <f>SUM('Confed Life &amp; Annty (CLIAC)'!ALLOC_REFUNDED)</f>
        <v>0</v>
      </c>
      <c r="Z121" s="1">
        <f>SUM('Confed Life &amp; Annty (CLIAC)'!HEALTH_CALLED)</f>
        <v>0</v>
      </c>
      <c r="AA121" s="1">
        <f>SUM('Confed Life &amp; Annty (CLIAC)'!HEALTH_REFUNDED)</f>
        <v>0</v>
      </c>
      <c r="AC121" s="1">
        <f>SUM('Confed Life &amp; Annty (CLIAC)'!UNALLOC_CALLED)</f>
        <v>0</v>
      </c>
      <c r="AD121" s="9">
        <f>SUM('Confed Life &amp; Annty (CLIAC)'!UNALLOC_REFUNDED)</f>
        <v>0</v>
      </c>
    </row>
    <row r="122" spans="2:30" ht="28.8">
      <c r="B122" s="6" t="s">
        <v>683</v>
      </c>
      <c r="C122" s="1" t="s">
        <v>684</v>
      </c>
      <c r="D122" s="1" t="s">
        <v>199</v>
      </c>
      <c r="E122" s="1" t="s">
        <v>685</v>
      </c>
      <c r="F122" s="1" t="s">
        <v>686</v>
      </c>
      <c r="G122" s="1" t="s">
        <v>687</v>
      </c>
      <c r="J122" s="1">
        <f>SUM('Fidelity Mutual'!LIFE)</f>
        <v>1134134.3122653055</v>
      </c>
      <c r="K122" s="1">
        <f>SUM('Fidelity Mutual'!ALLOCATED)</f>
        <v>114162.15182068512</v>
      </c>
      <c r="L122" s="1">
        <f>SUM('Fidelity Mutual'!HEALTH)</f>
        <v>0</v>
      </c>
      <c r="M122" s="1">
        <f>SUM('Fidelity Mutual'!UNALLOCATED)</f>
        <v>28074.675914009502</v>
      </c>
      <c r="N122" s="1">
        <f>SUM('Fidelity Mutual'!LTC)</f>
        <v>0</v>
      </c>
      <c r="O122" s="1">
        <f t="shared" si="8"/>
        <v>1276371.1400000001</v>
      </c>
      <c r="P122" s="6">
        <v>1276371.1400000013</v>
      </c>
      <c r="Q122" s="9">
        <f t="shared" si="9"/>
        <v>0</v>
      </c>
      <c r="T122" s="6">
        <f>SUM('Fidelity Mutual'!LIFE_CALLED)</f>
        <v>41049</v>
      </c>
      <c r="U122" s="1">
        <f>SUM('Fidelity Mutual'!LIFE_REFUNDED)</f>
        <v>0</v>
      </c>
      <c r="W122" s="1">
        <f>SUM('Fidelity Mutual'!ALLOC_CALLED)</f>
        <v>3876</v>
      </c>
      <c r="X122" s="1">
        <f>SUM('Fidelity Mutual'!ALLOC_REFUNDED)</f>
        <v>0</v>
      </c>
      <c r="Z122" s="1">
        <f>SUM('Fidelity Mutual'!HEALTH_CALLED)</f>
        <v>0</v>
      </c>
      <c r="AA122" s="1">
        <f>SUM('Fidelity Mutual'!HEALTH_REFUNDED)</f>
        <v>0</v>
      </c>
      <c r="AC122" s="1">
        <f>SUM('Fidelity Mutual'!UNALLOC_CALLED)</f>
        <v>0</v>
      </c>
      <c r="AD122" s="9">
        <f>SUM('Fidelity Mutual'!UNALLOC_REFUNDED)</f>
        <v>0</v>
      </c>
    </row>
    <row r="123" spans="2:30">
      <c r="B123" s="6" t="s">
        <v>688</v>
      </c>
      <c r="C123" s="1" t="s">
        <v>689</v>
      </c>
      <c r="D123" s="1" t="s">
        <v>275</v>
      </c>
      <c r="E123" s="1" t="s">
        <v>690</v>
      </c>
      <c r="G123" s="1" t="s">
        <v>358</v>
      </c>
      <c r="H123" s="1" t="s">
        <v>691</v>
      </c>
      <c r="J123" s="1">
        <f>SUM('First Capital'!LIFE)</f>
        <v>43288.647479271953</v>
      </c>
      <c r="K123" s="1">
        <f>SUM('First Capital'!ALLOCATED)</f>
        <v>4041.0925207280943</v>
      </c>
      <c r="L123" s="1">
        <f>SUM('First Capital'!HEALTH)</f>
        <v>0</v>
      </c>
      <c r="M123" s="1">
        <f>SUM('First Capital'!UNALLOCATED)</f>
        <v>0</v>
      </c>
      <c r="N123" s="1">
        <f>SUM('First Capital'!LTC)</f>
        <v>0</v>
      </c>
      <c r="O123" s="1">
        <f t="shared" si="8"/>
        <v>47329.740000000049</v>
      </c>
      <c r="P123" s="6">
        <v>47329.740000000042</v>
      </c>
      <c r="Q123" s="9">
        <f t="shared" si="9"/>
        <v>0</v>
      </c>
      <c r="T123" s="6">
        <f>SUM('First Capital'!LIFE_CALLED)</f>
        <v>611924</v>
      </c>
      <c r="U123" s="1">
        <f>SUM('First Capital'!LIFE_REFUNDED)</f>
        <v>17671</v>
      </c>
      <c r="W123" s="1">
        <f>SUM('First Capital'!ALLOC_CALLED)</f>
        <v>712595</v>
      </c>
      <c r="X123" s="1">
        <f>SUM('First Capital'!ALLOC_REFUNDED)</f>
        <v>2463</v>
      </c>
      <c r="Z123" s="1">
        <f>SUM('First Capital'!HEALTH_CALLED)</f>
        <v>10</v>
      </c>
      <c r="AA123" s="1">
        <f>SUM('First Capital'!HEALTH_REFUNDED)</f>
        <v>0</v>
      </c>
      <c r="AC123" s="1">
        <f>SUM('First Capital'!UNALLOC_CALLED)</f>
        <v>0</v>
      </c>
      <c r="AD123" s="9">
        <f>SUM('First Capital'!UNALLOC_REFUNDED)</f>
        <v>0</v>
      </c>
    </row>
    <row r="124" spans="2:30" ht="28.8">
      <c r="B124" s="6" t="s">
        <v>692</v>
      </c>
      <c r="C124" s="1" t="s">
        <v>693</v>
      </c>
      <c r="D124" s="1" t="s">
        <v>382</v>
      </c>
      <c r="E124" s="1" t="s">
        <v>694</v>
      </c>
      <c r="F124" s="1" t="s">
        <v>686</v>
      </c>
      <c r="J124" s="1">
        <f>SUM(Midcontinent!LIFE)</f>
        <v>366333.17945871997</v>
      </c>
      <c r="K124" s="1">
        <f>SUM(Midcontinent!ALLOCATED)</f>
        <v>1431.9459078688583</v>
      </c>
      <c r="L124" s="1">
        <f>SUM(Midcontinent!HEALTH)</f>
        <v>405.66463341108988</v>
      </c>
      <c r="M124" s="1">
        <f>SUM(Midcontinent!UNALLOCATED)</f>
        <v>0</v>
      </c>
      <c r="N124" s="1">
        <f>SUM(Midcontinent!LTC)</f>
        <v>0</v>
      </c>
      <c r="O124" s="1">
        <f t="shared" si="8"/>
        <v>368170.78999999992</v>
      </c>
      <c r="P124" s="6">
        <v>368170.78999999992</v>
      </c>
      <c r="Q124" s="9">
        <f t="shared" si="9"/>
        <v>0</v>
      </c>
      <c r="T124" s="6">
        <f>SUM(Midcontinent!LIFE_CALLED)</f>
        <v>9571</v>
      </c>
      <c r="U124" s="1">
        <f>SUM(Midcontinent!LIFE_REFUNDED)</f>
        <v>0</v>
      </c>
      <c r="W124" s="1">
        <f>SUM(Midcontinent!ALLOC_CALLED)</f>
        <v>0</v>
      </c>
      <c r="X124" s="1">
        <f>SUM(Midcontinent!ALLOC_REFUNDED)</f>
        <v>0</v>
      </c>
      <c r="Z124" s="1">
        <f>SUM(Midcontinent!HEALTH_CALLED)</f>
        <v>0</v>
      </c>
      <c r="AA124" s="1">
        <f>SUM(Midcontinent!HEALTH_REFUNDED)</f>
        <v>0</v>
      </c>
      <c r="AC124" s="1">
        <f>SUM(Midcontinent!UNALLOC_CALLED)</f>
        <v>0</v>
      </c>
      <c r="AD124" s="9">
        <f>SUM(Midcontinent!UNALLOC_REFUNDED)</f>
        <v>0</v>
      </c>
    </row>
    <row r="125" spans="2:30">
      <c r="B125" s="6" t="s">
        <v>695</v>
      </c>
      <c r="C125" s="1" t="s">
        <v>696</v>
      </c>
      <c r="D125" s="1" t="s">
        <v>431</v>
      </c>
      <c r="E125" s="1" t="s">
        <v>697</v>
      </c>
      <c r="J125" s="1">
        <f>SUM('Pavonia Life'!LIFE)</f>
        <v>96300489.852400944</v>
      </c>
      <c r="K125" s="1">
        <f>SUM('Pavonia Life'!ALLOCATED)</f>
        <v>0</v>
      </c>
      <c r="L125" s="1">
        <f>SUM('Pavonia Life'!HEALTH)</f>
        <v>1465362.1075990763</v>
      </c>
      <c r="M125" s="1">
        <f>SUM('Pavonia Life'!UNALLOCATED)</f>
        <v>0</v>
      </c>
      <c r="N125" s="1">
        <f>SUM('Pavonia Life'!LTC)</f>
        <v>0</v>
      </c>
      <c r="O125" s="1">
        <f t="shared" si="8"/>
        <v>97765851.960000023</v>
      </c>
      <c r="P125" s="6">
        <v>97765851.959999979</v>
      </c>
      <c r="Q125" s="9">
        <f t="shared" si="9"/>
        <v>0</v>
      </c>
      <c r="T125" s="6">
        <f>SUM('Pavonia Life'!LIFE_CALLED)</f>
        <v>0</v>
      </c>
      <c r="U125" s="1">
        <f>SUM('Pavonia Life'!LIFE_REFUNDED)</f>
        <v>0</v>
      </c>
      <c r="W125" s="1">
        <f>SUM('Pavonia Life'!ALLOC_CALLED)</f>
        <v>0</v>
      </c>
      <c r="X125" s="1">
        <f>SUM('Pavonia Life'!ALLOC_REFUNDED)</f>
        <v>0</v>
      </c>
      <c r="Z125" s="1">
        <f>SUM('Pavonia Life'!HEALTH_CALLED)</f>
        <v>0</v>
      </c>
      <c r="AA125" s="1">
        <f>SUM('Pavonia Life'!HEALTH_REFUNDED)</f>
        <v>0</v>
      </c>
      <c r="AC125" s="1">
        <f>SUM('Pavonia Life'!UNALLOC_CALLED)</f>
        <v>0</v>
      </c>
      <c r="AD125" s="9">
        <f>SUM('Pavonia Life'!UNALLOC_REFUNDED)</f>
        <v>0</v>
      </c>
    </row>
    <row r="126" spans="2:30" ht="28.8">
      <c r="B126" s="6" t="s">
        <v>698</v>
      </c>
      <c r="C126" s="1" t="s">
        <v>699</v>
      </c>
      <c r="D126" s="1" t="s">
        <v>471</v>
      </c>
      <c r="E126" s="1" t="s">
        <v>700</v>
      </c>
      <c r="F126" s="1" t="s">
        <v>686</v>
      </c>
      <c r="J126" s="1">
        <f>SUM(Settlers!LIFE)</f>
        <v>101244.24722669797</v>
      </c>
      <c r="K126" s="1">
        <f>SUM(Settlers!ALLOCATED)</f>
        <v>0</v>
      </c>
      <c r="L126" s="1">
        <f>SUM(Settlers!HEALTH)</f>
        <v>26320.752773302029</v>
      </c>
      <c r="M126" s="1">
        <f>SUM(Settlers!UNALLOCATED)</f>
        <v>0</v>
      </c>
      <c r="N126" s="1">
        <f>SUM(Settlers!LTC)</f>
        <v>0</v>
      </c>
      <c r="O126" s="1">
        <f t="shared" si="8"/>
        <v>127565</v>
      </c>
      <c r="P126" s="6">
        <v>127564.99999999999</v>
      </c>
      <c r="Q126" s="9">
        <f t="shared" si="9"/>
        <v>0</v>
      </c>
      <c r="T126" s="6">
        <f>SUM(Settlers!LIFE_CALLED)</f>
        <v>97500</v>
      </c>
      <c r="U126" s="1">
        <f>SUM(Settlers!LIFE_REFUNDED)</f>
        <v>0</v>
      </c>
      <c r="W126" s="1">
        <f>SUM(Settlers!ALLOC_CALLED)</f>
        <v>0</v>
      </c>
      <c r="X126" s="1">
        <f>SUM(Settlers!ALLOC_REFUNDED)</f>
        <v>0</v>
      </c>
      <c r="Z126" s="1">
        <f>SUM(Settlers!HEALTH_CALLED)</f>
        <v>15000</v>
      </c>
      <c r="AA126" s="1">
        <f>SUM(Settlers!HEALTH_REFUNDED)</f>
        <v>0</v>
      </c>
      <c r="AC126" s="1">
        <f>SUM(Settlers!UNALLOC_CALLED)</f>
        <v>0</v>
      </c>
      <c r="AD126" s="9">
        <f>SUM(Settlers!UNALLOC_REFUNDED)</f>
        <v>0</v>
      </c>
    </row>
    <row r="127" spans="2:30" ht="28.8">
      <c r="B127" s="6" t="s">
        <v>701</v>
      </c>
      <c r="C127" s="1" t="s">
        <v>702</v>
      </c>
      <c r="D127" s="1" t="s">
        <v>471</v>
      </c>
      <c r="E127" s="1" t="s">
        <v>703</v>
      </c>
      <c r="I127" s="1" t="s">
        <v>704</v>
      </c>
      <c r="J127" s="1">
        <f>SUM(Shenandoah!LIFE)</f>
        <v>228565.34642946458</v>
      </c>
      <c r="K127" s="1">
        <f>SUM(Shenandoah!ALLOCATED)</f>
        <v>186292.59836527158</v>
      </c>
      <c r="L127" s="1">
        <f>SUM(Shenandoah!HEALTH)</f>
        <v>151601.61520526381</v>
      </c>
      <c r="M127" s="1">
        <f>SUM(Shenandoah!UNALLOCATED)</f>
        <v>0</v>
      </c>
      <c r="N127" s="1">
        <f>SUM(Shenandoah!LTC)</f>
        <v>0</v>
      </c>
      <c r="O127" s="1">
        <f t="shared" si="8"/>
        <v>566459.55999999994</v>
      </c>
      <c r="P127" s="6">
        <v>566459.56000000006</v>
      </c>
      <c r="Q127" s="9">
        <f t="shared" si="9"/>
        <v>0</v>
      </c>
      <c r="T127" s="6">
        <f>SUM(Shenandoah!LIFE_CALLED)</f>
        <v>63000</v>
      </c>
      <c r="U127" s="1">
        <f>SUM(Shenandoah!LIFE_REFUNDED)</f>
        <v>0</v>
      </c>
      <c r="W127" s="1">
        <f>SUM(Shenandoah!ALLOC_CALLED)</f>
        <v>40500</v>
      </c>
      <c r="X127" s="1">
        <f>SUM(Shenandoah!ALLOC_REFUNDED)</f>
        <v>0</v>
      </c>
      <c r="Z127" s="1">
        <f>SUM(Shenandoah!HEALTH_CALLED)</f>
        <v>46500</v>
      </c>
      <c r="AA127" s="1">
        <f>SUM(Shenandoah!HEALTH_REFUNDED)</f>
        <v>0</v>
      </c>
      <c r="AC127" s="1">
        <f>SUM(Shenandoah!UNALLOC_CALLED)</f>
        <v>0</v>
      </c>
      <c r="AD127" s="9">
        <f>SUM(Shenandoah!UNALLOC_REFUNDED)</f>
        <v>0</v>
      </c>
    </row>
    <row r="128" spans="2:30" ht="6.9" customHeight="1" thickBot="1">
      <c r="B128" s="8"/>
      <c r="C128" s="5"/>
      <c r="D128" s="5"/>
      <c r="E128" s="5"/>
      <c r="F128" s="5"/>
      <c r="G128" s="5"/>
      <c r="H128" s="5"/>
      <c r="I128" s="5"/>
      <c r="J128" s="5"/>
      <c r="K128" s="5"/>
      <c r="L128" s="5"/>
      <c r="M128" s="5"/>
      <c r="N128" s="5"/>
      <c r="O128" s="5"/>
      <c r="P128" s="8"/>
      <c r="Q128" s="11"/>
      <c r="T128" s="8"/>
      <c r="U128" s="5"/>
      <c r="V128" s="5"/>
      <c r="W128" s="5"/>
      <c r="X128" s="5"/>
      <c r="Y128" s="5"/>
      <c r="Z128" s="5"/>
      <c r="AA128" s="5"/>
      <c r="AB128" s="5"/>
      <c r="AC128" s="5"/>
      <c r="AD128" s="11"/>
    </row>
    <row r="129" spans="2:30" ht="15" thickBot="1">
      <c r="B129" s="31" t="s">
        <v>705</v>
      </c>
      <c r="C129" s="30"/>
      <c r="D129" s="30"/>
      <c r="E129" s="30"/>
      <c r="F129" s="30"/>
      <c r="G129" s="30"/>
      <c r="H129" s="30"/>
      <c r="I129" s="30"/>
      <c r="J129" s="30">
        <f>SUM(RE_LIFE)</f>
        <v>98177304.357450798</v>
      </c>
      <c r="K129" s="30">
        <f>SUM(RE_ALLOCATED)</f>
        <v>305927.78861455363</v>
      </c>
      <c r="L129" s="30">
        <f>SUM(RE_HEALTH)</f>
        <v>1913654.7380206566</v>
      </c>
      <c r="M129" s="30">
        <f>SUM(RE_UNALLOCATED)</f>
        <v>28074.675914009502</v>
      </c>
      <c r="N129" s="30">
        <f>SUM(RE_LTC)</f>
        <v>0</v>
      </c>
      <c r="O129" s="30">
        <f>SUM(RE_TOTAL)</f>
        <v>100424961.56000003</v>
      </c>
      <c r="P129" s="33">
        <f>SUM(RE_TOTAL_PREV)</f>
        <v>100424961.55999999</v>
      </c>
      <c r="Q129" s="32">
        <f>SUM(RE_CHANGE)</f>
        <v>0</v>
      </c>
      <c r="T129" s="33">
        <f>SUM(RE_LIFE_CALLED)</f>
        <v>823044</v>
      </c>
      <c r="U129" s="30">
        <f>SUM(RE_LIFE_REFUNDED)</f>
        <v>17671</v>
      </c>
      <c r="V129" s="30"/>
      <c r="W129" s="30">
        <f>SUM(RE_ALLOC_CALLED)</f>
        <v>756971</v>
      </c>
      <c r="X129" s="30">
        <f>SUM(RE_ALLOC_REFUNDED)</f>
        <v>2463</v>
      </c>
      <c r="Y129" s="30"/>
      <c r="Z129" s="30">
        <f>SUM(RE_HEALTH_CALLED)</f>
        <v>61510</v>
      </c>
      <c r="AA129" s="30">
        <f>SUM(RE_HEALTH_REFUNDED)</f>
        <v>0</v>
      </c>
      <c r="AB129" s="30"/>
      <c r="AC129" s="30">
        <f>SUM(RE_UNALLOC_CALLED)</f>
        <v>0</v>
      </c>
      <c r="AD129" s="32">
        <f>SUM(RE_UNALLOC_REFUNDED)</f>
        <v>0</v>
      </c>
    </row>
    <row r="131" spans="2:30" ht="15" thickBot="1">
      <c r="B131" s="31" t="s">
        <v>706</v>
      </c>
      <c r="C131" s="30"/>
      <c r="D131" s="30"/>
      <c r="E131" s="30"/>
      <c r="F131" s="30"/>
      <c r="G131" s="30"/>
      <c r="H131" s="30"/>
      <c r="I131" s="30"/>
      <c r="J131" s="30">
        <f>SUM(PL_LIFE)+SUM(OP_LIFE)+SUM(CL_LIFE)+SUM(EC_LIFE)+SUM(RE_LIFE)</f>
        <v>2168143774.1424904</v>
      </c>
      <c r="K131" s="30">
        <f>SUM(PL_ALLOCATED)+SUM(OP_ALLOCATED)+SUM(CL_ALLOCATED)+SUM(EC_ALLOCATED)+SUM(RE_ALLOCATED)</f>
        <v>4414370176.9198399</v>
      </c>
      <c r="L131" s="30">
        <f>SUM(PL_HEALTH)+SUM(OP_HEALTH)+SUM(CL_HEALTH)+SUM(EC_HEALTH)+SUM(RE_HEALTH)</f>
        <v>3366486237.783422</v>
      </c>
      <c r="M131" s="30">
        <f>SUM(PL_UNALLOCATED)+SUM(OP_UNALLOCATED)+SUM(CL_UNALLOCATED)+SUM(EC_UNALLOCATED)+SUM(RE_UNALLOCATED)</f>
        <v>54364054.452415489</v>
      </c>
      <c r="N131" s="30">
        <f>SUM(PL_LTC)+SUM(OP_LTC)+SUM(CL_LTC)+SUM(EC_LTC)+SUM(RE_LTC)</f>
        <v>14439205.889089957</v>
      </c>
      <c r="O131" s="30">
        <f>SUM(PL_TOTAL)+SUM(OP_TOTAL)+SUM(CL_TOTAL)+SUM(EC_TOTAL)+SUM(RE_TOTAL)</f>
        <v>10017803449.187258</v>
      </c>
      <c r="P131" s="33">
        <f>SUM(PL_TOTAL_PREV)+SUM(OP_TOTAL_PREV)+SUM(CL_TOTAL_PREV)+SUM(EC_TOTAL_PREV)+SUM(RE_TOTAL_PREV)</f>
        <v>10221360532.472841</v>
      </c>
      <c r="Q131" s="32">
        <f>SUM(PL_CHANGE)+SUM(OP_CHANGE)+SUM(CL_CHANGE)+SUM(EC_CHANGE)+SUM(RE_CHANGE)</f>
        <v>-203557083.28558353</v>
      </c>
      <c r="T131" s="33">
        <f>SUM(PL_LIFE_CALLED)+SUM(OP_LIFE_CALLED)+SUM(CL_LIFE_CALLED)+SUM(EC_LIFE_CALLED)+SUM(RE_LIFE_CALLED)</f>
        <v>3109736376</v>
      </c>
      <c r="U131" s="30">
        <f>SUM(PL_LIFE_REFUNDED)+SUM(OP_LIFE_REFUNDED)+SUM(CL_LIFE_REFUNDED)+SUM(EC_LIFE_REFUNDED)+SUM(RE_LIFE_REFUNDED)</f>
        <v>329083058.17595947</v>
      </c>
      <c r="V131" s="30"/>
      <c r="W131" s="30">
        <f>SUM(PL_ALLOC_CALLED)+SUM(OP_ALLOC_CALLED)+SUM(CL_ALLOC_CALLED)+SUM(EC_ALLOC_CALLED)+SUM(RE_ALLOC_CALLED)</f>
        <v>4206988864</v>
      </c>
      <c r="X131" s="30">
        <f>SUM(PL_ALLOC_REFUNDED)+SUM(OP_ALLOC_REFUNDED)+SUM(CL_ALLOC_REFUNDED)+SUM(EC_ALLOC_REFUNDED)+SUM(RE_ALLOC_REFUNDED)</f>
        <v>336212680.18427837</v>
      </c>
      <c r="Y131" s="30"/>
      <c r="Z131" s="30">
        <f>SUM(PL_HEALTH_CALLED)+SUM(OP_HEALTH_CALLED)+SUM(CL_HEALTH_CALLED)+SUM(EC_HEALTH_CALLED)+SUM(RE_HEALTH_CALLED)</f>
        <v>3263197630.5</v>
      </c>
      <c r="AA131" s="30">
        <f>SUM(PL_HEALTH_REFUNDED)+SUM(OP_HEALTH_REFUNDED)+SUM(CL_HEALTH_REFUNDED)+SUM(EC_HEALTH_REFUNDED)+SUM(RE_HEALTH_REFUNDED)</f>
        <v>221292523.93976203</v>
      </c>
      <c r="AB131" s="30"/>
      <c r="AC131" s="30">
        <f>SUM(PL_UNALLOC_CALLED)+SUM(OP_UNALLOC_CALLED)+SUM(CL_UNALLOC_CALLED)+SUM(EC_UNALLOC_CALLED)+SUM(RE_UNALLOC_CALLED)</f>
        <v>278013015</v>
      </c>
      <c r="AD131" s="32">
        <f>SUM(PL_UNALLOC_REFUNDED)+SUM(OP_UNALLOC_REFUNDED)+SUM(CL_UNALLOC_REFUNDED)+SUM(EC_UNALLOC_REFUNDED)+SUM(RE_UNALLOC_REFUNDED)</f>
        <v>121683438.81999999</v>
      </c>
    </row>
  </sheetData>
  <mergeCells count="7">
    <mergeCell ref="B2:Q2"/>
    <mergeCell ref="T2:AD2"/>
    <mergeCell ref="T3:U3"/>
    <mergeCell ref="W3:X3"/>
    <mergeCell ref="Z3:AA3"/>
    <mergeCell ref="AC3:AD3"/>
    <mergeCell ref="L3:O3"/>
  </mergeCells>
  <pageMargins left="0" right="0" top="0" bottom="0" header="0" footer="0"/>
  <pageSetup paperSize="5" scale="44" fitToHeight="0" orientation="landscape" r:id="rId1"/>
  <rowBreaks count="1" manualBreakCount="1">
    <brk id="5" max="30" man="1"/>
  </rowBreaks>
  <colBreaks count="1" manualBreakCount="1">
    <brk id="7" min="5" max="131" man="1"/>
  </colBreaks>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pageSetUpPr fitToPage="1"/>
  </sheetPr>
  <dimension ref="A1:L61"/>
  <sheetViews>
    <sheetView zoomScale="75" workbookViewId="0">
      <selection sqref="A1:G1"/>
    </sheetView>
  </sheetViews>
  <sheetFormatPr defaultColWidth="9.109375" defaultRowHeight="14.4"/>
  <cols>
    <col min="1" max="1" width="20" style="1" customWidth="1"/>
    <col min="2" max="8" width="15" style="1" customWidth="1"/>
    <col min="9" max="9" width="5" style="1" customWidth="1"/>
    <col min="10" max="10" width="9.109375" style="1" customWidth="1"/>
    <col min="11" max="11" width="40" style="1" customWidth="1"/>
    <col min="12" max="12" width="15" style="1" customWidth="1"/>
    <col min="13" max="13" width="9.109375" style="1" customWidth="1"/>
    <col min="14" max="16384" width="9.109375" style="1"/>
  </cols>
  <sheetData>
    <row r="1" spans="1:12">
      <c r="A1" s="100" t="s">
        <v>707</v>
      </c>
      <c r="B1" s="100"/>
      <c r="C1" s="100"/>
      <c r="D1" s="100"/>
      <c r="E1" s="100"/>
      <c r="F1" s="100"/>
      <c r="G1" s="100"/>
    </row>
    <row r="3" spans="1:12">
      <c r="B3" s="3"/>
      <c r="C3" s="3" t="s">
        <v>708</v>
      </c>
      <c r="D3" s="3"/>
      <c r="E3" s="3" t="s">
        <v>709</v>
      </c>
      <c r="F3" s="3"/>
      <c r="G3" s="3"/>
    </row>
    <row r="4" spans="1:12">
      <c r="B4" s="3" t="s">
        <v>3</v>
      </c>
      <c r="C4" s="3" t="s">
        <v>710</v>
      </c>
      <c r="D4" s="3" t="s">
        <v>5</v>
      </c>
      <c r="E4" s="3" t="s">
        <v>710</v>
      </c>
      <c r="F4" s="3" t="s">
        <v>7</v>
      </c>
      <c r="G4" s="3" t="s">
        <v>8</v>
      </c>
    </row>
    <row r="6" spans="1:12">
      <c r="A6" s="1" t="s">
        <v>11</v>
      </c>
      <c r="B6" s="1">
        <f>+'Monarch Life'!B6</f>
        <v>716.85757678409254</v>
      </c>
      <c r="C6" s="1">
        <f>+'Monarch Life'!C6</f>
        <v>712.41637412866589</v>
      </c>
      <c r="D6" s="1">
        <f>+'Monarch Life'!D6</f>
        <v>278.153237583595</v>
      </c>
      <c r="E6" s="1">
        <f>+'Monarch Life'!E6</f>
        <v>0</v>
      </c>
      <c r="F6" s="1">
        <f>+'Monarch Life'!F6</f>
        <v>0</v>
      </c>
      <c r="G6" s="1">
        <f t="shared" ref="G6:G37" si="0">SUM(B6:F6)</f>
        <v>1707.4271884963534</v>
      </c>
      <c r="H6" s="1">
        <f>+'Monarch Life'!G6</f>
        <v>1707.4271884963534</v>
      </c>
      <c r="I6" s="1">
        <f t="shared" ref="I6:I37" si="1">G6-H6</f>
        <v>0</v>
      </c>
      <c r="K6" s="1" t="s">
        <v>191</v>
      </c>
      <c r="L6" s="1">
        <f>Summary!TOTAL_66265</f>
        <v>510037.1399999999</v>
      </c>
    </row>
    <row r="7" spans="1:12">
      <c r="A7" s="1" t="s">
        <v>12</v>
      </c>
      <c r="B7" s="1">
        <f>+'Monarch Life'!B7</f>
        <v>614.19234833766143</v>
      </c>
      <c r="C7" s="1">
        <f>+'Monarch Life'!C7</f>
        <v>2.6652368420856729</v>
      </c>
      <c r="D7" s="1">
        <f>+'Monarch Life'!D7</f>
        <v>76.815677703275156</v>
      </c>
      <c r="E7" s="1">
        <f>+'Monarch Life'!E7</f>
        <v>0</v>
      </c>
      <c r="F7" s="1">
        <f>+'Monarch Life'!F7</f>
        <v>0</v>
      </c>
      <c r="G7" s="1">
        <f t="shared" si="0"/>
        <v>693.67326288302218</v>
      </c>
      <c r="H7" s="1">
        <f>+'Monarch Life'!G7</f>
        <v>693.67326288302218</v>
      </c>
      <c r="I7" s="1">
        <f t="shared" si="1"/>
        <v>0</v>
      </c>
    </row>
    <row r="8" spans="1:12">
      <c r="A8" s="1" t="s">
        <v>13</v>
      </c>
      <c r="B8" s="1">
        <f>+'Monarch Life'!B8</f>
        <v>4518.7443822261394</v>
      </c>
      <c r="C8" s="1">
        <f>+'Monarch Life'!C8</f>
        <v>2000.3773726108168</v>
      </c>
      <c r="D8" s="1">
        <f>+'Monarch Life'!D8</f>
        <v>2079.4538195001646</v>
      </c>
      <c r="E8" s="1">
        <f>+'Monarch Life'!E8</f>
        <v>0</v>
      </c>
      <c r="F8" s="1">
        <f>+'Monarch Life'!F8</f>
        <v>0</v>
      </c>
      <c r="G8" s="1">
        <f t="shared" si="0"/>
        <v>8598.575574337121</v>
      </c>
      <c r="H8" s="1">
        <f>+'Monarch Life'!G8</f>
        <v>8598.575574337121</v>
      </c>
      <c r="I8" s="1">
        <f t="shared" si="1"/>
        <v>0</v>
      </c>
      <c r="K8" s="1" t="s">
        <v>8</v>
      </c>
      <c r="L8" s="1">
        <f>SUM(REC_TOTAL)</f>
        <v>510037.1399999999</v>
      </c>
    </row>
    <row r="9" spans="1:12">
      <c r="A9" s="1" t="s">
        <v>15</v>
      </c>
      <c r="B9" s="1">
        <f>+'Monarch Life'!B9</f>
        <v>829.13334191259196</v>
      </c>
      <c r="C9" s="1">
        <f>+'Monarch Life'!C9</f>
        <v>314.78659604115273</v>
      </c>
      <c r="D9" s="1">
        <f>+'Monarch Life'!D9</f>
        <v>400.98951466715789</v>
      </c>
      <c r="E9" s="1">
        <f>+'Monarch Life'!E9</f>
        <v>0</v>
      </c>
      <c r="F9" s="1">
        <f>+'Monarch Life'!F9</f>
        <v>0</v>
      </c>
      <c r="G9" s="1">
        <f t="shared" si="0"/>
        <v>1544.9094526209026</v>
      </c>
      <c r="H9" s="1">
        <f>+'Monarch Life'!G9</f>
        <v>1544.9094526209026</v>
      </c>
      <c r="I9" s="1">
        <f t="shared" si="1"/>
        <v>0</v>
      </c>
      <c r="K9" s="1" t="s">
        <v>711</v>
      </c>
      <c r="L9" s="1">
        <f>SUM(TOTAL)</f>
        <v>510037.13999999984</v>
      </c>
    </row>
    <row r="10" spans="1:12">
      <c r="A10" s="1" t="s">
        <v>16</v>
      </c>
      <c r="B10" s="1">
        <f>+'Monarch Life'!B10</f>
        <v>23883.763473535946</v>
      </c>
      <c r="C10" s="1">
        <f>+'Monarch Life'!C10</f>
        <v>4014.352235427657</v>
      </c>
      <c r="D10" s="1">
        <f>+'Monarch Life'!D10</f>
        <v>23026.420442887309</v>
      </c>
      <c r="E10" s="1">
        <f>+'Monarch Life'!E10</f>
        <v>0</v>
      </c>
      <c r="F10" s="1">
        <f>+'Monarch Life'!F10</f>
        <v>0</v>
      </c>
      <c r="G10" s="1">
        <f t="shared" si="0"/>
        <v>50924.536151850916</v>
      </c>
      <c r="H10" s="1">
        <f>+'Monarch Life'!G10</f>
        <v>50924.536151850916</v>
      </c>
      <c r="I10" s="1">
        <f t="shared" si="1"/>
        <v>0</v>
      </c>
      <c r="L10" s="1">
        <f>SUM(TOTAL)-SUM(REC_TOTAL)</f>
        <v>0</v>
      </c>
    </row>
    <row r="11" spans="1:12">
      <c r="A11" s="1" t="s">
        <v>18</v>
      </c>
      <c r="B11" s="1">
        <f>+'Monarch Life'!B11</f>
        <v>4521.9305862352239</v>
      </c>
      <c r="C11" s="1">
        <f>+'Monarch Life'!C11</f>
        <v>1090.1352740976226</v>
      </c>
      <c r="D11" s="1">
        <f>+'Monarch Life'!D11</f>
        <v>2622.826731892746</v>
      </c>
      <c r="E11" s="1">
        <f>+'Monarch Life'!E11</f>
        <v>0</v>
      </c>
      <c r="F11" s="1">
        <f>+'Monarch Life'!F11</f>
        <v>0</v>
      </c>
      <c r="G11" s="1">
        <f t="shared" si="0"/>
        <v>8234.892592225593</v>
      </c>
      <c r="H11" s="1">
        <f>+'Monarch Life'!G11</f>
        <v>8234.892592225593</v>
      </c>
      <c r="I11" s="1">
        <f t="shared" si="1"/>
        <v>0</v>
      </c>
    </row>
    <row r="12" spans="1:12">
      <c r="A12" s="1" t="s">
        <v>19</v>
      </c>
      <c r="B12" s="1">
        <f>+'Monarch Life'!B12</f>
        <v>5583.9690469360812</v>
      </c>
      <c r="C12" s="1">
        <f>+'Monarch Life'!C12</f>
        <v>1580.1623546498879</v>
      </c>
      <c r="D12" s="1">
        <f>+'Monarch Life'!D12</f>
        <v>6715.2796268991888</v>
      </c>
      <c r="E12" s="1">
        <f>+'Monarch Life'!E12</f>
        <v>0</v>
      </c>
      <c r="F12" s="1">
        <f>+'Monarch Life'!F12</f>
        <v>0</v>
      </c>
      <c r="G12" s="1">
        <f t="shared" si="0"/>
        <v>13879.411028485158</v>
      </c>
      <c r="H12" s="1">
        <f>+'Monarch Life'!G12</f>
        <v>13879.411028485158</v>
      </c>
      <c r="I12" s="1">
        <f t="shared" si="1"/>
        <v>0</v>
      </c>
    </row>
    <row r="13" spans="1:12">
      <c r="A13" s="1" t="s">
        <v>21</v>
      </c>
      <c r="B13" s="1">
        <f>+'Monarch Life'!B13</f>
        <v>383.91796300817265</v>
      </c>
      <c r="C13" s="1">
        <f>+'Monarch Life'!C13</f>
        <v>153.75012122624136</v>
      </c>
      <c r="D13" s="1">
        <f>+'Monarch Life'!D13</f>
        <v>337.35118880231272</v>
      </c>
      <c r="E13" s="1">
        <f>+'Monarch Life'!E13</f>
        <v>0</v>
      </c>
      <c r="F13" s="1">
        <f>+'Monarch Life'!F13</f>
        <v>0</v>
      </c>
      <c r="G13" s="1">
        <f t="shared" si="0"/>
        <v>875.01927303672664</v>
      </c>
      <c r="H13" s="1">
        <f>+'Monarch Life'!G13</f>
        <v>875.01927303672664</v>
      </c>
      <c r="I13" s="1">
        <f t="shared" si="1"/>
        <v>0</v>
      </c>
    </row>
    <row r="14" spans="1:12">
      <c r="A14" s="1" t="s">
        <v>23</v>
      </c>
      <c r="B14" s="1">
        <f>+'Monarch Life'!B14</f>
        <v>671.32080736114619</v>
      </c>
      <c r="C14" s="1">
        <f>+'Monarch Life'!C14</f>
        <v>146.81545525405431</v>
      </c>
      <c r="D14" s="1">
        <f>+'Monarch Life'!D14</f>
        <v>543.44525624376058</v>
      </c>
      <c r="E14" s="1">
        <f>+'Monarch Life'!E14</f>
        <v>0</v>
      </c>
      <c r="F14" s="1">
        <f>+'Monarch Life'!F14</f>
        <v>0</v>
      </c>
      <c r="G14" s="1">
        <f t="shared" si="0"/>
        <v>1361.5815188589611</v>
      </c>
      <c r="H14" s="1">
        <f>+'Monarch Life'!G14</f>
        <v>1361.5815188589611</v>
      </c>
      <c r="I14" s="1">
        <f t="shared" si="1"/>
        <v>0</v>
      </c>
    </row>
    <row r="15" spans="1:12">
      <c r="A15" s="1" t="s">
        <v>25</v>
      </c>
      <c r="B15" s="1">
        <f>+'Monarch Life'!B15</f>
        <v>14566.853465609074</v>
      </c>
      <c r="C15" s="1">
        <f>+'Monarch Life'!C15</f>
        <v>5962.8901926315448</v>
      </c>
      <c r="D15" s="1">
        <f>+'Monarch Life'!D15</f>
        <v>9471.6249614500994</v>
      </c>
      <c r="E15" s="1">
        <f>+'Monarch Life'!E15</f>
        <v>0</v>
      </c>
      <c r="F15" s="1">
        <f>+'Monarch Life'!F15</f>
        <v>0</v>
      </c>
      <c r="G15" s="1">
        <f t="shared" si="0"/>
        <v>30001.368619690718</v>
      </c>
      <c r="H15" s="1">
        <f>+'Monarch Life'!G15</f>
        <v>30001.368619690718</v>
      </c>
      <c r="I15" s="1">
        <f t="shared" si="1"/>
        <v>0</v>
      </c>
    </row>
    <row r="16" spans="1:12">
      <c r="A16" s="1" t="s">
        <v>27</v>
      </c>
      <c r="B16" s="1">
        <f>+'Monarch Life'!B16</f>
        <v>1895.6418554509248</v>
      </c>
      <c r="C16" s="1">
        <f>+'Monarch Life'!C16</f>
        <v>1776.5641991231032</v>
      </c>
      <c r="D16" s="1">
        <f>+'Monarch Life'!D16</f>
        <v>1307.3770111219535</v>
      </c>
      <c r="E16" s="1">
        <f>+'Monarch Life'!E16</f>
        <v>0</v>
      </c>
      <c r="F16" s="1">
        <f>+'Monarch Life'!F16</f>
        <v>0</v>
      </c>
      <c r="G16" s="1">
        <f t="shared" si="0"/>
        <v>4979.5830656959815</v>
      </c>
      <c r="H16" s="1">
        <f>+'Monarch Life'!G16</f>
        <v>4979.5830656959815</v>
      </c>
      <c r="I16" s="1">
        <f t="shared" si="1"/>
        <v>0</v>
      </c>
    </row>
    <row r="17" spans="1:9">
      <c r="A17" s="1" t="s">
        <v>29</v>
      </c>
      <c r="B17" s="1">
        <f>+'Monarch Life'!B17</f>
        <v>1388.6676065905997</v>
      </c>
      <c r="C17" s="1">
        <f>+'Monarch Life'!C17</f>
        <v>209.24930700136284</v>
      </c>
      <c r="D17" s="1">
        <f>+'Monarch Life'!D17</f>
        <v>220.49799696567447</v>
      </c>
      <c r="E17" s="1">
        <f>+'Monarch Life'!E17</f>
        <v>0</v>
      </c>
      <c r="F17" s="1">
        <f>+'Monarch Life'!F17</f>
        <v>0</v>
      </c>
      <c r="G17" s="1">
        <f t="shared" si="0"/>
        <v>1818.4149105576371</v>
      </c>
      <c r="H17" s="1">
        <f>+'Monarch Life'!G17</f>
        <v>1818.4149105576371</v>
      </c>
      <c r="I17" s="1">
        <f t="shared" si="1"/>
        <v>0</v>
      </c>
    </row>
    <row r="18" spans="1:9">
      <c r="A18" s="1" t="s">
        <v>30</v>
      </c>
      <c r="B18" s="1">
        <f>+'Monarch Life'!B18</f>
        <v>521.05674832049124</v>
      </c>
      <c r="C18" s="1">
        <f>+'Monarch Life'!C18</f>
        <v>0.55641094367877197</v>
      </c>
      <c r="D18" s="1">
        <f>+'Monarch Life'!D18</f>
        <v>129.44874604175246</v>
      </c>
      <c r="E18" s="1">
        <f>+'Monarch Life'!E18</f>
        <v>0</v>
      </c>
      <c r="F18" s="1">
        <f>+'Monarch Life'!F18</f>
        <v>0</v>
      </c>
      <c r="G18" s="1">
        <f t="shared" si="0"/>
        <v>651.06190530592244</v>
      </c>
      <c r="H18" s="1">
        <f>+'Monarch Life'!G18</f>
        <v>651.06190530592244</v>
      </c>
      <c r="I18" s="1">
        <f t="shared" si="1"/>
        <v>0</v>
      </c>
    </row>
    <row r="19" spans="1:9">
      <c r="A19" s="1" t="s">
        <v>32</v>
      </c>
      <c r="B19" s="1">
        <f>+'Monarch Life'!B19</f>
        <v>7363.2739786566799</v>
      </c>
      <c r="C19" s="1">
        <f>+'Monarch Life'!C19</f>
        <v>2761.7794534840332</v>
      </c>
      <c r="D19" s="1">
        <f>+'Monarch Life'!D19</f>
        <v>6102.9370721055375</v>
      </c>
      <c r="E19" s="1">
        <f>+'Monarch Life'!E19</f>
        <v>0</v>
      </c>
      <c r="F19" s="1">
        <f>+'Monarch Life'!F19</f>
        <v>0</v>
      </c>
      <c r="G19" s="1">
        <f t="shared" si="0"/>
        <v>16227.990504246252</v>
      </c>
      <c r="H19" s="1">
        <f>+'Monarch Life'!G19</f>
        <v>16227.990504246252</v>
      </c>
      <c r="I19" s="1">
        <f t="shared" si="1"/>
        <v>0</v>
      </c>
    </row>
    <row r="20" spans="1:9">
      <c r="A20" s="1" t="s">
        <v>34</v>
      </c>
      <c r="B20" s="1">
        <f>+'Monarch Life'!B20</f>
        <v>2353.927933405193</v>
      </c>
      <c r="C20" s="1">
        <f>+'Monarch Life'!C20</f>
        <v>968.4202807223802</v>
      </c>
      <c r="D20" s="1">
        <f>+'Monarch Life'!D20</f>
        <v>1906.9572262062966</v>
      </c>
      <c r="E20" s="1">
        <f>+'Monarch Life'!E20</f>
        <v>0</v>
      </c>
      <c r="F20" s="1">
        <f>+'Monarch Life'!F20</f>
        <v>0</v>
      </c>
      <c r="G20" s="1">
        <f t="shared" si="0"/>
        <v>5229.3054403338701</v>
      </c>
      <c r="H20" s="1">
        <f>+'Monarch Life'!G20</f>
        <v>5229.3054403338701</v>
      </c>
      <c r="I20" s="1">
        <f t="shared" si="1"/>
        <v>0</v>
      </c>
    </row>
    <row r="21" spans="1:9">
      <c r="A21" s="1" t="s">
        <v>36</v>
      </c>
      <c r="B21" s="1">
        <f>+'Monarch Life'!B21</f>
        <v>3139.1115154991403</v>
      </c>
      <c r="C21" s="1">
        <f>+'Monarch Life'!C21</f>
        <v>1001.3569817393825</v>
      </c>
      <c r="D21" s="1">
        <f>+'Monarch Life'!D21</f>
        <v>1870.7058065449257</v>
      </c>
      <c r="E21" s="1">
        <f>+'Monarch Life'!E21</f>
        <v>0</v>
      </c>
      <c r="F21" s="1">
        <f>+'Monarch Life'!F21</f>
        <v>0</v>
      </c>
      <c r="G21" s="1">
        <f t="shared" si="0"/>
        <v>6011.1743037834485</v>
      </c>
      <c r="H21" s="1">
        <f>+'Monarch Life'!G21</f>
        <v>6011.1743037834485</v>
      </c>
      <c r="I21" s="1">
        <f t="shared" si="1"/>
        <v>0</v>
      </c>
    </row>
    <row r="22" spans="1:9">
      <c r="A22" s="1" t="s">
        <v>38</v>
      </c>
      <c r="B22" s="1">
        <f>+'Monarch Life'!B22</f>
        <v>2913.3905262885833</v>
      </c>
      <c r="C22" s="1">
        <f>+'Monarch Life'!C22</f>
        <v>970.02712226240965</v>
      </c>
      <c r="D22" s="1">
        <f>+'Monarch Life'!D22</f>
        <v>4392.1043776434626</v>
      </c>
      <c r="E22" s="1">
        <f>+'Monarch Life'!E22</f>
        <v>0</v>
      </c>
      <c r="F22" s="1">
        <f>+'Monarch Life'!F22</f>
        <v>0</v>
      </c>
      <c r="G22" s="1">
        <f t="shared" si="0"/>
        <v>8275.522026194456</v>
      </c>
      <c r="H22" s="1">
        <f>+'Monarch Life'!G22</f>
        <v>8275.522026194456</v>
      </c>
      <c r="I22" s="1">
        <f t="shared" si="1"/>
        <v>0</v>
      </c>
    </row>
    <row r="23" spans="1:9">
      <c r="A23" s="1" t="s">
        <v>40</v>
      </c>
      <c r="B23" s="1">
        <f>+'Monarch Life'!B23</f>
        <v>658.70472017318787</v>
      </c>
      <c r="C23" s="1">
        <f>+'Monarch Life'!C23</f>
        <v>835.61283235898532</v>
      </c>
      <c r="D23" s="1">
        <f>+'Monarch Life'!D23</f>
        <v>1197.1347074539535</v>
      </c>
      <c r="E23" s="1">
        <f>+'Monarch Life'!E23</f>
        <v>0</v>
      </c>
      <c r="F23" s="1">
        <f>+'Monarch Life'!F23</f>
        <v>0</v>
      </c>
      <c r="G23" s="1">
        <f t="shared" si="0"/>
        <v>2691.4522599861266</v>
      </c>
      <c r="H23" s="1">
        <f>+'Monarch Life'!G23</f>
        <v>2691.4522599861266</v>
      </c>
      <c r="I23" s="1">
        <f t="shared" si="1"/>
        <v>0</v>
      </c>
    </row>
    <row r="24" spans="1:9">
      <c r="A24" s="1" t="s">
        <v>42</v>
      </c>
      <c r="B24" s="1">
        <f>+'Monarch Life'!B24</f>
        <v>0</v>
      </c>
      <c r="C24" s="1">
        <f>+'Monarch Life'!C24</f>
        <v>0</v>
      </c>
      <c r="D24" s="1">
        <f>+'Monarch Life'!D24</f>
        <v>0</v>
      </c>
      <c r="E24" s="1">
        <f>+'Monarch Life'!E24</f>
        <v>0</v>
      </c>
      <c r="F24" s="1">
        <f>+'Monarch Life'!F24</f>
        <v>0</v>
      </c>
      <c r="G24" s="1">
        <f t="shared" si="0"/>
        <v>0</v>
      </c>
      <c r="H24" s="1">
        <f>+'Monarch Life'!G24</f>
        <v>0</v>
      </c>
      <c r="I24" s="1">
        <f t="shared" si="1"/>
        <v>0</v>
      </c>
    </row>
    <row r="25" spans="1:9">
      <c r="A25" s="1" t="s">
        <v>44</v>
      </c>
      <c r="B25" s="1">
        <f>+'Monarch Life'!B25</f>
        <v>1136.691056486432</v>
      </c>
      <c r="C25" s="1">
        <f>+'Monarch Life'!C25</f>
        <v>766.36476210422688</v>
      </c>
      <c r="D25" s="1">
        <f>+'Monarch Life'!D25</f>
        <v>666.50813948887946</v>
      </c>
      <c r="E25" s="1">
        <f>+'Monarch Life'!E25</f>
        <v>0</v>
      </c>
      <c r="F25" s="1">
        <f>+'Monarch Life'!F25</f>
        <v>0</v>
      </c>
      <c r="G25" s="1">
        <f t="shared" si="0"/>
        <v>2569.5639580795382</v>
      </c>
      <c r="H25" s="1">
        <f>+'Monarch Life'!G25</f>
        <v>2569.5639580795382</v>
      </c>
      <c r="I25" s="1">
        <f t="shared" si="1"/>
        <v>0</v>
      </c>
    </row>
    <row r="26" spans="1:9">
      <c r="A26" s="1" t="s">
        <v>45</v>
      </c>
      <c r="B26" s="1">
        <f>+'Monarch Life'!B26</f>
        <v>4494.5535051173647</v>
      </c>
      <c r="C26" s="1">
        <f>+'Monarch Life'!C26</f>
        <v>1277.8759987904484</v>
      </c>
      <c r="D26" s="1">
        <f>+'Monarch Life'!D26</f>
        <v>8041.5780455055183</v>
      </c>
      <c r="E26" s="1">
        <f>+'Monarch Life'!E26</f>
        <v>0</v>
      </c>
      <c r="F26" s="1">
        <f>+'Monarch Life'!F26</f>
        <v>0</v>
      </c>
      <c r="G26" s="1">
        <f t="shared" si="0"/>
        <v>13814.007549413331</v>
      </c>
      <c r="H26" s="1">
        <f>+'Monarch Life'!G26</f>
        <v>13814.007549413331</v>
      </c>
      <c r="I26" s="1">
        <f t="shared" si="1"/>
        <v>0</v>
      </c>
    </row>
    <row r="27" spans="1:9">
      <c r="A27" s="1" t="s">
        <v>47</v>
      </c>
      <c r="B27" s="1">
        <f>+'Monarch Life'!B27</f>
        <v>9857.7795683310542</v>
      </c>
      <c r="C27" s="1">
        <f>+'Monarch Life'!C27</f>
        <v>17501.327264501575</v>
      </c>
      <c r="D27" s="1">
        <f>+'Monarch Life'!D27</f>
        <v>6997.5389159593542</v>
      </c>
      <c r="E27" s="1">
        <f>+'Monarch Life'!E27</f>
        <v>0</v>
      </c>
      <c r="F27" s="1">
        <f>+'Monarch Life'!F27</f>
        <v>0</v>
      </c>
      <c r="G27" s="1">
        <f t="shared" si="0"/>
        <v>34356.645748791983</v>
      </c>
      <c r="H27" s="1">
        <f>+'Monarch Life'!G27</f>
        <v>34356.645748791983</v>
      </c>
      <c r="I27" s="1">
        <f t="shared" si="1"/>
        <v>0</v>
      </c>
    </row>
    <row r="28" spans="1:9">
      <c r="A28" s="1" t="s">
        <v>49</v>
      </c>
      <c r="B28" s="1">
        <f>+'Monarch Life'!B28</f>
        <v>10457.470096850535</v>
      </c>
      <c r="C28" s="1">
        <f>+'Monarch Life'!C28</f>
        <v>2309.8049924249908</v>
      </c>
      <c r="D28" s="1">
        <f>+'Monarch Life'!D28</f>
        <v>8637.4998796863056</v>
      </c>
      <c r="E28" s="1">
        <f>+'Monarch Life'!E28</f>
        <v>0</v>
      </c>
      <c r="F28" s="1">
        <f>+'Monarch Life'!F28</f>
        <v>0</v>
      </c>
      <c r="G28" s="1">
        <f t="shared" si="0"/>
        <v>21404.774968961829</v>
      </c>
      <c r="H28" s="1">
        <f>+'Monarch Life'!G28</f>
        <v>21404.774968961829</v>
      </c>
      <c r="I28" s="1">
        <f t="shared" si="1"/>
        <v>0</v>
      </c>
    </row>
    <row r="29" spans="1:9">
      <c r="A29" s="1" t="s">
        <v>50</v>
      </c>
      <c r="B29" s="1">
        <f>+'Monarch Life'!B29</f>
        <v>3776.0875114241239</v>
      </c>
      <c r="C29" s="1">
        <f>+'Monarch Life'!C29</f>
        <v>1818.4939890555024</v>
      </c>
      <c r="D29" s="1">
        <f>+'Monarch Life'!D29</f>
        <v>5249.5135219902486</v>
      </c>
      <c r="E29" s="1">
        <f>+'Monarch Life'!E29</f>
        <v>0</v>
      </c>
      <c r="F29" s="1">
        <f>+'Monarch Life'!F29</f>
        <v>0</v>
      </c>
      <c r="G29" s="1">
        <f t="shared" si="0"/>
        <v>10844.095022469875</v>
      </c>
      <c r="H29" s="1">
        <f>+'Monarch Life'!G29</f>
        <v>10844.095022469875</v>
      </c>
      <c r="I29" s="1">
        <f t="shared" si="1"/>
        <v>0</v>
      </c>
    </row>
    <row r="30" spans="1:9">
      <c r="A30" s="1" t="s">
        <v>51</v>
      </c>
      <c r="B30" s="1">
        <f>+'Monarch Life'!B30</f>
        <v>298.47532124556477</v>
      </c>
      <c r="C30" s="1">
        <f>+'Monarch Life'!C30</f>
        <v>510.52113930868143</v>
      </c>
      <c r="D30" s="1">
        <f>+'Monarch Life'!D30</f>
        <v>295.92595103799653</v>
      </c>
      <c r="E30" s="1">
        <f>+'Monarch Life'!E30</f>
        <v>0</v>
      </c>
      <c r="F30" s="1">
        <f>+'Monarch Life'!F30</f>
        <v>0</v>
      </c>
      <c r="G30" s="1">
        <f t="shared" si="0"/>
        <v>1104.9224115922427</v>
      </c>
      <c r="H30" s="1">
        <f>+'Monarch Life'!G30</f>
        <v>1104.9224115922427</v>
      </c>
      <c r="I30" s="1">
        <f t="shared" si="1"/>
        <v>0</v>
      </c>
    </row>
    <row r="31" spans="1:9">
      <c r="A31" s="1" t="s">
        <v>52</v>
      </c>
      <c r="B31" s="1">
        <f>+'Monarch Life'!B31</f>
        <v>3720.541933113615</v>
      </c>
      <c r="C31" s="1">
        <f>+'Monarch Life'!C31</f>
        <v>780.1814965584698</v>
      </c>
      <c r="D31" s="1">
        <f>+'Monarch Life'!D31</f>
        <v>3168.3299724017866</v>
      </c>
      <c r="E31" s="1">
        <f>+'Monarch Life'!E31</f>
        <v>0</v>
      </c>
      <c r="F31" s="1">
        <f>+'Monarch Life'!F31</f>
        <v>0</v>
      </c>
      <c r="G31" s="1">
        <f t="shared" si="0"/>
        <v>7669.0534020738705</v>
      </c>
      <c r="H31" s="1">
        <f>+'Monarch Life'!G31</f>
        <v>7669.0534020738705</v>
      </c>
      <c r="I31" s="1">
        <f t="shared" si="1"/>
        <v>0</v>
      </c>
    </row>
    <row r="32" spans="1:9">
      <c r="A32" s="1" t="s">
        <v>53</v>
      </c>
      <c r="B32" s="1">
        <f>+'Monarch Life'!B32</f>
        <v>527.25423789615263</v>
      </c>
      <c r="C32" s="1">
        <f>+'Monarch Life'!C32</f>
        <v>239.75033886654504</v>
      </c>
      <c r="D32" s="1">
        <f>+'Monarch Life'!D32</f>
        <v>256.65896689181966</v>
      </c>
      <c r="E32" s="1">
        <f>+'Monarch Life'!E32</f>
        <v>0</v>
      </c>
      <c r="F32" s="1">
        <f>+'Monarch Life'!F32</f>
        <v>0</v>
      </c>
      <c r="G32" s="1">
        <f t="shared" si="0"/>
        <v>1023.6635436545173</v>
      </c>
      <c r="H32" s="1">
        <f>+'Monarch Life'!G32</f>
        <v>1023.6635436545173</v>
      </c>
      <c r="I32" s="1">
        <f t="shared" si="1"/>
        <v>0</v>
      </c>
    </row>
    <row r="33" spans="1:9">
      <c r="A33" s="1" t="s">
        <v>54</v>
      </c>
      <c r="B33" s="1">
        <f>+'Monarch Life'!B33</f>
        <v>1973.5387042535958</v>
      </c>
      <c r="C33" s="1">
        <f>+'Monarch Life'!C33</f>
        <v>582.80721493537726</v>
      </c>
      <c r="D33" s="1">
        <f>+'Monarch Life'!D33</f>
        <v>900.12885357671519</v>
      </c>
      <c r="E33" s="1">
        <f>+'Monarch Life'!E33</f>
        <v>0</v>
      </c>
      <c r="F33" s="1">
        <f>+'Monarch Life'!F33</f>
        <v>0</v>
      </c>
      <c r="G33" s="1">
        <f t="shared" si="0"/>
        <v>3456.4747727656886</v>
      </c>
      <c r="H33" s="1">
        <f>+'Monarch Life'!G33</f>
        <v>3456.4747727656886</v>
      </c>
      <c r="I33" s="1">
        <f t="shared" si="1"/>
        <v>0</v>
      </c>
    </row>
    <row r="34" spans="1:9">
      <c r="A34" s="1" t="s">
        <v>55</v>
      </c>
      <c r="B34" s="1">
        <f>+'Monarch Life'!B34</f>
        <v>1604.4208968434129</v>
      </c>
      <c r="C34" s="1">
        <f>+'Monarch Life'!C34</f>
        <v>456.49758240572999</v>
      </c>
      <c r="D34" s="1">
        <f>+'Monarch Life'!D34</f>
        <v>607.74165924225588</v>
      </c>
      <c r="E34" s="1">
        <f>+'Monarch Life'!E34</f>
        <v>0</v>
      </c>
      <c r="F34" s="1">
        <f>+'Monarch Life'!F34</f>
        <v>0</v>
      </c>
      <c r="G34" s="1">
        <f t="shared" si="0"/>
        <v>2668.6601384913988</v>
      </c>
      <c r="H34" s="1">
        <f>+'Monarch Life'!G34</f>
        <v>2668.6601384913988</v>
      </c>
      <c r="I34" s="1">
        <f t="shared" si="1"/>
        <v>0</v>
      </c>
    </row>
    <row r="35" spans="1:9">
      <c r="A35" s="1" t="s">
        <v>56</v>
      </c>
      <c r="B35" s="1">
        <f>+'Monarch Life'!B35</f>
        <v>1548.9440017210175</v>
      </c>
      <c r="C35" s="1">
        <f>+'Monarch Life'!C35</f>
        <v>396.61592752390476</v>
      </c>
      <c r="D35" s="1">
        <f>+'Monarch Life'!D35</f>
        <v>884.62698331780905</v>
      </c>
      <c r="E35" s="1">
        <f>+'Monarch Life'!E35</f>
        <v>0</v>
      </c>
      <c r="F35" s="1">
        <f>+'Monarch Life'!F35</f>
        <v>0</v>
      </c>
      <c r="G35" s="1">
        <f t="shared" si="0"/>
        <v>2830.1869125627313</v>
      </c>
      <c r="H35" s="1">
        <f>+'Monarch Life'!G35</f>
        <v>2830.1869125627313</v>
      </c>
      <c r="I35" s="1">
        <f t="shared" si="1"/>
        <v>0</v>
      </c>
    </row>
    <row r="36" spans="1:9">
      <c r="A36" s="1" t="s">
        <v>57</v>
      </c>
      <c r="B36" s="1">
        <f>+'Monarch Life'!B36</f>
        <v>6365.9907327746796</v>
      </c>
      <c r="C36" s="1">
        <f>+'Monarch Life'!C36</f>
        <v>4756.088166164368</v>
      </c>
      <c r="D36" s="1">
        <f>+'Monarch Life'!D36</f>
        <v>23797.433154592301</v>
      </c>
      <c r="E36" s="1">
        <f>+'Monarch Life'!E36</f>
        <v>0</v>
      </c>
      <c r="F36" s="1">
        <f>+'Monarch Life'!F36</f>
        <v>0</v>
      </c>
      <c r="G36" s="1">
        <f t="shared" si="0"/>
        <v>34919.512053531347</v>
      </c>
      <c r="H36" s="1">
        <f>+'Monarch Life'!G36</f>
        <v>34919.512053531347</v>
      </c>
      <c r="I36" s="1">
        <f t="shared" si="1"/>
        <v>0</v>
      </c>
    </row>
    <row r="37" spans="1:9">
      <c r="A37" s="1" t="s">
        <v>58</v>
      </c>
      <c r="B37" s="1">
        <f>+'Monarch Life'!B37</f>
        <v>1826.6295723365595</v>
      </c>
      <c r="C37" s="1">
        <f>+'Monarch Life'!C37</f>
        <v>354.97298805928648</v>
      </c>
      <c r="D37" s="1">
        <f>+'Monarch Life'!D37</f>
        <v>330.48561304481331</v>
      </c>
      <c r="E37" s="1">
        <f>+'Monarch Life'!E37</f>
        <v>0</v>
      </c>
      <c r="F37" s="1">
        <f>+'Monarch Life'!F37</f>
        <v>0</v>
      </c>
      <c r="G37" s="1">
        <f t="shared" si="0"/>
        <v>2512.0881734406594</v>
      </c>
      <c r="H37" s="1">
        <f>+'Monarch Life'!G37</f>
        <v>2512.0881734406594</v>
      </c>
      <c r="I37" s="1">
        <f t="shared" si="1"/>
        <v>0</v>
      </c>
    </row>
    <row r="38" spans="1:9">
      <c r="A38" s="1" t="s">
        <v>59</v>
      </c>
      <c r="B38" s="1">
        <f>+'Monarch Life'!B38</f>
        <v>26925.403090403644</v>
      </c>
      <c r="C38" s="1">
        <f>+'Monarch Life'!C38</f>
        <v>16158.977306434506</v>
      </c>
      <c r="D38" s="1">
        <f>+'Monarch Life'!D38</f>
        <v>39705.52352825056</v>
      </c>
      <c r="E38" s="1">
        <f>+'Monarch Life'!E38</f>
        <v>0</v>
      </c>
      <c r="F38" s="1">
        <f>+'Monarch Life'!F38</f>
        <v>0</v>
      </c>
      <c r="G38" s="1">
        <f t="shared" ref="G38:G58" si="2">SUM(B38:F38)</f>
        <v>82789.903925088714</v>
      </c>
      <c r="H38" s="1">
        <f>+'Monarch Life'!G38</f>
        <v>82789.903925088714</v>
      </c>
      <c r="I38" s="1">
        <f t="shared" ref="I38:I58" si="3">G38-H38</f>
        <v>0</v>
      </c>
    </row>
    <row r="39" spans="1:9">
      <c r="A39" s="1" t="s">
        <v>60</v>
      </c>
      <c r="B39" s="1">
        <f>+'Monarch Life'!B39</f>
        <v>3093.0978282277169</v>
      </c>
      <c r="C39" s="1">
        <f>+'Monarch Life'!C39</f>
        <v>1424.5005956819582</v>
      </c>
      <c r="D39" s="1">
        <f>+'Monarch Life'!D39</f>
        <v>6077.7651857264336</v>
      </c>
      <c r="E39" s="1">
        <f>+'Monarch Life'!E39</f>
        <v>0</v>
      </c>
      <c r="F39" s="1">
        <f>+'Monarch Life'!F39</f>
        <v>0</v>
      </c>
      <c r="G39" s="1">
        <f t="shared" si="2"/>
        <v>10595.363609636108</v>
      </c>
      <c r="H39" s="1">
        <f>+'Monarch Life'!G39</f>
        <v>10595.363609636108</v>
      </c>
      <c r="I39" s="1">
        <f t="shared" si="3"/>
        <v>0</v>
      </c>
    </row>
    <row r="40" spans="1:9">
      <c r="A40" s="1" t="s">
        <v>61</v>
      </c>
      <c r="B40" s="1">
        <f>+'Monarch Life'!B40</f>
        <v>106.08736032296417</v>
      </c>
      <c r="C40" s="1">
        <f>+'Monarch Life'!C40</f>
        <v>593.56342817047346</v>
      </c>
      <c r="D40" s="1">
        <f>+'Monarch Life'!D40</f>
        <v>27.715175729617304</v>
      </c>
      <c r="E40" s="1">
        <f>+'Monarch Life'!E40</f>
        <v>0</v>
      </c>
      <c r="F40" s="1">
        <f>+'Monarch Life'!F40</f>
        <v>0</v>
      </c>
      <c r="G40" s="1">
        <f t="shared" si="2"/>
        <v>727.3659642230549</v>
      </c>
      <c r="H40" s="1">
        <f>+'Monarch Life'!G40</f>
        <v>727.3659642230549</v>
      </c>
      <c r="I40" s="1">
        <f t="shared" si="3"/>
        <v>0</v>
      </c>
    </row>
    <row r="41" spans="1:9">
      <c r="A41" s="1" t="s">
        <v>62</v>
      </c>
      <c r="B41" s="1">
        <f>+'Monarch Life'!B41</f>
        <v>6789.3631624933532</v>
      </c>
      <c r="C41" s="1">
        <f>+'Monarch Life'!C41</f>
        <v>1851.70365903469</v>
      </c>
      <c r="D41" s="1">
        <f>+'Monarch Life'!D41</f>
        <v>4702.2338709289515</v>
      </c>
      <c r="E41" s="1">
        <f>+'Monarch Life'!E41</f>
        <v>0</v>
      </c>
      <c r="F41" s="1">
        <f>+'Monarch Life'!F41</f>
        <v>0</v>
      </c>
      <c r="G41" s="1">
        <f t="shared" si="2"/>
        <v>13343.300692456996</v>
      </c>
      <c r="H41" s="1">
        <f>+'Monarch Life'!G41</f>
        <v>13343.300692456996</v>
      </c>
      <c r="I41" s="1">
        <f t="shared" si="3"/>
        <v>0</v>
      </c>
    </row>
    <row r="42" spans="1:9">
      <c r="A42" s="1" t="s">
        <v>63</v>
      </c>
      <c r="B42" s="1">
        <f>+'Monarch Life'!B42</f>
        <v>1190.9563868047865</v>
      </c>
      <c r="C42" s="1">
        <f>+'Monarch Life'!C42</f>
        <v>746.81641021838982</v>
      </c>
      <c r="D42" s="1">
        <f>+'Monarch Life'!D42</f>
        <v>367.20435935669508</v>
      </c>
      <c r="E42" s="1">
        <f>+'Monarch Life'!E42</f>
        <v>0</v>
      </c>
      <c r="F42" s="1">
        <f>+'Monarch Life'!F42</f>
        <v>0</v>
      </c>
      <c r="G42" s="1">
        <f t="shared" si="2"/>
        <v>2304.9771563798713</v>
      </c>
      <c r="H42" s="1">
        <f>+'Monarch Life'!G42</f>
        <v>2304.9771563798713</v>
      </c>
      <c r="I42" s="1">
        <f t="shared" si="3"/>
        <v>0</v>
      </c>
    </row>
    <row r="43" spans="1:9">
      <c r="A43" s="1" t="s">
        <v>64</v>
      </c>
      <c r="B43" s="1">
        <f>+'Monarch Life'!B43</f>
        <v>2156.103113465389</v>
      </c>
      <c r="C43" s="1">
        <f>+'Monarch Life'!C43</f>
        <v>860.46040138871649</v>
      </c>
      <c r="D43" s="1">
        <f>+'Monarch Life'!D43</f>
        <v>1571.5896382150283</v>
      </c>
      <c r="E43" s="1">
        <f>+'Monarch Life'!E43</f>
        <v>0</v>
      </c>
      <c r="F43" s="1">
        <f>+'Monarch Life'!F43</f>
        <v>0</v>
      </c>
      <c r="G43" s="1">
        <f t="shared" si="2"/>
        <v>4588.1531530691336</v>
      </c>
      <c r="H43" s="1">
        <f>+'Monarch Life'!G43</f>
        <v>4588.1531530691336</v>
      </c>
      <c r="I43" s="1">
        <f t="shared" si="3"/>
        <v>0</v>
      </c>
    </row>
    <row r="44" spans="1:9">
      <c r="A44" s="1" t="s">
        <v>65</v>
      </c>
      <c r="B44" s="1">
        <f>+'Monarch Life'!B44</f>
        <v>12328.186156564565</v>
      </c>
      <c r="C44" s="1">
        <f>+'Monarch Life'!C44</f>
        <v>3148.8298100653569</v>
      </c>
      <c r="D44" s="1">
        <f>+'Monarch Life'!D44</f>
        <v>8353.6334988142517</v>
      </c>
      <c r="E44" s="1">
        <f>+'Monarch Life'!E44</f>
        <v>0</v>
      </c>
      <c r="F44" s="1">
        <f>+'Monarch Life'!F44</f>
        <v>0</v>
      </c>
      <c r="G44" s="1">
        <f t="shared" si="2"/>
        <v>23830.649465444174</v>
      </c>
      <c r="H44" s="1">
        <f>+'Monarch Life'!G44</f>
        <v>23830.649465444174</v>
      </c>
      <c r="I44" s="1">
        <f t="shared" si="3"/>
        <v>0</v>
      </c>
    </row>
    <row r="45" spans="1:9">
      <c r="A45" s="1" t="s">
        <v>66</v>
      </c>
      <c r="B45" s="1">
        <f>+'Monarch Life'!B45</f>
        <v>0</v>
      </c>
      <c r="C45" s="1">
        <f>+'Monarch Life'!C45</f>
        <v>0</v>
      </c>
      <c r="D45" s="1">
        <f>+'Monarch Life'!D45</f>
        <v>0</v>
      </c>
      <c r="E45" s="1">
        <f>+'Monarch Life'!E45</f>
        <v>0</v>
      </c>
      <c r="F45" s="1">
        <f>+'Monarch Life'!F45</f>
        <v>0</v>
      </c>
      <c r="G45" s="1">
        <f t="shared" si="2"/>
        <v>0</v>
      </c>
      <c r="H45" s="1">
        <f>+'Monarch Life'!G45</f>
        <v>0</v>
      </c>
      <c r="I45" s="1">
        <f t="shared" si="3"/>
        <v>0</v>
      </c>
    </row>
    <row r="46" spans="1:9">
      <c r="A46" s="1" t="s">
        <v>67</v>
      </c>
      <c r="B46" s="1">
        <f>+'Monarch Life'!B46</f>
        <v>745.60491000693912</v>
      </c>
      <c r="C46" s="1">
        <f>+'Monarch Life'!C46</f>
        <v>471.91536211676117</v>
      </c>
      <c r="D46" s="1">
        <f>+'Monarch Life'!D46</f>
        <v>1406.5465851823617</v>
      </c>
      <c r="E46" s="1">
        <f>+'Monarch Life'!E46</f>
        <v>0</v>
      </c>
      <c r="F46" s="1">
        <f>+'Monarch Life'!F46</f>
        <v>0</v>
      </c>
      <c r="G46" s="1">
        <f t="shared" si="2"/>
        <v>2624.066857306062</v>
      </c>
      <c r="H46" s="1">
        <f>+'Monarch Life'!G46</f>
        <v>2624.066857306062</v>
      </c>
      <c r="I46" s="1">
        <f t="shared" si="3"/>
        <v>0</v>
      </c>
    </row>
    <row r="47" spans="1:9">
      <c r="A47" s="1" t="s">
        <v>68</v>
      </c>
      <c r="B47" s="1">
        <f>+'Monarch Life'!B47</f>
        <v>1320.5504032556123</v>
      </c>
      <c r="C47" s="1">
        <f>+'Monarch Life'!C47</f>
        <v>951.67192843508712</v>
      </c>
      <c r="D47" s="1">
        <f>+'Monarch Life'!D47</f>
        <v>4130.3818847195971</v>
      </c>
      <c r="E47" s="1">
        <f>+'Monarch Life'!E47</f>
        <v>0</v>
      </c>
      <c r="F47" s="1">
        <f>+'Monarch Life'!F47</f>
        <v>0</v>
      </c>
      <c r="G47" s="1">
        <f t="shared" si="2"/>
        <v>6402.6042164102964</v>
      </c>
      <c r="H47" s="1">
        <f>+'Monarch Life'!G47</f>
        <v>6402.6042164102964</v>
      </c>
      <c r="I47" s="1">
        <f t="shared" si="3"/>
        <v>0</v>
      </c>
    </row>
    <row r="48" spans="1:9">
      <c r="A48" s="1" t="s">
        <v>69</v>
      </c>
      <c r="B48" s="1">
        <f>+'Monarch Life'!B48</f>
        <v>848.21420279562165</v>
      </c>
      <c r="C48" s="1">
        <f>+'Monarch Life'!C48</f>
        <v>361.34419852114661</v>
      </c>
      <c r="D48" s="1">
        <f>+'Monarch Life'!D48</f>
        <v>376.97144707711567</v>
      </c>
      <c r="E48" s="1">
        <f>+'Monarch Life'!E48</f>
        <v>0</v>
      </c>
      <c r="F48" s="1">
        <f>+'Monarch Life'!F48</f>
        <v>0</v>
      </c>
      <c r="G48" s="1">
        <f t="shared" si="2"/>
        <v>1586.5298483938839</v>
      </c>
      <c r="H48" s="1">
        <f>+'Monarch Life'!G48</f>
        <v>1586.5298483938839</v>
      </c>
      <c r="I48" s="1">
        <f t="shared" si="3"/>
        <v>0</v>
      </c>
    </row>
    <row r="49" spans="1:9">
      <c r="A49" s="1" t="s">
        <v>70</v>
      </c>
      <c r="B49" s="1">
        <f>+'Monarch Life'!B49</f>
        <v>1231.7101468785718</v>
      </c>
      <c r="C49" s="1">
        <f>+'Monarch Life'!C49</f>
        <v>1073.2042848413312</v>
      </c>
      <c r="D49" s="1">
        <f>+'Monarch Life'!D49</f>
        <v>1156.5151500663787</v>
      </c>
      <c r="E49" s="1">
        <f>+'Monarch Life'!E49</f>
        <v>0</v>
      </c>
      <c r="F49" s="1">
        <f>+'Monarch Life'!F49</f>
        <v>0</v>
      </c>
      <c r="G49" s="1">
        <f t="shared" si="2"/>
        <v>3461.4295817862817</v>
      </c>
      <c r="H49" s="1">
        <f>+'Monarch Life'!G49</f>
        <v>3461.4295817862817</v>
      </c>
      <c r="I49" s="1">
        <f t="shared" si="3"/>
        <v>0</v>
      </c>
    </row>
    <row r="50" spans="1:9">
      <c r="A50" s="1" t="s">
        <v>71</v>
      </c>
      <c r="B50" s="1">
        <f>+'Monarch Life'!B50</f>
        <v>11261.306160715478</v>
      </c>
      <c r="C50" s="1">
        <f>+'Monarch Life'!C50</f>
        <v>2379.1294007823108</v>
      </c>
      <c r="D50" s="1">
        <f>+'Monarch Life'!D50</f>
        <v>3567.6161670217584</v>
      </c>
      <c r="E50" s="1">
        <f>+'Monarch Life'!E50</f>
        <v>0</v>
      </c>
      <c r="F50" s="1">
        <f>+'Monarch Life'!F50</f>
        <v>0</v>
      </c>
      <c r="G50" s="1">
        <f t="shared" si="2"/>
        <v>17208.051728519546</v>
      </c>
      <c r="H50" s="1">
        <f>+'Monarch Life'!G50</f>
        <v>17208.051728519546</v>
      </c>
      <c r="I50" s="1">
        <f t="shared" si="3"/>
        <v>0</v>
      </c>
    </row>
    <row r="51" spans="1:9">
      <c r="A51" s="1" t="s">
        <v>72</v>
      </c>
      <c r="B51" s="1">
        <f>+'Monarch Life'!B51</f>
        <v>1442.3431330245105</v>
      </c>
      <c r="C51" s="1">
        <f>+'Monarch Life'!C51</f>
        <v>516.7041961946677</v>
      </c>
      <c r="D51" s="1">
        <f>+'Monarch Life'!D51</f>
        <v>193.32170932642842</v>
      </c>
      <c r="E51" s="1">
        <f>+'Monarch Life'!E51</f>
        <v>0</v>
      </c>
      <c r="F51" s="1">
        <f>+'Monarch Life'!F51</f>
        <v>0</v>
      </c>
      <c r="G51" s="1">
        <f t="shared" si="2"/>
        <v>2152.3690385456066</v>
      </c>
      <c r="H51" s="1">
        <f>+'Monarch Life'!G51</f>
        <v>2152.3690385456066</v>
      </c>
      <c r="I51" s="1">
        <f t="shared" si="3"/>
        <v>0</v>
      </c>
    </row>
    <row r="52" spans="1:9">
      <c r="A52" s="1" t="s">
        <v>73</v>
      </c>
      <c r="B52" s="1">
        <f>+'Monarch Life'!B52</f>
        <v>566.77002892529231</v>
      </c>
      <c r="C52" s="1">
        <f>+'Monarch Life'!C52</f>
        <v>107.99133571914219</v>
      </c>
      <c r="D52" s="1">
        <f>+'Monarch Life'!D52</f>
        <v>538.17588359673596</v>
      </c>
      <c r="E52" s="1">
        <f>+'Monarch Life'!E52</f>
        <v>0</v>
      </c>
      <c r="F52" s="1">
        <f>+'Monarch Life'!F52</f>
        <v>0</v>
      </c>
      <c r="G52" s="1">
        <f t="shared" si="2"/>
        <v>1212.9372482411704</v>
      </c>
      <c r="H52" s="1">
        <f>+'Monarch Life'!G52</f>
        <v>1212.9372482411704</v>
      </c>
      <c r="I52" s="1">
        <f t="shared" si="3"/>
        <v>0</v>
      </c>
    </row>
    <row r="53" spans="1:9">
      <c r="A53" s="1" t="s">
        <v>74</v>
      </c>
      <c r="B53" s="1">
        <f>+'Monarch Life'!B53</f>
        <v>2558.0776924849124</v>
      </c>
      <c r="C53" s="1">
        <f>+'Monarch Life'!C53</f>
        <v>1195.7997292158043</v>
      </c>
      <c r="D53" s="1">
        <f>+'Monarch Life'!D53</f>
        <v>1991.719118578945</v>
      </c>
      <c r="E53" s="1">
        <f>+'Monarch Life'!E53</f>
        <v>0</v>
      </c>
      <c r="F53" s="1">
        <f>+'Monarch Life'!F53</f>
        <v>0</v>
      </c>
      <c r="G53" s="1">
        <f t="shared" si="2"/>
        <v>5745.5965402796619</v>
      </c>
      <c r="H53" s="1">
        <f>+'Monarch Life'!G53</f>
        <v>5745.5965402796619</v>
      </c>
      <c r="I53" s="1">
        <f t="shared" si="3"/>
        <v>0</v>
      </c>
    </row>
    <row r="54" spans="1:9">
      <c r="A54" s="1" t="s">
        <v>75</v>
      </c>
      <c r="B54" s="1">
        <f>+'Monarch Life'!B54</f>
        <v>7371.8552720731832</v>
      </c>
      <c r="C54" s="1">
        <f>+'Monarch Life'!C54</f>
        <v>1663.7469866272638</v>
      </c>
      <c r="D54" s="1">
        <f>+'Monarch Life'!D54</f>
        <v>4958.760339062469</v>
      </c>
      <c r="E54" s="1">
        <f>+'Monarch Life'!E54</f>
        <v>0</v>
      </c>
      <c r="F54" s="1">
        <f>+'Monarch Life'!F54</f>
        <v>0</v>
      </c>
      <c r="G54" s="1">
        <f t="shared" si="2"/>
        <v>13994.362597762916</v>
      </c>
      <c r="H54" s="1">
        <f>+'Monarch Life'!G54</f>
        <v>13994.362597762916</v>
      </c>
      <c r="I54" s="1">
        <f t="shared" si="3"/>
        <v>0</v>
      </c>
    </row>
    <row r="55" spans="1:9">
      <c r="A55" s="1" t="s">
        <v>76</v>
      </c>
      <c r="B55" s="1">
        <f>+'Monarch Life'!B55</f>
        <v>602.65907063569477</v>
      </c>
      <c r="C55" s="1">
        <f>+'Monarch Life'!C55</f>
        <v>326.41167360363619</v>
      </c>
      <c r="D55" s="1">
        <f>+'Monarch Life'!D55</f>
        <v>766.46490260759924</v>
      </c>
      <c r="E55" s="1">
        <f>+'Monarch Life'!E55</f>
        <v>0</v>
      </c>
      <c r="F55" s="1">
        <f>+'Monarch Life'!F55</f>
        <v>0</v>
      </c>
      <c r="G55" s="1">
        <f t="shared" si="2"/>
        <v>1695.5356468469301</v>
      </c>
      <c r="H55" s="1">
        <f>+'Monarch Life'!G55</f>
        <v>1695.5356468469301</v>
      </c>
      <c r="I55" s="1">
        <f t="shared" si="3"/>
        <v>0</v>
      </c>
    </row>
    <row r="56" spans="1:9">
      <c r="A56" s="1" t="s">
        <v>77</v>
      </c>
      <c r="B56" s="1">
        <f>+'Monarch Life'!B56</f>
        <v>5378.3101664235464</v>
      </c>
      <c r="C56" s="1">
        <f>+'Monarch Life'!C56</f>
        <v>3030.4374310674975</v>
      </c>
      <c r="D56" s="1">
        <f>+'Monarch Life'!D56</f>
        <v>4485.6473977002233</v>
      </c>
      <c r="E56" s="1">
        <f>+'Monarch Life'!E56</f>
        <v>0</v>
      </c>
      <c r="F56" s="1">
        <f>+'Monarch Life'!F56</f>
        <v>0</v>
      </c>
      <c r="G56" s="1">
        <f t="shared" si="2"/>
        <v>12894.394995191269</v>
      </c>
      <c r="H56" s="1">
        <f>+'Monarch Life'!G56</f>
        <v>12894.394995191269</v>
      </c>
      <c r="I56" s="1">
        <f t="shared" si="3"/>
        <v>0</v>
      </c>
    </row>
    <row r="57" spans="1:9">
      <c r="A57" s="1" t="s">
        <v>78</v>
      </c>
      <c r="B57" s="1">
        <f>+'Monarch Life'!B57</f>
        <v>0</v>
      </c>
      <c r="C57" s="1">
        <f>+'Monarch Life'!C57</f>
        <v>0</v>
      </c>
      <c r="D57" s="1">
        <f>+'Monarch Life'!D57</f>
        <v>0</v>
      </c>
      <c r="E57" s="1">
        <f>+'Monarch Life'!E57</f>
        <v>0</v>
      </c>
      <c r="F57" s="1">
        <f>+'Monarch Life'!F57</f>
        <v>0</v>
      </c>
      <c r="G57" s="1">
        <f t="shared" si="2"/>
        <v>0</v>
      </c>
      <c r="H57" s="1">
        <f>+'Monarch Life'!G57</f>
        <v>0</v>
      </c>
      <c r="I57" s="1">
        <f t="shared" si="3"/>
        <v>0</v>
      </c>
    </row>
    <row r="58" spans="1:9">
      <c r="A58" s="1" t="s">
        <v>79</v>
      </c>
      <c r="B58" s="1">
        <f>+'Monarch Life'!B58</f>
        <v>0</v>
      </c>
      <c r="C58" s="1">
        <f>+'Monarch Life'!C58</f>
        <v>0</v>
      </c>
      <c r="D58" s="1">
        <f>+'Monarch Life'!D58</f>
        <v>0</v>
      </c>
      <c r="E58" s="1">
        <f>+'Monarch Life'!E58</f>
        <v>0</v>
      </c>
      <c r="F58" s="1">
        <f>+'Monarch Life'!F58</f>
        <v>0</v>
      </c>
      <c r="G58" s="1">
        <f t="shared" si="2"/>
        <v>0</v>
      </c>
      <c r="H58" s="1">
        <f>+'Monarch Life'!G58</f>
        <v>0</v>
      </c>
      <c r="I58" s="1">
        <f t="shared" si="3"/>
        <v>0</v>
      </c>
    </row>
    <row r="61" spans="1:9">
      <c r="A61" s="1" t="s">
        <v>8</v>
      </c>
      <c r="B61" s="1">
        <f>SUM(LIFE)</f>
        <v>210029.4333002269</v>
      </c>
      <c r="C61" s="1">
        <f>SUM(ALLOCATED)</f>
        <v>93116.427799362893</v>
      </c>
      <c r="D61" s="1">
        <f>SUM(HEALTH)</f>
        <v>206891.27890041014</v>
      </c>
      <c r="E61" s="1">
        <f>SUM(UNALLOCATED)</f>
        <v>0</v>
      </c>
      <c r="F61" s="1">
        <f>SUM(LTC)</f>
        <v>0</v>
      </c>
      <c r="G61" s="1">
        <f>SUM(TOTAL)</f>
        <v>510037.13999999984</v>
      </c>
      <c r="H61" s="1">
        <f>SUM(TOTAL_CROSSCHECK)</f>
        <v>510037.13999999984</v>
      </c>
      <c r="I61" s="1">
        <f>SUM(RECON)</f>
        <v>0</v>
      </c>
    </row>
  </sheetData>
  <mergeCells count="1">
    <mergeCell ref="A1:G1"/>
  </mergeCells>
  <pageMargins left="0" right="0" top="0" bottom="0" header="0" footer="0"/>
  <pageSetup scale="66" orientation="landscape"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pageSetUpPr fitToPage="1"/>
  </sheetPr>
  <dimension ref="A1:L61"/>
  <sheetViews>
    <sheetView tabSelected="1" topLeftCell="A7" zoomScale="75" workbookViewId="0">
      <selection activeCell="M25" sqref="M25"/>
    </sheetView>
  </sheetViews>
  <sheetFormatPr defaultColWidth="9.109375" defaultRowHeight="14.4"/>
  <cols>
    <col min="1" max="1" width="20" style="1" customWidth="1"/>
    <col min="2" max="8" width="15" style="1" customWidth="1"/>
    <col min="9" max="9" width="5" style="1" customWidth="1"/>
    <col min="10" max="10" width="9.109375" style="1" customWidth="1"/>
    <col min="11" max="11" width="40" style="1" customWidth="1"/>
    <col min="12" max="12" width="15" style="1" customWidth="1"/>
    <col min="13" max="13" width="9.109375" style="1" customWidth="1"/>
    <col min="14" max="16384" width="9.109375" style="1"/>
  </cols>
  <sheetData>
    <row r="1" spans="1:12">
      <c r="A1" s="100" t="s">
        <v>712</v>
      </c>
      <c r="B1" s="100"/>
      <c r="C1" s="100"/>
      <c r="D1" s="100"/>
      <c r="E1" s="100"/>
      <c r="F1" s="100"/>
      <c r="G1" s="100"/>
    </row>
    <row r="3" spans="1:12">
      <c r="B3" s="3"/>
      <c r="C3" s="3" t="s">
        <v>708</v>
      </c>
      <c r="D3" s="3"/>
      <c r="E3" s="3" t="s">
        <v>709</v>
      </c>
      <c r="F3" s="3"/>
      <c r="G3" s="3"/>
    </row>
    <row r="4" spans="1:12">
      <c r="B4" s="3" t="s">
        <v>3</v>
      </c>
      <c r="C4" s="3" t="s">
        <v>710</v>
      </c>
      <c r="D4" s="3" t="s">
        <v>5</v>
      </c>
      <c r="E4" s="3" t="s">
        <v>710</v>
      </c>
      <c r="F4" s="3" t="s">
        <v>7</v>
      </c>
      <c r="G4" s="3" t="s">
        <v>8</v>
      </c>
    </row>
    <row r="6" spans="1:12">
      <c r="A6" s="1" t="s">
        <v>11</v>
      </c>
      <c r="B6" s="1">
        <f>+'American Network'!B6+'Bankers Life'!B6+'Booker T Washington'!B6+'CO Bankers'!B6+Freestone!B6+'Life Health America'!B6+'National States'!B6+'North Carolina Mutual'!B6+'Pen  Treaty'!B6+'Senior American'!B6+'Southland National Life'!B6+'Universal Life'!B6</f>
        <v>74890976.062090278</v>
      </c>
      <c r="C6" s="1">
        <f>+'American Network'!C6+'Bankers Life'!C6+'Booker T Washington'!C6+'CO Bankers'!C6+Freestone!C6+'Life Health America'!C6+'National States'!C6+'North Carolina Mutual'!C6+'Pen  Treaty'!C6+'Senior American'!C6+'Southland National Life'!C6+'Universal Life'!C6</f>
        <v>8889541.9068360217</v>
      </c>
      <c r="D6" s="1">
        <f>+'American Network'!D6+'Bankers Life'!D6+'Booker T Washington'!D6+'CO Bankers'!D6+Freestone!D6+'Life Health America'!D6+'National States'!D6+'North Carolina Mutual'!D6+'Pen  Treaty'!D6+'Senior American'!D6+'Southland National Life'!D6+'Universal Life'!D6</f>
        <v>8376699.7729864884</v>
      </c>
      <c r="E6" s="1">
        <f>+'American Network'!E6+'Bankers Life'!E6+'Booker T Washington'!E6+'CO Bankers'!E6+Freestone!E6+'Life Health America'!E6+'National States'!E6+'North Carolina Mutual'!E6+'Pen  Treaty'!E6+'Senior American'!E6+'Southland National Life'!E6+'Universal Life'!E6</f>
        <v>0</v>
      </c>
      <c r="F6" s="1">
        <f>+'American Network'!F6+'Bankers Life'!F6+'Booker T Washington'!F6+'CO Bankers'!F6+Freestone!F6+'Life Health America'!F6+'National States'!F6+'North Carolina Mutual'!F6+'Pen  Treaty'!F6+'Senior American'!F6+'Southland National Life'!F6+'Universal Life'!F6</f>
        <v>0</v>
      </c>
      <c r="G6" s="1">
        <f t="shared" ref="G6:G37" si="0">SUM(B6:F6)</f>
        <v>92157217.741912782</v>
      </c>
      <c r="H6" s="1">
        <f>+'American Network'!G6+'Bankers Life'!G6+'Booker T Washington'!G6+'CO Bankers'!G6+Freestone!G6+'Life Health America'!G6+'National States'!G6+'North Carolina Mutual'!G6+'Pen  Treaty'!G6+'Senior American'!G6+'Southland National Life'!G6+'Universal Life'!G6</f>
        <v>92157217.741912767</v>
      </c>
      <c r="I6" s="1">
        <f t="shared" ref="I6:I37" si="1">G6-H6</f>
        <v>0</v>
      </c>
      <c r="K6" s="1" t="s">
        <v>197</v>
      </c>
      <c r="L6" s="1">
        <f>Summary!TOTAL_81078</f>
        <v>327202677.28898656</v>
      </c>
    </row>
    <row r="7" spans="1:12">
      <c r="A7" s="1" t="s">
        <v>12</v>
      </c>
      <c r="B7" s="1">
        <f>+'American Network'!B7+'Bankers Life'!B7+'Booker T Washington'!B7+'CO Bankers'!B7+Freestone!B7+'Life Health America'!B7+'National States'!B7+'North Carolina Mutual'!B7+'Pen  Treaty'!B7+'Senior American'!B7+'Southland National Life'!B7+'Universal Life'!B7</f>
        <v>82112.280082187761</v>
      </c>
      <c r="C7" s="1">
        <f>+'American Network'!C7+'Bankers Life'!C7+'Booker T Washington'!C7+'CO Bankers'!C7+Freestone!C7+'Life Health America'!C7+'National States'!C7+'North Carolina Mutual'!C7+'Pen  Treaty'!C7+'Senior American'!C7+'Southland National Life'!C7+'Universal Life'!C7</f>
        <v>721865.5034385469</v>
      </c>
      <c r="D7" s="1">
        <f>+'American Network'!D7+'Bankers Life'!D7+'Booker T Washington'!D7+'CO Bankers'!D7+Freestone!D7+'Life Health America'!D7+'National States'!D7+'North Carolina Mutual'!D7+'Pen  Treaty'!D7+'Senior American'!D7+'Southland National Life'!D7+'Universal Life'!D7</f>
        <v>1218631.2961579782</v>
      </c>
      <c r="E7" s="1">
        <f>+'American Network'!E7+'Bankers Life'!E7+'Booker T Washington'!E7+'CO Bankers'!E7+Freestone!E7+'Life Health America'!E7+'National States'!E7+'North Carolina Mutual'!E7+'Pen  Treaty'!E7+'Senior American'!E7+'Southland National Life'!E7+'Universal Life'!E7</f>
        <v>0</v>
      </c>
      <c r="F7" s="1">
        <f>+'American Network'!F7+'Bankers Life'!F7+'Booker T Washington'!F7+'CO Bankers'!F7+Freestone!F7+'Life Health America'!F7+'National States'!F7+'North Carolina Mutual'!F7+'Pen  Treaty'!F7+'Senior American'!F7+'Southland National Life'!F7+'Universal Life'!F7</f>
        <v>0</v>
      </c>
      <c r="G7" s="1">
        <f t="shared" si="0"/>
        <v>2022609.0796787129</v>
      </c>
      <c r="H7" s="1">
        <f>+'American Network'!G7+'Bankers Life'!G7+'Booker T Washington'!G7+'CO Bankers'!G7+Freestone!G7+'Life Health America'!G7+'National States'!G7+'North Carolina Mutual'!G7+'Pen  Treaty'!G7+'Senior American'!G7+'Southland National Life'!G7+'Universal Life'!G7</f>
        <v>2022609.0796787129</v>
      </c>
      <c r="I7" s="1">
        <f t="shared" si="1"/>
        <v>0</v>
      </c>
      <c r="K7" s="1" t="s">
        <v>203</v>
      </c>
      <c r="L7" s="1">
        <f>Summary!TOTAL_81043</f>
        <v>346567557.90501577</v>
      </c>
    </row>
    <row r="8" spans="1:12">
      <c r="A8" s="1" t="s">
        <v>13</v>
      </c>
      <c r="B8" s="1">
        <f>+'American Network'!B8+'Bankers Life'!B8+'Booker T Washington'!B8+'CO Bankers'!B8+Freestone!B8+'Life Health America'!B8+'National States'!B8+'North Carolina Mutual'!B8+'Pen  Treaty'!B8+'Senior American'!B8+'Southland National Life'!B8+'Universal Life'!B8</f>
        <v>4025722.4216888845</v>
      </c>
      <c r="C8" s="1">
        <f>+'American Network'!C8+'Bankers Life'!C8+'Booker T Washington'!C8+'CO Bankers'!C8+Freestone!C8+'Life Health America'!C8+'National States'!C8+'North Carolina Mutual'!C8+'Pen  Treaty'!C8+'Senior American'!C8+'Southland National Life'!C8+'Universal Life'!C8</f>
        <v>17382163.035289072</v>
      </c>
      <c r="D8" s="1">
        <f>+'American Network'!D8+'Bankers Life'!D8+'Booker T Washington'!D8+'CO Bankers'!D8+Freestone!D8+'Life Health America'!D8+'National States'!D8+'North Carolina Mutual'!D8+'Pen  Treaty'!D8+'Senior American'!D8+'Southland National Life'!D8+'Universal Life'!D8</f>
        <v>128826035.99715017</v>
      </c>
      <c r="E8" s="1">
        <f>+'American Network'!E8+'Bankers Life'!E8+'Booker T Washington'!E8+'CO Bankers'!E8+Freestone!E8+'Life Health America'!E8+'National States'!E8+'North Carolina Mutual'!E8+'Pen  Treaty'!E8+'Senior American'!E8+'Southland National Life'!E8+'Universal Life'!E8</f>
        <v>0</v>
      </c>
      <c r="F8" s="1">
        <f>+'American Network'!F8+'Bankers Life'!F8+'Booker T Washington'!F8+'CO Bankers'!F8+Freestone!F8+'Life Health America'!F8+'National States'!F8+'North Carolina Mutual'!F8+'Pen  Treaty'!F8+'Senior American'!F8+'Southland National Life'!F8+'Universal Life'!F8</f>
        <v>2004472.9841224004</v>
      </c>
      <c r="G8" s="1">
        <f t="shared" si="0"/>
        <v>152238394.43825051</v>
      </c>
      <c r="H8" s="1">
        <f>+'American Network'!G8+'Bankers Life'!G8+'Booker T Washington'!G8+'CO Bankers'!G8+Freestone!G8+'Life Health America'!G8+'National States'!G8+'North Carolina Mutual'!G8+'Pen  Treaty'!G8+'Senior American'!G8+'Southland National Life'!G8+'Universal Life'!G8</f>
        <v>152238394.43825051</v>
      </c>
      <c r="I8" s="1">
        <f t="shared" si="1"/>
        <v>0</v>
      </c>
      <c r="K8" s="1" t="s">
        <v>208</v>
      </c>
      <c r="L8" s="1">
        <f>Summary!TOTAL_61468</f>
        <v>27058063.228309821</v>
      </c>
    </row>
    <row r="9" spans="1:12">
      <c r="A9" s="1" t="s">
        <v>15</v>
      </c>
      <c r="B9" s="1">
        <f>+'American Network'!B9+'Bankers Life'!B9+'Booker T Washington'!B9+'CO Bankers'!B9+Freestone!B9+'Life Health America'!B9+'National States'!B9+'North Carolina Mutual'!B9+'Pen  Treaty'!B9+'Senior American'!B9+'Southland National Life'!B9+'Universal Life'!B9</f>
        <v>1325920.7980010123</v>
      </c>
      <c r="C9" s="1">
        <f>+'American Network'!C9+'Bankers Life'!C9+'Booker T Washington'!C9+'CO Bankers'!C9+Freestone!C9+'Life Health America'!C9+'National States'!C9+'North Carolina Mutual'!C9+'Pen  Treaty'!C9+'Senior American'!C9+'Southland National Life'!C9+'Universal Life'!C9</f>
        <v>5953242.0888390318</v>
      </c>
      <c r="D9" s="1">
        <f>+'American Network'!D9+'Bankers Life'!D9+'Booker T Washington'!D9+'CO Bankers'!D9+Freestone!D9+'Life Health America'!D9+'National States'!D9+'North Carolina Mutual'!D9+'Pen  Treaty'!D9+'Senior American'!D9+'Southland National Life'!D9+'Universal Life'!D9</f>
        <v>4613923.3933625938</v>
      </c>
      <c r="E9" s="1">
        <f>+'American Network'!E9+'Bankers Life'!E9+'Booker T Washington'!E9+'CO Bankers'!E9+Freestone!E9+'Life Health America'!E9+'National States'!E9+'North Carolina Mutual'!E9+'Pen  Treaty'!E9+'Senior American'!E9+'Southland National Life'!E9+'Universal Life'!E9</f>
        <v>0</v>
      </c>
      <c r="F9" s="1">
        <f>+'American Network'!F9+'Bankers Life'!F9+'Booker T Washington'!F9+'CO Bankers'!F9+Freestone!F9+'Life Health America'!F9+'National States'!F9+'North Carolina Mutual'!F9+'Pen  Treaty'!F9+'Senior American'!F9+'Southland National Life'!F9+'Universal Life'!F9</f>
        <v>0</v>
      </c>
      <c r="G9" s="1">
        <f t="shared" si="0"/>
        <v>11893086.280202638</v>
      </c>
      <c r="H9" s="1">
        <f>+'American Network'!G9+'Bankers Life'!G9+'Booker T Washington'!G9+'CO Bankers'!G9+Freestone!G9+'Life Health America'!G9+'National States'!G9+'North Carolina Mutual'!G9+'Pen  Treaty'!G9+'Senior American'!G9+'Southland National Life'!G9+'Universal Life'!G9</f>
        <v>11893086.280202638</v>
      </c>
      <c r="I9" s="1">
        <f t="shared" si="1"/>
        <v>0</v>
      </c>
      <c r="K9" s="1" t="s">
        <v>214</v>
      </c>
      <c r="L9" s="1">
        <f>Summary!TOTAL_84786</f>
        <v>912583861.24802125</v>
      </c>
    </row>
    <row r="10" spans="1:12">
      <c r="A10" s="1" t="s">
        <v>16</v>
      </c>
      <c r="B10" s="1">
        <f>+'American Network'!B10+'Bankers Life'!B10+'Booker T Washington'!B10+'CO Bankers'!B10+Freestone!B10+'Life Health America'!B10+'National States'!B10+'North Carolina Mutual'!B10+'Pen  Treaty'!B10+'Senior American'!B10+'Southland National Life'!B10+'Universal Life'!B10</f>
        <v>13375723.186549738</v>
      </c>
      <c r="C10" s="1">
        <f>+'American Network'!C10+'Bankers Life'!C10+'Booker T Washington'!C10+'CO Bankers'!C10+Freestone!C10+'Life Health America'!C10+'National States'!C10+'North Carolina Mutual'!C10+'Pen  Treaty'!C10+'Senior American'!C10+'Southland National Life'!C10+'Universal Life'!C10</f>
        <v>22056688.707806814</v>
      </c>
      <c r="D10" s="1">
        <f>+'American Network'!D10+'Bankers Life'!D10+'Booker T Washington'!D10+'CO Bankers'!D10+Freestone!D10+'Life Health America'!D10+'National States'!D10+'North Carolina Mutual'!D10+'Pen  Treaty'!D10+'Senior American'!D10+'Southland National Life'!D10+'Universal Life'!D10</f>
        <v>415205997.47828281</v>
      </c>
      <c r="E10" s="1">
        <f>+'American Network'!E10+'Bankers Life'!E10+'Booker T Washington'!E10+'CO Bankers'!E10+Freestone!E10+'Life Health America'!E10+'National States'!E10+'North Carolina Mutual'!E10+'Pen  Treaty'!E10+'Senior American'!E10+'Southland National Life'!E10+'Universal Life'!E10</f>
        <v>0</v>
      </c>
      <c r="F10" s="1">
        <f>+'American Network'!F10+'Bankers Life'!F10+'Booker T Washington'!F10+'CO Bankers'!F10+Freestone!F10+'Life Health America'!F10+'National States'!F10+'North Carolina Mutual'!F10+'Pen  Treaty'!F10+'Senior American'!F10+'Southland National Life'!F10+'Universal Life'!F10</f>
        <v>0</v>
      </c>
      <c r="G10" s="1">
        <f t="shared" si="0"/>
        <v>450638409.37263936</v>
      </c>
      <c r="H10" s="1">
        <f>+'American Network'!G10+'Bankers Life'!G10+'Booker T Washington'!G10+'CO Bankers'!G10+Freestone!G10+'Life Health America'!G10+'National States'!G10+'North Carolina Mutual'!G10+'Pen  Treaty'!G10+'Senior American'!G10+'Southland National Life'!G10+'Universal Life'!G10</f>
        <v>450638409.37263936</v>
      </c>
      <c r="I10" s="1">
        <f t="shared" si="1"/>
        <v>0</v>
      </c>
      <c r="K10" s="1" t="s">
        <v>221</v>
      </c>
      <c r="L10" s="1">
        <f>Summary!TOTAL_77887</f>
        <v>38823573.796116471</v>
      </c>
    </row>
    <row r="11" spans="1:12">
      <c r="A11" s="1" t="s">
        <v>18</v>
      </c>
      <c r="B11" s="1">
        <f>+'American Network'!B11+'Bankers Life'!B11+'Booker T Washington'!B11+'CO Bankers'!B11+Freestone!B11+'Life Health America'!B11+'National States'!B11+'North Carolina Mutual'!B11+'Pen  Treaty'!B11+'Senior American'!B11+'Southland National Life'!B11+'Universal Life'!B11</f>
        <v>1770467.1611926625</v>
      </c>
      <c r="C11" s="1">
        <f>+'American Network'!C11+'Bankers Life'!C11+'Booker T Washington'!C11+'CO Bankers'!C11+Freestone!C11+'Life Health America'!C11+'National States'!C11+'North Carolina Mutual'!C11+'Pen  Treaty'!C11+'Senior American'!C11+'Southland National Life'!C11+'Universal Life'!C11</f>
        <v>8947890.6878194772</v>
      </c>
      <c r="D11" s="1">
        <f>+'American Network'!D11+'Bankers Life'!D11+'Booker T Washington'!D11+'CO Bankers'!D11+Freestone!D11+'Life Health America'!D11+'National States'!D11+'North Carolina Mutual'!D11+'Pen  Treaty'!D11+'Senior American'!D11+'Southland National Life'!D11+'Universal Life'!D11</f>
        <v>67424156.214127153</v>
      </c>
      <c r="E11" s="1">
        <f>+'American Network'!E11+'Bankers Life'!E11+'Booker T Washington'!E11+'CO Bankers'!E11+Freestone!E11+'Life Health America'!E11+'National States'!E11+'North Carolina Mutual'!E11+'Pen  Treaty'!E11+'Senior American'!E11+'Southland National Life'!E11+'Universal Life'!E11</f>
        <v>0</v>
      </c>
      <c r="F11" s="1">
        <f>+'American Network'!F11+'Bankers Life'!F11+'Booker T Washington'!F11+'CO Bankers'!F11+Freestone!F11+'Life Health America'!F11+'National States'!F11+'North Carolina Mutual'!F11+'Pen  Treaty'!F11+'Senior American'!F11+'Southland National Life'!F11+'Universal Life'!F11</f>
        <v>0</v>
      </c>
      <c r="G11" s="1">
        <f t="shared" si="0"/>
        <v>78142514.06313929</v>
      </c>
      <c r="H11" s="1">
        <f>+'American Network'!G11+'Bankers Life'!G11+'Booker T Washington'!G11+'CO Bankers'!G11+Freestone!G11+'Life Health America'!G11+'National States'!G11+'North Carolina Mutual'!G11+'Pen  Treaty'!G11+'Senior American'!G11+'Southland National Life'!G11+'Universal Life'!G11</f>
        <v>78142514.063139305</v>
      </c>
      <c r="I11" s="1">
        <f t="shared" si="1"/>
        <v>0</v>
      </c>
      <c r="K11" s="1" t="s">
        <v>225</v>
      </c>
      <c r="L11" s="1">
        <f>Summary!TOTAL_60593</f>
        <v>139595968.82562083</v>
      </c>
    </row>
    <row r="12" spans="1:12">
      <c r="A12" s="1" t="s">
        <v>19</v>
      </c>
      <c r="B12" s="1">
        <f>+'American Network'!B12+'Bankers Life'!B12+'Booker T Washington'!B12+'CO Bankers'!B12+Freestone!B12+'Life Health America'!B12+'National States'!B12+'North Carolina Mutual'!B12+'Pen  Treaty'!B12+'Senior American'!B12+'Southland National Life'!B12+'Universal Life'!B12</f>
        <v>296721.42374993651</v>
      </c>
      <c r="C12" s="1">
        <f>+'American Network'!C12+'Bankers Life'!C12+'Booker T Washington'!C12+'CO Bankers'!C12+Freestone!C12+'Life Health America'!C12+'National States'!C12+'North Carolina Mutual'!C12+'Pen  Treaty'!C12+'Senior American'!C12+'Southland National Life'!C12+'Universal Life'!C12</f>
        <v>29431063.561553039</v>
      </c>
      <c r="D12" s="1">
        <f>+'American Network'!D12+'Bankers Life'!D12+'Booker T Washington'!D12+'CO Bankers'!D12+Freestone!D12+'Life Health America'!D12+'National States'!D12+'North Carolina Mutual'!D12+'Pen  Treaty'!D12+'Senior American'!D12+'Southland National Life'!D12+'Universal Life'!D12</f>
        <v>29257416.892782364</v>
      </c>
      <c r="E12" s="1">
        <f>+'American Network'!E12+'Bankers Life'!E12+'Booker T Washington'!E12+'CO Bankers'!E12+Freestone!E12+'Life Health America'!E12+'National States'!E12+'North Carolina Mutual'!E12+'Pen  Treaty'!E12+'Senior American'!E12+'Southland National Life'!E12+'Universal Life'!E12</f>
        <v>0</v>
      </c>
      <c r="F12" s="1">
        <f>+'American Network'!F12+'Bankers Life'!F12+'Booker T Washington'!F12+'CO Bankers'!F12+Freestone!F12+'Life Health America'!F12+'National States'!F12+'North Carolina Mutual'!F12+'Pen  Treaty'!F12+'Senior American'!F12+'Southland National Life'!F12+'Universal Life'!F12</f>
        <v>0</v>
      </c>
      <c r="G12" s="1">
        <f t="shared" si="0"/>
        <v>58985201.878085338</v>
      </c>
      <c r="H12" s="1">
        <f>+'American Network'!G12+'Bankers Life'!G12+'Booker T Washington'!G12+'CO Bankers'!G12+Freestone!G12+'Life Health America'!G12+'National States'!G12+'North Carolina Mutual'!G12+'Pen  Treaty'!G12+'Senior American'!G12+'Southland National Life'!G12+'Universal Life'!G12</f>
        <v>58985201.878085338</v>
      </c>
      <c r="I12" s="1">
        <f t="shared" si="1"/>
        <v>0</v>
      </c>
      <c r="K12" s="1" t="s">
        <v>230</v>
      </c>
      <c r="L12" s="1">
        <f>Summary!TOTAL_67032</f>
        <v>102802691.05497223</v>
      </c>
    </row>
    <row r="13" spans="1:12">
      <c r="A13" s="1" t="s">
        <v>21</v>
      </c>
      <c r="B13" s="1">
        <f>+'American Network'!B13+'Bankers Life'!B13+'Booker T Washington'!B13+'CO Bankers'!B13+Freestone!B13+'Life Health America'!B13+'National States'!B13+'North Carolina Mutual'!B13+'Pen  Treaty'!B13+'Senior American'!B13+'Southland National Life'!B13+'Universal Life'!B13</f>
        <v>156463.18072534245</v>
      </c>
      <c r="C13" s="1">
        <f>+'American Network'!C13+'Bankers Life'!C13+'Booker T Washington'!C13+'CO Bankers'!C13+Freestone!C13+'Life Health America'!C13+'National States'!C13+'North Carolina Mutual'!C13+'Pen  Treaty'!C13+'Senior American'!C13+'Southland National Life'!C13+'Universal Life'!C13</f>
        <v>9389184.130800033</v>
      </c>
      <c r="D13" s="1">
        <f>+'American Network'!D13+'Bankers Life'!D13+'Booker T Washington'!D13+'CO Bankers'!D13+Freestone!D13+'Life Health America'!D13+'National States'!D13+'North Carolina Mutual'!D13+'Pen  Treaty'!D13+'Senior American'!D13+'Southland National Life'!D13+'Universal Life'!D13-72358</f>
        <v>3739615.5977955991</v>
      </c>
      <c r="E13" s="1">
        <f>+'American Network'!E13+'Bankers Life'!E13+'Booker T Washington'!E13+'CO Bankers'!E13+Freestone!E13+'Life Health America'!E13+'National States'!E13+'North Carolina Mutual'!E13+'Pen  Treaty'!E13+'Senior American'!E13+'Southland National Life'!E13+'Universal Life'!E13</f>
        <v>0</v>
      </c>
      <c r="F13" s="1">
        <f>+'American Network'!F13+'Bankers Life'!F13+'Booker T Washington'!F13+'CO Bankers'!F13+Freestone!F13+'Life Health America'!F13+'National States'!F13+'North Carolina Mutual'!F13+'Pen  Treaty'!F13+'Senior American'!F13+'Southland National Life'!F13+'Universal Life'!F13</f>
        <v>0</v>
      </c>
      <c r="G13" s="1">
        <f t="shared" si="0"/>
        <v>13285262.909320973</v>
      </c>
      <c r="H13" s="1">
        <f>+'American Network'!G13+'Bankers Life'!G13+'Booker T Washington'!G13+'CO Bankers'!G13+Freestone!G13+'Life Health America'!G13+'National States'!G13+'North Carolina Mutual'!G13+'Pen  Treaty'!G13+'Senior American'!G13+'Southland National Life'!G13+'Universal Life'!G13-72358</f>
        <v>13285262.909320975</v>
      </c>
      <c r="I13" s="1">
        <f t="shared" si="1"/>
        <v>0</v>
      </c>
      <c r="K13" s="1" t="s">
        <v>234</v>
      </c>
      <c r="L13" s="1">
        <f>Summary!TOTAL_63282</f>
        <v>2444329246.8945031</v>
      </c>
    </row>
    <row r="14" spans="1:12">
      <c r="A14" s="1" t="s">
        <v>23</v>
      </c>
      <c r="B14" s="1">
        <f>+'American Network'!B14+'Bankers Life'!B14+'Booker T Washington'!B14+'CO Bankers'!B14+Freestone!B14+'Life Health America'!B14+'National States'!B14+'North Carolina Mutual'!B14+'Pen  Treaty'!B14+'Senior American'!B14+'Southland National Life'!B14+'Universal Life'!B14</f>
        <v>3467814.8051685737</v>
      </c>
      <c r="C14" s="1">
        <f>+'American Network'!C14+'Bankers Life'!C14+'Booker T Washington'!C14+'CO Bankers'!C14+Freestone!C14+'Life Health America'!C14+'National States'!C14+'North Carolina Mutual'!C14+'Pen  Treaty'!C14+'Senior American'!C14+'Southland National Life'!C14+'Universal Life'!C14</f>
        <v>1083906.6227610728</v>
      </c>
      <c r="D14" s="1">
        <f>+'American Network'!D14+'Bankers Life'!D14+'Booker T Washington'!D14+'CO Bankers'!D14+Freestone!D14+'Life Health America'!D14+'National States'!D14+'North Carolina Mutual'!D14+'Pen  Treaty'!D14+'Senior American'!D14+'Southland National Life'!D14+'Universal Life'!D14</f>
        <v>1636347.3630614686</v>
      </c>
      <c r="E14" s="1">
        <f>+'American Network'!E14+'Bankers Life'!E14+'Booker T Washington'!E14+'CO Bankers'!E14+Freestone!E14+'Life Health America'!E14+'National States'!E14+'North Carolina Mutual'!E14+'Pen  Treaty'!E14+'Senior American'!E14+'Southland National Life'!E14+'Universal Life'!E14</f>
        <v>0</v>
      </c>
      <c r="F14" s="1">
        <f>+'American Network'!F14+'Bankers Life'!F14+'Booker T Washington'!F14+'CO Bankers'!F14+Freestone!F14+'Life Health America'!F14+'National States'!F14+'North Carolina Mutual'!F14+'Pen  Treaty'!F14+'Senior American'!F14+'Southland National Life'!F14+'Universal Life'!F14</f>
        <v>0</v>
      </c>
      <c r="G14" s="1">
        <f t="shared" si="0"/>
        <v>6188068.7909911145</v>
      </c>
      <c r="H14" s="1">
        <f>+'American Network'!G14+'Bankers Life'!G14+'Booker T Washington'!G14+'CO Bankers'!G14+Freestone!G14+'Life Health America'!G14+'National States'!G14+'North Carolina Mutual'!G14+'Pen  Treaty'!G14+'Senior American'!G14+'Southland National Life'!G14+'Universal Life'!G14</f>
        <v>6188068.7909911163</v>
      </c>
      <c r="I14" s="1">
        <f t="shared" si="1"/>
        <v>0</v>
      </c>
      <c r="K14" s="1" t="s">
        <v>236</v>
      </c>
      <c r="L14" s="1">
        <f>Summary!TOTAL_76759</f>
        <v>29995938.900410548</v>
      </c>
    </row>
    <row r="15" spans="1:12">
      <c r="A15" s="1" t="s">
        <v>25</v>
      </c>
      <c r="B15" s="1">
        <f>+'American Network'!B15+'Bankers Life'!B15+'Booker T Washington'!B15+'CO Bankers'!B15+Freestone!B15+'Life Health America'!B15+'National States'!B15+'North Carolina Mutual'!B15+'Pen  Treaty'!B15+'Senior American'!B15+'Southland National Life'!B15+'Universal Life'!B15</f>
        <v>5992354.9438252654</v>
      </c>
      <c r="C15" s="1">
        <f>+'American Network'!C15+'Bankers Life'!C15+'Booker T Washington'!C15+'CO Bankers'!C15+Freestone!C15+'Life Health America'!C15+'National States'!C15+'North Carolina Mutual'!C15+'Pen  Treaty'!C15+'Senior American'!C15+'Southland National Life'!C15+'Universal Life'!C15</f>
        <v>108778278.53003967</v>
      </c>
      <c r="D15" s="1">
        <f>+'American Network'!D15+'Bankers Life'!D15+'Booker T Washington'!D15+'CO Bankers'!D15+Freestone!D15+'Life Health America'!D15+'National States'!D15+'North Carolina Mutual'!D15+'Pen  Treaty'!D15+'Senior American'!D15+'Southland National Life'!D15+'Universal Life'!D15</f>
        <v>430848062.07162362</v>
      </c>
      <c r="E15" s="1">
        <f>+'American Network'!E15+'Bankers Life'!E15+'Booker T Washington'!E15+'CO Bankers'!E15+Freestone!E15+'Life Health America'!E15+'National States'!E15+'North Carolina Mutual'!E15+'Pen  Treaty'!E15+'Senior American'!E15+'Southland National Life'!E15+'Universal Life'!E15</f>
        <v>0</v>
      </c>
      <c r="F15" s="1">
        <f>+'American Network'!F15+'Bankers Life'!F15+'Booker T Washington'!F15+'CO Bankers'!F15+Freestone!F15+'Life Health America'!F15+'National States'!F15+'North Carolina Mutual'!F15+'Pen  Treaty'!F15+'Senior American'!F15+'Southland National Life'!F15+'Universal Life'!F15</f>
        <v>2710867.0543387467</v>
      </c>
      <c r="G15" s="1">
        <f t="shared" si="0"/>
        <v>548329562.59982729</v>
      </c>
      <c r="H15" s="1">
        <f>+'American Network'!G15+'Bankers Life'!G15+'Booker T Washington'!G15+'CO Bankers'!G15+Freestone!G15+'Life Health America'!G15+'National States'!G15+'North Carolina Mutual'!G15+'Pen  Treaty'!G15+'Senior American'!G15+'Southland National Life'!G15+'Universal Life'!G15</f>
        <v>548329562.59982717</v>
      </c>
      <c r="I15" s="1">
        <f t="shared" si="1"/>
        <v>0</v>
      </c>
      <c r="K15" s="1" t="s">
        <v>240</v>
      </c>
      <c r="L15" s="1">
        <f>Summary!TOTAL_79057</f>
        <v>125499773.45791848</v>
      </c>
    </row>
    <row r="16" spans="1:12">
      <c r="A16" s="1" t="s">
        <v>27</v>
      </c>
      <c r="B16" s="1">
        <f>+'American Network'!B16+'Bankers Life'!B16+'Booker T Washington'!B16+'CO Bankers'!B16+Freestone!B16+'Life Health America'!B16+'National States'!B16+'North Carolina Mutual'!B16+'Pen  Treaty'!B16+'Senior American'!B16+'Southland National Life'!B16+'Universal Life'!B16</f>
        <v>16831810.163911946</v>
      </c>
      <c r="C16" s="1">
        <f>+'American Network'!C16+'Bankers Life'!C16+'Booker T Washington'!C16+'CO Bankers'!C16+Freestone!C16+'Life Health America'!C16+'National States'!C16+'North Carolina Mutual'!C16+'Pen  Treaty'!C16+'Senior American'!C16+'Southland National Life'!C16+'Universal Life'!C16</f>
        <v>20136250.822873551</v>
      </c>
      <c r="D16" s="1">
        <f>+'American Network'!D16+'Bankers Life'!D16+'Booker T Washington'!D16+'CO Bankers'!D16+Freestone!D16+'Life Health America'!D16+'National States'!D16+'North Carolina Mutual'!D16+'Pen  Treaty'!D16+'Senior American'!D16+'Southland National Life'!D16+'Universal Life'!D16-59861</f>
        <v>86711886.994823918</v>
      </c>
      <c r="E16" s="1">
        <f>+'American Network'!E16+'Bankers Life'!E16+'Booker T Washington'!E16+'CO Bankers'!E16+Freestone!E16+'Life Health America'!E16+'National States'!E16+'North Carolina Mutual'!E16+'Pen  Treaty'!E16+'Senior American'!E16+'Southland National Life'!E16+'Universal Life'!E16</f>
        <v>0</v>
      </c>
      <c r="F16" s="1">
        <f>+'American Network'!F16+'Bankers Life'!F16+'Booker T Washington'!F16+'CO Bankers'!F16+Freestone!F16+'Life Health America'!F16+'National States'!F16+'North Carolina Mutual'!F16+'Pen  Treaty'!F16+'Senior American'!F16+'Southland National Life'!F16+'Universal Life'!F16</f>
        <v>0</v>
      </c>
      <c r="G16" s="1">
        <f t="shared" si="0"/>
        <v>123679947.98160942</v>
      </c>
      <c r="H16" s="1">
        <f>+'American Network'!G16+'Bankers Life'!G16+'Booker T Washington'!G16+'CO Bankers'!G16+Freestone!G16+'Life Health America'!G16+'National States'!G16+'North Carolina Mutual'!G16+'Pen  Treaty'!G16+'Senior American'!G16+'Southland National Life'!G16+'Universal Life'!G16-59861</f>
        <v>123679947.98160942</v>
      </c>
      <c r="I16" s="1">
        <f>G16-H16</f>
        <v>0</v>
      </c>
      <c r="K16" s="1" t="s">
        <v>243</v>
      </c>
      <c r="L16" s="1">
        <f>Summary!TOTAL_70157</f>
        <v>4271425.7918814402</v>
      </c>
    </row>
    <row r="17" spans="1:12">
      <c r="A17" s="1" t="s">
        <v>29</v>
      </c>
      <c r="B17" s="1">
        <f>+'American Network'!B17+'Bankers Life'!B17+'Booker T Washington'!B17+'CO Bankers'!B17+Freestone!B17+'Life Health America'!B17+'National States'!B17+'North Carolina Mutual'!B17+'Pen  Treaty'!B17+'Senior American'!B17+'Southland National Life'!B17+'Universal Life'!B17</f>
        <v>417357.40593650751</v>
      </c>
      <c r="C17" s="1">
        <f>+'American Network'!C17+'Bankers Life'!C17+'Booker T Washington'!C17+'CO Bankers'!C17+Freestone!C17+'Life Health America'!C17+'National States'!C17+'North Carolina Mutual'!C17+'Pen  Treaty'!C17+'Senior American'!C17+'Southland National Life'!C17+'Universal Life'!C17</f>
        <v>1475412.8371365638</v>
      </c>
      <c r="D17" s="1">
        <f>+'American Network'!D17+'Bankers Life'!D17+'Booker T Washington'!D17+'CO Bankers'!D17+Freestone!D17+'Life Health America'!D17+'National States'!D17+'North Carolina Mutual'!D17+'Pen  Treaty'!D17+'Senior American'!D17+'Southland National Life'!D17+'Universal Life'!D17</f>
        <v>9617979.2501852755</v>
      </c>
      <c r="E17" s="1">
        <f>+'American Network'!E17+'Bankers Life'!E17+'Booker T Washington'!E17+'CO Bankers'!E17+Freestone!E17+'Life Health America'!E17+'National States'!E17+'North Carolina Mutual'!E17+'Pen  Treaty'!E17+'Senior American'!E17+'Southland National Life'!E17+'Universal Life'!E17</f>
        <v>0</v>
      </c>
      <c r="F17" s="1">
        <f>+'American Network'!F17+'Bankers Life'!F17+'Booker T Washington'!F17+'CO Bankers'!F17+Freestone!F17+'Life Health America'!F17+'National States'!F17+'North Carolina Mutual'!F17+'Pen  Treaty'!F17+'Senior American'!F17+'Southland National Life'!F17+'Universal Life'!F17</f>
        <v>0</v>
      </c>
      <c r="G17" s="1">
        <f t="shared" si="0"/>
        <v>11510749.493258346</v>
      </c>
      <c r="H17" s="1">
        <f>+'American Network'!G17+'Bankers Life'!G17+'Booker T Washington'!G17+'CO Bankers'!G17+Freestone!G17+'Life Health America'!G17+'National States'!G17+'North Carolina Mutual'!G17+'Pen  Treaty'!G17+'Senior American'!G17+'Southland National Life'!G17+'Universal Life'!G17</f>
        <v>11510749.493258348</v>
      </c>
      <c r="I17" s="1">
        <f t="shared" si="1"/>
        <v>0</v>
      </c>
    </row>
    <row r="18" spans="1:12">
      <c r="A18" s="1" t="s">
        <v>30</v>
      </c>
      <c r="B18" s="1">
        <f>+'American Network'!B18+'Bankers Life'!B18+'Booker T Washington'!B18+'CO Bankers'!B18+Freestone!B18+'Life Health America'!B18+'National States'!B18+'North Carolina Mutual'!B18+'Pen  Treaty'!B18+'Senior American'!B18+'Southland National Life'!B18+'Universal Life'!B18</f>
        <v>303689.31563332229</v>
      </c>
      <c r="C18" s="1">
        <f>+'American Network'!C18+'Bankers Life'!C18+'Booker T Washington'!C18+'CO Bankers'!C18+Freestone!C18+'Life Health America'!C18+'National States'!C18+'North Carolina Mutual'!C18+'Pen  Treaty'!C18+'Senior American'!C18+'Southland National Life'!C18+'Universal Life'!C18</f>
        <v>2987270.8714668769</v>
      </c>
      <c r="D18" s="1">
        <f>+'American Network'!D18+'Bankers Life'!D18+'Booker T Washington'!D18+'CO Bankers'!D18+Freestone!D18+'Life Health America'!D18+'National States'!D18+'North Carolina Mutual'!D18+'Pen  Treaty'!D18+'Senior American'!D18+'Southland National Life'!D18+'Universal Life'!D18</f>
        <v>8530810.3106174041</v>
      </c>
      <c r="E18" s="1">
        <f>+'American Network'!E18+'Bankers Life'!E18+'Booker T Washington'!E18+'CO Bankers'!E18+Freestone!E18+'Life Health America'!E18+'National States'!E18+'North Carolina Mutual'!E18+'Pen  Treaty'!E18+'Senior American'!E18+'Southland National Life'!E18+'Universal Life'!E18</f>
        <v>0</v>
      </c>
      <c r="F18" s="1">
        <f>+'American Network'!F18+'Bankers Life'!F18+'Booker T Washington'!F18+'CO Bankers'!F18+Freestone!F18+'Life Health America'!F18+'National States'!F18+'North Carolina Mutual'!F18+'Pen  Treaty'!F18+'Senior American'!F18+'Southland National Life'!F18+'Universal Life'!F18</f>
        <v>0</v>
      </c>
      <c r="G18" s="1">
        <f t="shared" si="0"/>
        <v>11821770.497717604</v>
      </c>
      <c r="H18" s="1">
        <f>+'American Network'!G18+'Bankers Life'!G18+'Booker T Washington'!G18+'CO Bankers'!G18+Freestone!G18+'Life Health America'!G18+'National States'!G18+'North Carolina Mutual'!G18+'Pen  Treaty'!G18+'Senior American'!G18+'Southland National Life'!G18+'Universal Life'!G18</f>
        <v>11821770.497717602</v>
      </c>
      <c r="I18" s="1">
        <f t="shared" si="1"/>
        <v>0</v>
      </c>
      <c r="K18" s="1" t="s">
        <v>8</v>
      </c>
      <c r="L18" s="1">
        <f>SUM(REC_TOTAL)</f>
        <v>4498730778.3917561</v>
      </c>
    </row>
    <row r="19" spans="1:12">
      <c r="A19" s="1" t="s">
        <v>32</v>
      </c>
      <c r="B19" s="1">
        <f>+'American Network'!B19+'Bankers Life'!B19+'Booker T Washington'!B19+'CO Bankers'!B19+Freestone!B19+'Life Health America'!B19+'National States'!B19+'North Carolina Mutual'!B19+'Pen  Treaty'!B19+'Senior American'!B19+'Southland National Life'!B19+'Universal Life'!B19</f>
        <v>9440219.7219104692</v>
      </c>
      <c r="C19" s="1">
        <f>+'American Network'!C19+'Bankers Life'!C19+'Booker T Washington'!C19+'CO Bankers'!C19+Freestone!C19+'Life Health America'!C19+'National States'!C19+'North Carolina Mutual'!C19+'Pen  Treaty'!C19+'Senior American'!C19+'Southland National Life'!C19+'Universal Life'!C19</f>
        <v>28165366.994554728</v>
      </c>
      <c r="D19" s="1">
        <f>+'American Network'!D19+'Bankers Life'!D19+'Booker T Washington'!D19+'CO Bankers'!D19+Freestone!D19+'Life Health America'!D19+'National States'!D19+'North Carolina Mutual'!D19+'Pen  Treaty'!D19+'Senior American'!D19+'Southland National Life'!D19+'Universal Life'!D19</f>
        <v>102886049.94933951</v>
      </c>
      <c r="E19" s="1">
        <f>+'American Network'!E19+'Bankers Life'!E19+'Booker T Washington'!E19+'CO Bankers'!E19+Freestone!E19+'Life Health America'!E19+'National States'!E19+'North Carolina Mutual'!E19+'Pen  Treaty'!E19+'Senior American'!E19+'Southland National Life'!E19+'Universal Life'!E19</f>
        <v>0</v>
      </c>
      <c r="F19" s="1">
        <f>+'American Network'!F19+'Bankers Life'!F19+'Booker T Washington'!F19+'CO Bankers'!F19+Freestone!F19+'Life Health America'!F19+'National States'!F19+'North Carolina Mutual'!F19+'Pen  Treaty'!F19+'Senior American'!F19+'Southland National Life'!F19+'Universal Life'!F19</f>
        <v>0</v>
      </c>
      <c r="G19" s="1">
        <f t="shared" si="0"/>
        <v>140491636.66580471</v>
      </c>
      <c r="H19" s="1">
        <f>+'American Network'!G19+'Bankers Life'!G19+'Booker T Washington'!G19+'CO Bankers'!G19+Freestone!G19+'Life Health America'!G19+'National States'!G19+'North Carolina Mutual'!G19+'Pen  Treaty'!G19+'Senior American'!G19+'Southland National Life'!G19+'Universal Life'!G19</f>
        <v>140491636.66580471</v>
      </c>
      <c r="I19" s="1">
        <f t="shared" si="1"/>
        <v>0</v>
      </c>
      <c r="K19" s="1" t="s">
        <v>711</v>
      </c>
      <c r="L19" s="1">
        <f>SUM(TOTAL)</f>
        <v>4498730778.7717552</v>
      </c>
    </row>
    <row r="20" spans="1:12">
      <c r="A20" s="1" t="s">
        <v>34</v>
      </c>
      <c r="B20" s="1">
        <f>+'American Network'!B20+'Bankers Life'!B20+'Booker T Washington'!B20+'CO Bankers'!B20+Freestone!B20+'Life Health America'!B20+'National States'!B20+'North Carolina Mutual'!B20+'Pen  Treaty'!B20+'Senior American'!B20+'Southland National Life'!B20+'Universal Life'!B20</f>
        <v>3009313.1083325231</v>
      </c>
      <c r="C20" s="1">
        <f>+'American Network'!C20+'Bankers Life'!C20+'Booker T Washington'!C20+'CO Bankers'!C20+Freestone!C20+'Life Health America'!C20+'National States'!C20+'North Carolina Mutual'!C20+'Pen  Treaty'!C20+'Senior American'!C20+'Southland National Life'!C20+'Universal Life'!C20</f>
        <v>22215860.379427437</v>
      </c>
      <c r="D20" s="1">
        <f>+'American Network'!D20+'Bankers Life'!D20+'Booker T Washington'!D20+'CO Bankers'!D20+Freestone!D20+'Life Health America'!D20+'National States'!D20+'North Carolina Mutual'!D20+'Pen  Treaty'!D20+'Senior American'!D20+'Southland National Life'!D20+'Universal Life'!D20</f>
        <v>25517987.925437078</v>
      </c>
      <c r="E20" s="1">
        <f>+'American Network'!E20+'Bankers Life'!E20+'Booker T Washington'!E20+'CO Bankers'!E20+Freestone!E20+'Life Health America'!E20+'National States'!E20+'North Carolina Mutual'!E20+'Pen  Treaty'!E20+'Senior American'!E20+'Southland National Life'!E20+'Universal Life'!E20</f>
        <v>0</v>
      </c>
      <c r="F20" s="1">
        <f>+'American Network'!F20+'Bankers Life'!F20+'Booker T Washington'!F20+'CO Bankers'!F20+Freestone!F20+'Life Health America'!F20+'National States'!F20+'North Carolina Mutual'!F20+'Pen  Treaty'!F20+'Senior American'!F20+'Southland National Life'!F20+'Universal Life'!F20</f>
        <v>0</v>
      </c>
      <c r="G20" s="1">
        <f t="shared" si="0"/>
        <v>50743161.413197041</v>
      </c>
      <c r="H20" s="1">
        <f>+'American Network'!G20+'Bankers Life'!G20+'Booker T Washington'!G20+'CO Bankers'!G20+Freestone!G20+'Life Health America'!G20+'National States'!G20+'North Carolina Mutual'!G20+'Pen  Treaty'!G20+'Senior American'!G20+'Southland National Life'!G20+'Universal Life'!G20</f>
        <v>50743161.413197033</v>
      </c>
      <c r="I20" s="1">
        <f t="shared" si="1"/>
        <v>0</v>
      </c>
      <c r="L20" s="1">
        <f>SUM(TOTAL)-SUM(REC_TOTAL)</f>
        <v>0.37999916076660156</v>
      </c>
    </row>
    <row r="21" spans="1:12">
      <c r="A21" s="1" t="s">
        <v>36</v>
      </c>
      <c r="B21" s="1">
        <f>+'American Network'!B21+'Bankers Life'!B21+'Booker T Washington'!B21+'CO Bankers'!B21+Freestone!B21+'Life Health America'!B21+'National States'!B21+'North Carolina Mutual'!B21+'Pen  Treaty'!B21+'Senior American'!B21+'Southland National Life'!B21+'Universal Life'!B21</f>
        <v>703113.01585100184</v>
      </c>
      <c r="C21" s="1">
        <f>+'American Network'!C21+'Bankers Life'!C21+'Booker T Washington'!C21+'CO Bankers'!C21+Freestone!C21+'Life Health America'!C21+'National States'!C21+'North Carolina Mutual'!C21+'Pen  Treaty'!C21+'Senior American'!C21+'Southland National Life'!C21+'Universal Life'!C21</f>
        <v>10080848.208601195</v>
      </c>
      <c r="D21" s="1">
        <f>+'American Network'!D21+'Bankers Life'!D21+'Booker T Washington'!D21+'CO Bankers'!D21+Freestone!D21+'Life Health America'!D21+'National States'!D21+'North Carolina Mutual'!D21+'Pen  Treaty'!D21+'Senior American'!D21+'Southland National Life'!D21+'Universal Life'!D21</f>
        <v>89613194.333109915</v>
      </c>
      <c r="E21" s="1">
        <f>+'American Network'!E21+'Bankers Life'!E21+'Booker T Washington'!E21+'CO Bankers'!E21+Freestone!E21+'Life Health America'!E21+'National States'!E21+'North Carolina Mutual'!E21+'Pen  Treaty'!E21+'Senior American'!E21+'Southland National Life'!E21+'Universal Life'!E21</f>
        <v>0</v>
      </c>
      <c r="F21" s="1">
        <f>+'American Network'!F21+'Bankers Life'!F21+'Booker T Washington'!F21+'CO Bankers'!F21+Freestone!F21+'Life Health America'!F21+'National States'!F21+'North Carolina Mutual'!F21+'Pen  Treaty'!F21+'Senior American'!F21+'Southland National Life'!F21+'Universal Life'!F21</f>
        <v>0</v>
      </c>
      <c r="G21" s="1">
        <f t="shared" si="0"/>
        <v>100397155.55756211</v>
      </c>
      <c r="H21" s="1">
        <f>+'American Network'!G21+'Bankers Life'!G21+'Booker T Washington'!G21+'CO Bankers'!G21+Freestone!G21+'Life Health America'!G21+'National States'!G21+'North Carolina Mutual'!G21+'Pen  Treaty'!G21+'Senior American'!G21+'Southland National Life'!G21+'Universal Life'!G21</f>
        <v>100397155.55756211</v>
      </c>
      <c r="I21" s="1">
        <f t="shared" si="1"/>
        <v>0</v>
      </c>
    </row>
    <row r="22" spans="1:12">
      <c r="A22" s="1" t="s">
        <v>38</v>
      </c>
      <c r="B22" s="1">
        <f>+'American Network'!B22+'Bankers Life'!B22+'Booker T Washington'!B22+'CO Bankers'!B22+Freestone!B22+'Life Health America'!B22+'National States'!B22+'North Carolina Mutual'!B22+'Pen  Treaty'!B22+'Senior American'!B22+'Southland National Life'!B22+'Universal Life'!B22</f>
        <v>552783.02248714038</v>
      </c>
      <c r="C22" s="1">
        <f>+'American Network'!C22+'Bankers Life'!C22+'Booker T Washington'!C22+'CO Bankers'!C22+Freestone!C22+'Life Health America'!C22+'National States'!C22+'North Carolina Mutual'!C22+'Pen  Treaty'!C22+'Senior American'!C22+'Southland National Life'!C22+'Universal Life'!C22</f>
        <v>20302697.807284854</v>
      </c>
      <c r="D22" s="1">
        <f>+'American Network'!D22+'Bankers Life'!D22+'Booker T Washington'!D22+'CO Bankers'!D22+Freestone!D22+'Life Health America'!D22+'National States'!D22+'North Carolina Mutual'!D22+'Pen  Treaty'!D22+'Senior American'!D22+'Southland National Life'!D22+'Universal Life'!D22</f>
        <v>13843852.075694676</v>
      </c>
      <c r="E22" s="1">
        <f>+'American Network'!E22+'Bankers Life'!E22+'Booker T Washington'!E22+'CO Bankers'!E22+Freestone!E22+'Life Health America'!E22+'National States'!E22+'North Carolina Mutual'!E22+'Pen  Treaty'!E22+'Senior American'!E22+'Southland National Life'!E22+'Universal Life'!E22</f>
        <v>0</v>
      </c>
      <c r="F22" s="1">
        <f>+'American Network'!F22+'Bankers Life'!F22+'Booker T Washington'!F22+'CO Bankers'!F22+Freestone!F22+'Life Health America'!F22+'National States'!F22+'North Carolina Mutual'!F22+'Pen  Treaty'!F22+'Senior American'!F22+'Southland National Life'!F22+'Universal Life'!F22</f>
        <v>0</v>
      </c>
      <c r="G22" s="1">
        <f t="shared" si="0"/>
        <v>34699332.905466676</v>
      </c>
      <c r="H22" s="1">
        <f>+'American Network'!G22+'Bankers Life'!G22+'Booker T Washington'!G22+'CO Bankers'!G22+Freestone!G22+'Life Health America'!G22+'National States'!G22+'North Carolina Mutual'!G22+'Pen  Treaty'!G22+'Senior American'!G22+'Southland National Life'!G22+'Universal Life'!G22</f>
        <v>34699332.905466676</v>
      </c>
      <c r="I22" s="1">
        <f t="shared" si="1"/>
        <v>0</v>
      </c>
    </row>
    <row r="23" spans="1:12">
      <c r="A23" s="1" t="s">
        <v>40</v>
      </c>
      <c r="B23" s="1">
        <f>+'American Network'!B23+'Bankers Life'!B23+'Booker T Washington'!B23+'CO Bankers'!B23+Freestone!B23+'Life Health America'!B23+'National States'!B23+'North Carolina Mutual'!B23+'Pen  Treaty'!B23+'Senior American'!B23+'Southland National Life'!B23+'Universal Life'!B23</f>
        <v>3075405.7083801273</v>
      </c>
      <c r="C23" s="1">
        <f>+'American Network'!C23+'Bankers Life'!C23+'Booker T Washington'!C23+'CO Bankers'!C23+Freestone!C23+'Life Health America'!C23+'National States'!C23+'North Carolina Mutual'!C23+'Pen  Treaty'!C23+'Senior American'!C23+'Southland National Life'!C23+'Universal Life'!C23</f>
        <v>27654849.911260359</v>
      </c>
      <c r="D23" s="1">
        <f>+'American Network'!D23+'Bankers Life'!D23+'Booker T Washington'!D23+'CO Bankers'!D23+Freestone!D23+'Life Health America'!D23+'National States'!D23+'North Carolina Mutual'!D23+'Pen  Treaty'!D23+'Senior American'!D23+'Southland National Life'!D23+'Universal Life'!D23</f>
        <v>46238490.324497998</v>
      </c>
      <c r="E23" s="1">
        <f>+'American Network'!E23+'Bankers Life'!E23+'Booker T Washington'!E23+'CO Bankers'!E23+Freestone!E23+'Life Health America'!E23+'National States'!E23+'North Carolina Mutual'!E23+'Pen  Treaty'!E23+'Senior American'!E23+'Southland National Life'!E23+'Universal Life'!E23</f>
        <v>0</v>
      </c>
      <c r="F23" s="1">
        <f>+'American Network'!F23+'Bankers Life'!F23+'Booker T Washington'!F23+'CO Bankers'!F23+Freestone!F23+'Life Health America'!F23+'National States'!F23+'North Carolina Mutual'!F23+'Pen  Treaty'!F23+'Senior American'!F23+'Southland National Life'!F23+'Universal Life'!F23</f>
        <v>0</v>
      </c>
      <c r="G23" s="1">
        <f t="shared" si="0"/>
        <v>76968745.944138482</v>
      </c>
      <c r="H23" s="1">
        <f>+'American Network'!G23+'Bankers Life'!G23+'Booker T Washington'!G23+'CO Bankers'!G23+Freestone!G23+'Life Health America'!G23+'National States'!G23+'North Carolina Mutual'!G23+'Pen  Treaty'!G23+'Senior American'!G23+'Southland National Life'!G23+'Universal Life'!G23</f>
        <v>76968745.944138482</v>
      </c>
      <c r="I23" s="1">
        <f t="shared" si="1"/>
        <v>0</v>
      </c>
    </row>
    <row r="24" spans="1:12">
      <c r="A24" s="1" t="s">
        <v>42</v>
      </c>
      <c r="B24" s="1">
        <f>+'American Network'!B24+'Bankers Life'!B24+'Booker T Washington'!B24+'CO Bankers'!B24+Freestone!B24+'Life Health America'!B24+'National States'!B24+'North Carolina Mutual'!B24+'Pen  Treaty'!B24+'Senior American'!B24+'Southland National Life'!B24+'Universal Life'!B24</f>
        <v>42443822.065988526</v>
      </c>
      <c r="C24" s="1">
        <f>+'American Network'!C24+'Bankers Life'!C24+'Booker T Washington'!C24+'CO Bankers'!C24+Freestone!C24+'Life Health America'!C24+'National States'!C24+'North Carolina Mutual'!C24+'Pen  Treaty'!C24+'Senior American'!C24+'Southland National Life'!C24+'Universal Life'!C24</f>
        <v>12070167.500517633</v>
      </c>
      <c r="D24" s="1">
        <f>+'American Network'!D24+'Bankers Life'!D24+'Booker T Washington'!D24+'CO Bankers'!D24+Freestone!D24+'Life Health America'!D24+'National States'!D24+'North Carolina Mutual'!D24+'Pen  Treaty'!D24+'Senior American'!D24+'Southland National Life'!D24+'Universal Life'!D24</f>
        <v>11747581.876639305</v>
      </c>
      <c r="E24" s="1">
        <f>+'American Network'!E24+'Bankers Life'!E24+'Booker T Washington'!E24+'CO Bankers'!E24+Freestone!E24+'Life Health America'!E24+'National States'!E24+'North Carolina Mutual'!E24+'Pen  Treaty'!E24+'Senior American'!E24+'Southland National Life'!E24+'Universal Life'!E24</f>
        <v>0</v>
      </c>
      <c r="F24" s="1">
        <f>+'American Network'!F24+'Bankers Life'!F24+'Booker T Washington'!F24+'CO Bankers'!F24+Freestone!F24+'Life Health America'!F24+'National States'!F24+'North Carolina Mutual'!F24+'Pen  Treaty'!F24+'Senior American'!F24+'Southland National Life'!F24+'Universal Life'!F24</f>
        <v>9620228.1437475644</v>
      </c>
      <c r="G24" s="1">
        <f t="shared" si="0"/>
        <v>75881799.586893037</v>
      </c>
      <c r="H24" s="1">
        <f>+'American Network'!G24+'Bankers Life'!G24+'Booker T Washington'!G24+'CO Bankers'!G24+Freestone!G24+'Life Health America'!G24+'National States'!G24+'North Carolina Mutual'!G24+'Pen  Treaty'!G24+'Senior American'!G24+'Southland National Life'!G24+'Universal Life'!G24</f>
        <v>75881799.586893037</v>
      </c>
      <c r="I24" s="1">
        <f t="shared" si="1"/>
        <v>0</v>
      </c>
    </row>
    <row r="25" spans="1:12">
      <c r="A25" s="1" t="s">
        <v>44</v>
      </c>
      <c r="B25" s="1">
        <f>+'American Network'!B25+'Bankers Life'!B25+'Booker T Washington'!B25+'CO Bankers'!B25+Freestone!B25+'Life Health America'!B25+'National States'!B25+'North Carolina Mutual'!B25+'Pen  Treaty'!B25+'Senior American'!B25+'Southland National Life'!B25+'Universal Life'!B25</f>
        <v>23174.320284373411</v>
      </c>
      <c r="C25" s="1">
        <f>+'American Network'!C25+'Bankers Life'!C25+'Booker T Washington'!C25+'CO Bankers'!C25+Freestone!C25+'Life Health America'!C25+'National States'!C25+'North Carolina Mutual'!C25+'Pen  Treaty'!C25+'Senior American'!C25+'Southland National Life'!C25+'Universal Life'!C25</f>
        <v>3279914.7366009913</v>
      </c>
      <c r="D25" s="1">
        <f>+'American Network'!D25+'Bankers Life'!D25+'Booker T Washington'!D25+'CO Bankers'!D25+Freestone!D25+'Life Health America'!D25+'National States'!D25+'North Carolina Mutual'!D25+'Pen  Treaty'!D25+'Senior American'!D25+'Southland National Life'!D25+'Universal Life'!D25</f>
        <v>805489.25432312838</v>
      </c>
      <c r="E25" s="1">
        <f>+'American Network'!E25+'Bankers Life'!E25+'Booker T Washington'!E25+'CO Bankers'!E25+Freestone!E25+'Life Health America'!E25+'National States'!E25+'North Carolina Mutual'!E25+'Pen  Treaty'!E25+'Senior American'!E25+'Southland National Life'!E25+'Universal Life'!E25</f>
        <v>0</v>
      </c>
      <c r="F25" s="1">
        <f>+'American Network'!F25+'Bankers Life'!F25+'Booker T Washington'!F25+'CO Bankers'!F25+Freestone!F25+'Life Health America'!F25+'National States'!F25+'North Carolina Mutual'!F25+'Pen  Treaty'!F25+'Senior American'!F25+'Southland National Life'!F25+'Universal Life'!F25</f>
        <v>0</v>
      </c>
      <c r="G25" s="1">
        <f t="shared" si="0"/>
        <v>4108578.3112084931</v>
      </c>
      <c r="H25" s="1">
        <f>+'American Network'!G25+'Bankers Life'!G25+'Booker T Washington'!G25+'CO Bankers'!G25+Freestone!G25+'Life Health America'!G25+'National States'!G25+'North Carolina Mutual'!G25+'Pen  Treaty'!G25+'Senior American'!G25+'Southland National Life'!G25+'Universal Life'!G25</f>
        <v>4108578.3112084931</v>
      </c>
      <c r="I25" s="1">
        <f t="shared" si="1"/>
        <v>0</v>
      </c>
    </row>
    <row r="26" spans="1:12">
      <c r="A26" s="1" t="s">
        <v>45</v>
      </c>
      <c r="B26" s="1">
        <f>+'American Network'!B26+'Bankers Life'!B26+'Booker T Washington'!B26+'CO Bankers'!B26+Freestone!B26+'Life Health America'!B26+'National States'!B26+'North Carolina Mutual'!B26+'Pen  Treaty'!B26+'Senior American'!B26+'Southland National Life'!B26+'Universal Life'!B26</f>
        <v>23718316.478637189</v>
      </c>
      <c r="C26" s="1">
        <f>+'American Network'!C26+'Bankers Life'!C26+'Booker T Washington'!C26+'CO Bankers'!C26+Freestone!C26+'Life Health America'!C26+'National States'!C26+'North Carolina Mutual'!C26+'Pen  Treaty'!C26+'Senior American'!C26+'Southland National Life'!C26+'Universal Life'!C26</f>
        <v>19655806.981156264</v>
      </c>
      <c r="D26" s="1">
        <f>+'American Network'!D26+'Bankers Life'!D26+'Booker T Washington'!D26+'CO Bankers'!D26+Freestone!D26+'Life Health America'!D26+'National States'!D26+'North Carolina Mutual'!D26+'Pen  Treaty'!D26+'Senior American'!D26+'Southland National Life'!D26+'Universal Life'!D26</f>
        <v>34030435.860427417</v>
      </c>
      <c r="E26" s="1">
        <f>+'American Network'!E26+'Bankers Life'!E26+'Booker T Washington'!E26+'CO Bankers'!E26+Freestone!E26+'Life Health America'!E26+'National States'!E26+'North Carolina Mutual'!E26+'Pen  Treaty'!E26+'Senior American'!E26+'Southland National Life'!E26+'Universal Life'!E26</f>
        <v>0</v>
      </c>
      <c r="F26" s="1">
        <f>+'American Network'!F26+'Bankers Life'!F26+'Booker T Washington'!F26+'CO Bankers'!F26+Freestone!F26+'Life Health America'!F26+'National States'!F26+'North Carolina Mutual'!F26+'Pen  Treaty'!F26+'Senior American'!F26+'Southland National Life'!F26+'Universal Life'!F26</f>
        <v>0</v>
      </c>
      <c r="G26" s="1">
        <f t="shared" si="0"/>
        <v>77404559.320220858</v>
      </c>
      <c r="H26" s="1">
        <f>+'American Network'!G26+'Bankers Life'!G26+'Booker T Washington'!G26+'CO Bankers'!G26+Freestone!G26+'Life Health America'!G26+'National States'!G26+'North Carolina Mutual'!G26+'Pen  Treaty'!G26+'Senior American'!G26+'Southland National Life'!G26+'Universal Life'!G26</f>
        <v>77404559.320220873</v>
      </c>
      <c r="I26" s="1">
        <f t="shared" si="1"/>
        <v>0</v>
      </c>
    </row>
    <row r="27" spans="1:12">
      <c r="A27" s="1" t="s">
        <v>47</v>
      </c>
      <c r="B27" s="1">
        <f>+'American Network'!B27+'Bankers Life'!B27+'Booker T Washington'!B27+'CO Bankers'!B27+Freestone!B27+'Life Health America'!B27+'National States'!B27+'North Carolina Mutual'!B27+'Pen  Treaty'!B27+'Senior American'!B27+'Southland National Life'!B27+'Universal Life'!B27</f>
        <v>383222.37286967383</v>
      </c>
      <c r="C27" s="1">
        <f>+'American Network'!C27+'Bankers Life'!C27+'Booker T Washington'!C27+'CO Bankers'!C27+Freestone!C27+'Life Health America'!C27+'National States'!C27+'North Carolina Mutual'!C27+'Pen  Treaty'!C27+'Senior American'!C27+'Southland National Life'!C27+'Universal Life'!C27</f>
        <v>93508708.724869072</v>
      </c>
      <c r="D27" s="1">
        <f>+'American Network'!D27+'Bankers Life'!D27+'Booker T Washington'!D27+'CO Bankers'!D27+Freestone!D27+'Life Health America'!D27+'National States'!D27+'North Carolina Mutual'!D27+'Pen  Treaty'!D27+'Senior American'!D27+'Southland National Life'!D27+'Universal Life'!D27</f>
        <v>2514103.9086584132</v>
      </c>
      <c r="E27" s="1">
        <f>+'American Network'!E27+'Bankers Life'!E27+'Booker T Washington'!E27+'CO Bankers'!E27+Freestone!E27+'Life Health America'!E27+'National States'!E27+'North Carolina Mutual'!E27+'Pen  Treaty'!E27+'Senior American'!E27+'Southland National Life'!E27+'Universal Life'!E27</f>
        <v>0</v>
      </c>
      <c r="F27" s="1">
        <f>+'American Network'!F27+'Bankers Life'!F27+'Booker T Washington'!F27+'CO Bankers'!F27+Freestone!F27+'Life Health America'!F27+'National States'!F27+'North Carolina Mutual'!F27+'Pen  Treaty'!F27+'Senior American'!F27+'Southland National Life'!F27+'Universal Life'!F27</f>
        <v>0</v>
      </c>
      <c r="G27" s="1">
        <f t="shared" si="0"/>
        <v>96406035.006397158</v>
      </c>
      <c r="H27" s="1">
        <f>+'American Network'!G27+'Bankers Life'!G27+'Booker T Washington'!G27+'CO Bankers'!G27+Freestone!G27+'Life Health America'!G27+'National States'!G27+'North Carolina Mutual'!G27+'Pen  Treaty'!G27+'Senior American'!G27+'Southland National Life'!G27+'Universal Life'!G27</f>
        <v>96406035.006397158</v>
      </c>
      <c r="I27" s="1">
        <f t="shared" si="1"/>
        <v>0</v>
      </c>
    </row>
    <row r="28" spans="1:12">
      <c r="A28" s="1" t="s">
        <v>49</v>
      </c>
      <c r="B28" s="1">
        <f>+'American Network'!B28+'Bankers Life'!B28+'Booker T Washington'!B28+'CO Bankers'!B28+Freestone!B28+'Life Health America'!B28+'National States'!B28+'North Carolina Mutual'!B28+'Pen  Treaty'!B28+'Senior American'!B28+'Southland National Life'!B28+'Universal Life'!B28</f>
        <v>7142381.0050134566</v>
      </c>
      <c r="C28" s="1">
        <f>+'American Network'!C28+'Bankers Life'!C28+'Booker T Washington'!C28+'CO Bankers'!C28+Freestone!C28+'Life Health America'!C28+'National States'!C28+'North Carolina Mutual'!C28+'Pen  Treaty'!C28+'Senior American'!C28+'Southland National Life'!C28+'Universal Life'!C28</f>
        <v>67474759.94104977</v>
      </c>
      <c r="D28" s="1">
        <f>+'American Network'!D28+'Bankers Life'!D28+'Booker T Washington'!D28+'CO Bankers'!D28+Freestone!D28+'Life Health America'!D28+'National States'!D28+'North Carolina Mutual'!D28+'Pen  Treaty'!D28+'Senior American'!D28+'Southland National Life'!D28+'Universal Life'!D28</f>
        <v>33963327.61374408</v>
      </c>
      <c r="E28" s="1">
        <f>+'American Network'!E28+'Bankers Life'!E28+'Booker T Washington'!E28+'CO Bankers'!E28+Freestone!E28+'Life Health America'!E28+'National States'!E28+'North Carolina Mutual'!E28+'Pen  Treaty'!E28+'Senior American'!E28+'Southland National Life'!E28+'Universal Life'!E28</f>
        <v>0</v>
      </c>
      <c r="F28" s="1">
        <f>+'American Network'!F28+'Bankers Life'!F28+'Booker T Washington'!F28+'CO Bankers'!F28+Freestone!F28+'Life Health America'!F28+'National States'!F28+'North Carolina Mutual'!F28+'Pen  Treaty'!F28+'Senior American'!F28+'Southland National Life'!F28+'Universal Life'!F28</f>
        <v>0</v>
      </c>
      <c r="G28" s="1">
        <f t="shared" si="0"/>
        <v>108580468.5598073</v>
      </c>
      <c r="H28" s="1">
        <f>+'American Network'!G28+'Bankers Life'!G28+'Booker T Washington'!G28+'CO Bankers'!G28+Freestone!G28+'Life Health America'!G28+'National States'!G28+'North Carolina Mutual'!G28+'Pen  Treaty'!G28+'Senior American'!G28+'Southland National Life'!G28+'Universal Life'!G28</f>
        <v>108580468.55980732</v>
      </c>
      <c r="I28" s="1">
        <f t="shared" si="1"/>
        <v>0</v>
      </c>
    </row>
    <row r="29" spans="1:12">
      <c r="A29" s="1" t="s">
        <v>50</v>
      </c>
      <c r="B29" s="1">
        <f>+'American Network'!B29+'Bankers Life'!B29+'Booker T Washington'!B29+'CO Bankers'!B29+Freestone!B29+'Life Health America'!B29+'National States'!B29+'North Carolina Mutual'!B29+'Pen  Treaty'!B29+'Senior American'!B29+'Southland National Life'!B29+'Universal Life'!B29</f>
        <v>192421.27855852497</v>
      </c>
      <c r="C29" s="1">
        <f>+'American Network'!C29+'Bankers Life'!C29+'Booker T Washington'!C29+'CO Bankers'!C29+Freestone!C29+'Life Health America'!C29+'National States'!C29+'North Carolina Mutual'!C29+'Pen  Treaty'!C29+'Senior American'!C29+'Southland National Life'!C29+'Universal Life'!C29</f>
        <v>13602577.160255089</v>
      </c>
      <c r="D29" s="1">
        <f>+'American Network'!D29+'Bankers Life'!D29+'Booker T Washington'!D29+'CO Bankers'!D29+Freestone!D29+'Life Health America'!D29+'National States'!D29+'North Carolina Mutual'!D29+'Pen  Treaty'!D29+'Senior American'!D29+'Southland National Life'!D29+'Universal Life'!D29</f>
        <v>4461222.0316202808</v>
      </c>
      <c r="E29" s="1">
        <f>+'American Network'!E29+'Bankers Life'!E29+'Booker T Washington'!E29+'CO Bankers'!E29+Freestone!E29+'Life Health America'!E29+'National States'!E29+'North Carolina Mutual'!E29+'Pen  Treaty'!E29+'Senior American'!E29+'Southland National Life'!E29+'Universal Life'!E29</f>
        <v>0</v>
      </c>
      <c r="F29" s="1">
        <f>+'American Network'!F29+'Bankers Life'!F29+'Booker T Washington'!F29+'CO Bankers'!F29+Freestone!F29+'Life Health America'!F29+'National States'!F29+'North Carolina Mutual'!F29+'Pen  Treaty'!F29+'Senior American'!F29+'Southland National Life'!F29+'Universal Life'!F29</f>
        <v>0</v>
      </c>
      <c r="G29" s="1">
        <f t="shared" si="0"/>
        <v>18256220.470433895</v>
      </c>
      <c r="H29" s="1">
        <f>+'American Network'!G29+'Bankers Life'!G29+'Booker T Washington'!G29+'CO Bankers'!G29+Freestone!G29+'Life Health America'!G29+'National States'!G29+'North Carolina Mutual'!G29+'Pen  Treaty'!G29+'Senior American'!G29+'Southland National Life'!G29+'Universal Life'!G29</f>
        <v>18256220.470433895</v>
      </c>
      <c r="I29" s="1">
        <f t="shared" si="1"/>
        <v>0</v>
      </c>
    </row>
    <row r="30" spans="1:12">
      <c r="A30" s="1" t="s">
        <v>51</v>
      </c>
      <c r="B30" s="1">
        <f>+'American Network'!B30+'Bankers Life'!B30+'Booker T Washington'!B30+'CO Bankers'!B30+Freestone!B30+'Life Health America'!B30+'National States'!B30+'North Carolina Mutual'!B30+'Pen  Treaty'!B30+'Senior American'!B30+'Southland National Life'!B30+'Universal Life'!B30</f>
        <v>7209794.4846181618</v>
      </c>
      <c r="C30" s="1">
        <f>+'American Network'!C30+'Bankers Life'!C30+'Booker T Washington'!C30+'CO Bankers'!C30+Freestone!C30+'Life Health America'!C30+'National States'!C30+'North Carolina Mutual'!C30+'Pen  Treaty'!C30+'Senior American'!C30+'Southland National Life'!C30+'Universal Life'!C30</f>
        <v>5783409.9692506809</v>
      </c>
      <c r="D30" s="1">
        <f>+'American Network'!D30+'Bankers Life'!D30+'Booker T Washington'!D30+'CO Bankers'!D30+Freestone!D30+'Life Health America'!D30+'National States'!D30+'North Carolina Mutual'!D30+'Pen  Treaty'!D30+'Senior American'!D30+'Southland National Life'!D30+'Universal Life'!D30</f>
        <v>26024359.886940893</v>
      </c>
      <c r="E30" s="1">
        <f>+'American Network'!E30+'Bankers Life'!E30+'Booker T Washington'!E30+'CO Bankers'!E30+Freestone!E30+'Life Health America'!E30+'National States'!E30+'North Carolina Mutual'!E30+'Pen  Treaty'!E30+'Senior American'!E30+'Southland National Life'!E30+'Universal Life'!E30</f>
        <v>0</v>
      </c>
      <c r="F30" s="1">
        <f>+'American Network'!F30+'Bankers Life'!F30+'Booker T Washington'!F30+'CO Bankers'!F30+Freestone!F30+'Life Health America'!F30+'National States'!F30+'North Carolina Mutual'!F30+'Pen  Treaty'!F30+'Senior American'!F30+'Southland National Life'!F30+'Universal Life'!F30</f>
        <v>0</v>
      </c>
      <c r="G30" s="1">
        <f t="shared" si="0"/>
        <v>39017564.340809733</v>
      </c>
      <c r="H30" s="1">
        <f>+'American Network'!G30+'Bankers Life'!G30+'Booker T Washington'!G30+'CO Bankers'!G30+Freestone!G30+'Life Health America'!G30+'National States'!G30+'North Carolina Mutual'!G30+'Pen  Treaty'!G30+'Senior American'!G30+'Southland National Life'!G30+'Universal Life'!G30</f>
        <v>39017564.340809733</v>
      </c>
      <c r="I30" s="1">
        <f t="shared" si="1"/>
        <v>0</v>
      </c>
    </row>
    <row r="31" spans="1:12">
      <c r="A31" s="1" t="s">
        <v>52</v>
      </c>
      <c r="B31" s="1">
        <f>+'American Network'!B31+'Bankers Life'!B31+'Booker T Washington'!B31+'CO Bankers'!B31+Freestone!B31+'Life Health America'!B31+'National States'!B31+'North Carolina Mutual'!B31+'Pen  Treaty'!B31+'Senior American'!B31+'Southland National Life'!B31+'Universal Life'!B31</f>
        <v>2139052.0010667257</v>
      </c>
      <c r="C31" s="1">
        <f>+'American Network'!C31+'Bankers Life'!C31+'Booker T Washington'!C31+'CO Bankers'!C31+Freestone!C31+'Life Health America'!C31+'National States'!C31+'North Carolina Mutual'!C31+'Pen  Treaty'!C31+'Senior American'!C31+'Southland National Life'!C31+'Universal Life'!C31</f>
        <v>19163716.040125743</v>
      </c>
      <c r="D31" s="1">
        <f>+'American Network'!D31+'Bankers Life'!D31+'Booker T Washington'!D31+'CO Bankers'!D31+Freestone!D31+'Life Health America'!D31+'National States'!D31+'North Carolina Mutual'!D31+'Pen  Treaty'!D31+'Senior American'!D31+'Southland National Life'!D31+'Universal Life'!D31</f>
        <v>20862136.259479512</v>
      </c>
      <c r="E31" s="1">
        <f>+'American Network'!E31+'Bankers Life'!E31+'Booker T Washington'!E31+'CO Bankers'!E31+Freestone!E31+'Life Health America'!E31+'National States'!E31+'North Carolina Mutual'!E31+'Pen  Treaty'!E31+'Senior American'!E31+'Southland National Life'!E31+'Universal Life'!E31</f>
        <v>0</v>
      </c>
      <c r="F31" s="1">
        <f>+'American Network'!F31+'Bankers Life'!F31+'Booker T Washington'!F31+'CO Bankers'!F31+Freestone!F31+'Life Health America'!F31+'National States'!F31+'North Carolina Mutual'!F31+'Pen  Treaty'!F31+'Senior American'!F31+'Southland National Life'!F31+'Universal Life'!F31</f>
        <v>0</v>
      </c>
      <c r="G31" s="1">
        <f t="shared" si="0"/>
        <v>42164904.30067198</v>
      </c>
      <c r="H31" s="1">
        <f>+'American Network'!G31+'Bankers Life'!G31+'Booker T Washington'!G31+'CO Bankers'!G31+Freestone!G31+'Life Health America'!G31+'National States'!G31+'North Carolina Mutual'!G31+'Pen  Treaty'!G31+'Senior American'!G31+'Southland National Life'!G31+'Universal Life'!G31</f>
        <v>42164904.300671972</v>
      </c>
      <c r="I31" s="1">
        <f t="shared" si="1"/>
        <v>0</v>
      </c>
    </row>
    <row r="32" spans="1:12">
      <c r="A32" s="1" t="s">
        <v>53</v>
      </c>
      <c r="B32" s="1">
        <f>+'American Network'!B32+'Bankers Life'!B32+'Booker T Washington'!B32+'CO Bankers'!B32+Freestone!B32+'Life Health America'!B32+'National States'!B32+'North Carolina Mutual'!B32+'Pen  Treaty'!B32+'Senior American'!B32+'Southland National Life'!B32+'Universal Life'!B32</f>
        <v>143672.34094238331</v>
      </c>
      <c r="C32" s="1">
        <f>+'American Network'!C32+'Bankers Life'!C32+'Booker T Washington'!C32+'CO Bankers'!C32+Freestone!C32+'Life Health America'!C32+'National States'!C32+'North Carolina Mutual'!C32+'Pen  Treaty'!C32+'Senior American'!C32+'Southland National Life'!C32+'Universal Life'!C32</f>
        <v>922213.2197984641</v>
      </c>
      <c r="D32" s="1">
        <f>+'American Network'!D32+'Bankers Life'!D32+'Booker T Washington'!D32+'CO Bankers'!D32+Freestone!D32+'Life Health America'!D32+'National States'!D32+'North Carolina Mutual'!D32+'Pen  Treaty'!D32+'Senior American'!D32+'Southland National Life'!D32+'Universal Life'!D32</f>
        <v>5365856.261496095</v>
      </c>
      <c r="E32" s="1">
        <f>+'American Network'!E32+'Bankers Life'!E32+'Booker T Washington'!E32+'CO Bankers'!E32+Freestone!E32+'Life Health America'!E32+'National States'!E32+'North Carolina Mutual'!E32+'Pen  Treaty'!E32+'Senior American'!E32+'Southland National Life'!E32+'Universal Life'!E32</f>
        <v>0</v>
      </c>
      <c r="F32" s="1">
        <f>+'American Network'!F32+'Bankers Life'!F32+'Booker T Washington'!F32+'CO Bankers'!F32+Freestone!F32+'Life Health America'!F32+'National States'!F32+'North Carolina Mutual'!F32+'Pen  Treaty'!F32+'Senior American'!F32+'Southland National Life'!F32+'Universal Life'!F32</f>
        <v>0</v>
      </c>
      <c r="G32" s="1">
        <f t="shared" si="0"/>
        <v>6431741.8222369421</v>
      </c>
      <c r="H32" s="1">
        <f>+'American Network'!G32+'Bankers Life'!G32+'Booker T Washington'!G32+'CO Bankers'!G32+Freestone!G32+'Life Health America'!G32+'National States'!G32+'North Carolina Mutual'!G32+'Pen  Treaty'!G32+'Senior American'!G32+'Southland National Life'!G32+'Universal Life'!G32</f>
        <v>6431741.8222369421</v>
      </c>
      <c r="I32" s="1">
        <f t="shared" si="1"/>
        <v>0</v>
      </c>
    </row>
    <row r="33" spans="1:9">
      <c r="A33" s="1" t="s">
        <v>54</v>
      </c>
      <c r="B33" s="1">
        <f>+'American Network'!B33+'Bankers Life'!B33+'Booker T Washington'!B33+'CO Bankers'!B33+Freestone!B33+'Life Health America'!B33+'National States'!B33+'North Carolina Mutual'!B33+'Pen  Treaty'!B33+'Senior American'!B33+'Southland National Life'!B33+'Universal Life'!B33</f>
        <v>374820.334844622</v>
      </c>
      <c r="C33" s="1">
        <f>+'American Network'!C33+'Bankers Life'!C33+'Booker T Washington'!C33+'CO Bankers'!C33+Freestone!C33+'Life Health America'!C33+'National States'!C33+'North Carolina Mutual'!C33+'Pen  Treaty'!C33+'Senior American'!C33+'Southland National Life'!C33+'Universal Life'!C33</f>
        <v>7108528.32370177</v>
      </c>
      <c r="D33" s="1">
        <f>+'American Network'!D33+'Bankers Life'!D33+'Booker T Washington'!D33+'CO Bankers'!D33+Freestone!D33+'Life Health America'!D33+'National States'!D33+'North Carolina Mutual'!D33+'Pen  Treaty'!D33+'Senior American'!D33+'Southland National Life'!D33+'Universal Life'!D33</f>
        <v>26493095.608698066</v>
      </c>
      <c r="E33" s="1">
        <f>+'American Network'!E33+'Bankers Life'!E33+'Booker T Washington'!E33+'CO Bankers'!E33+Freestone!E33+'Life Health America'!E33+'National States'!E33+'North Carolina Mutual'!E33+'Pen  Treaty'!E33+'Senior American'!E33+'Southland National Life'!E33+'Universal Life'!E33</f>
        <v>0</v>
      </c>
      <c r="F33" s="1">
        <f>+'American Network'!F33+'Bankers Life'!F33+'Booker T Washington'!F33+'CO Bankers'!F33+Freestone!F33+'Life Health America'!F33+'National States'!F33+'North Carolina Mutual'!F33+'Pen  Treaty'!F33+'Senior American'!F33+'Southland National Life'!F33+'Universal Life'!F33</f>
        <v>0</v>
      </c>
      <c r="G33" s="1">
        <f t="shared" si="0"/>
        <v>33976444.267244458</v>
      </c>
      <c r="H33" s="1">
        <f>+'American Network'!G33+'Bankers Life'!G33+'Booker T Washington'!G33+'CO Bankers'!G33+Freestone!G33+'Life Health America'!G33+'National States'!G33+'North Carolina Mutual'!G33+'Pen  Treaty'!G33+'Senior American'!G33+'Southland National Life'!G33+'Universal Life'!G33</f>
        <v>33976444.267244458</v>
      </c>
      <c r="I33" s="1">
        <f t="shared" si="1"/>
        <v>0</v>
      </c>
    </row>
    <row r="34" spans="1:9">
      <c r="A34" s="1" t="s">
        <v>55</v>
      </c>
      <c r="B34" s="1">
        <f>+'American Network'!B34+'Bankers Life'!B34+'Booker T Washington'!B34+'CO Bankers'!B34+Freestone!B34+'Life Health America'!B34+'National States'!B34+'North Carolina Mutual'!B34+'Pen  Treaty'!B34+'Senior American'!B34+'Southland National Life'!B34+'Universal Life'!B34</f>
        <v>530889.9478727713</v>
      </c>
      <c r="C34" s="1">
        <f>+'American Network'!C34+'Bankers Life'!C34+'Booker T Washington'!C34+'CO Bankers'!C34+Freestone!C34+'Life Health America'!C34+'National States'!C34+'North Carolina Mutual'!C34+'Pen  Treaty'!C34+'Senior American'!C34+'Southland National Life'!C34+'Universal Life'!C34</f>
        <v>3971295.494312448</v>
      </c>
      <c r="D34" s="1">
        <f>+'American Network'!D34+'Bankers Life'!D34+'Booker T Washington'!D34+'CO Bankers'!D34+Freestone!D34+'Life Health America'!D34+'National States'!D34+'North Carolina Mutual'!D34+'Pen  Treaty'!D34+'Senior American'!D34+'Southland National Life'!D34+'Universal Life'!D34</f>
        <v>17995215.586804789</v>
      </c>
      <c r="E34" s="1">
        <f>+'American Network'!E34+'Bankers Life'!E34+'Booker T Washington'!E34+'CO Bankers'!E34+Freestone!E34+'Life Health America'!E34+'National States'!E34+'North Carolina Mutual'!E34+'Pen  Treaty'!E34+'Senior American'!E34+'Southland National Life'!E34+'Universal Life'!E34</f>
        <v>0</v>
      </c>
      <c r="F34" s="1">
        <f>+'American Network'!F34+'Bankers Life'!F34+'Booker T Washington'!F34+'CO Bankers'!F34+Freestone!F34+'Life Health America'!F34+'National States'!F34+'North Carolina Mutual'!F34+'Pen  Treaty'!F34+'Senior American'!F34+'Southland National Life'!F34+'Universal Life'!F34</f>
        <v>0</v>
      </c>
      <c r="G34" s="1">
        <f t="shared" si="0"/>
        <v>22497401.028990008</v>
      </c>
      <c r="H34" s="1">
        <f>+'American Network'!G34+'Bankers Life'!G34+'Booker T Washington'!G34+'CO Bankers'!G34+Freestone!G34+'Life Health America'!G34+'National States'!G34+'North Carolina Mutual'!G34+'Pen  Treaty'!G34+'Senior American'!G34+'Southland National Life'!G34+'Universal Life'!G34</f>
        <v>22497401.028990008</v>
      </c>
      <c r="I34" s="1">
        <f t="shared" si="1"/>
        <v>0</v>
      </c>
    </row>
    <row r="35" spans="1:9">
      <c r="A35" s="1" t="s">
        <v>56</v>
      </c>
      <c r="B35" s="1">
        <f>+'American Network'!B35+'Bankers Life'!B35+'Booker T Washington'!B35+'CO Bankers'!B35+Freestone!B35+'Life Health America'!B35+'National States'!B35+'North Carolina Mutual'!B35+'Pen  Treaty'!B35+'Senior American'!B35+'Southland National Life'!B35+'Universal Life'!B35</f>
        <v>78368.959167926951</v>
      </c>
      <c r="C35" s="1">
        <f>+'American Network'!C35+'Bankers Life'!C35+'Booker T Washington'!C35+'CO Bankers'!C35+Freestone!C35+'Life Health America'!C35+'National States'!C35+'North Carolina Mutual'!C35+'Pen  Treaty'!C35+'Senior American'!C35+'Southland National Life'!C35+'Universal Life'!C35</f>
        <v>23617833.264135223</v>
      </c>
      <c r="D35" s="1">
        <f>+'American Network'!D35+'Bankers Life'!D35+'Booker T Washington'!D35+'CO Bankers'!D35+Freestone!D35+'Life Health America'!D35+'National States'!D35+'North Carolina Mutual'!D35+'Pen  Treaty'!D35+'Senior American'!D35+'Southland National Life'!D35+'Universal Life'!D35</f>
        <v>7592560.866015547</v>
      </c>
      <c r="E35" s="1">
        <f>+'American Network'!E35+'Bankers Life'!E35+'Booker T Washington'!E35+'CO Bankers'!E35+Freestone!E35+'Life Health America'!E35+'National States'!E35+'North Carolina Mutual'!E35+'Pen  Treaty'!E35+'Senior American'!E35+'Southland National Life'!E35+'Universal Life'!E35</f>
        <v>0</v>
      </c>
      <c r="F35" s="1">
        <f>+'American Network'!F35+'Bankers Life'!F35+'Booker T Washington'!F35+'CO Bankers'!F35+Freestone!F35+'Life Health America'!F35+'National States'!F35+'North Carolina Mutual'!F35+'Pen  Treaty'!F35+'Senior American'!F35+'Southland National Life'!F35+'Universal Life'!F35</f>
        <v>0</v>
      </c>
      <c r="G35" s="1">
        <f t="shared" si="0"/>
        <v>31288763.089318696</v>
      </c>
      <c r="H35" s="1">
        <f>+'American Network'!G35+'Bankers Life'!G35+'Booker T Washington'!G35+'CO Bankers'!G35+Freestone!G35+'Life Health America'!G35+'National States'!G35+'North Carolina Mutual'!G35+'Pen  Treaty'!G35+'Senior American'!G35+'Southland National Life'!G35+'Universal Life'!G35</f>
        <v>31288763.089318696</v>
      </c>
      <c r="I35" s="1">
        <f t="shared" si="1"/>
        <v>0</v>
      </c>
    </row>
    <row r="36" spans="1:9">
      <c r="A36" s="1" t="s">
        <v>57</v>
      </c>
      <c r="B36" s="1">
        <f>+'American Network'!B36+'Bankers Life'!B36+'Booker T Washington'!B36+'CO Bankers'!B36+Freestone!B36+'Life Health America'!B36+'National States'!B36+'North Carolina Mutual'!B36+'Pen  Treaty'!B36+'Senior American'!B36+'Southland National Life'!B36+'Universal Life'!B36</f>
        <v>3823859.3444331647</v>
      </c>
      <c r="C36" s="1">
        <f>+'American Network'!C36+'Bankers Life'!C36+'Booker T Washington'!C36+'CO Bankers'!C36+Freestone!C36+'Life Health America'!C36+'National States'!C36+'North Carolina Mutual'!C36+'Pen  Treaty'!C36+'Senior American'!C36+'Southland National Life'!C36+'Universal Life'!C36</f>
        <v>20940116.921738416</v>
      </c>
      <c r="D36" s="1">
        <f>+'American Network'!D36+'Bankers Life'!D36+'Booker T Washington'!D36+'CO Bankers'!D36+Freestone!D36+'Life Health America'!D36+'National States'!D36+'North Carolina Mutual'!D36+'Pen  Treaty'!D36+'Senior American'!D36+'Southland National Life'!D36+'Universal Life'!D36</f>
        <v>152612957.57007036</v>
      </c>
      <c r="E36" s="1">
        <f>+'American Network'!E36+'Bankers Life'!E36+'Booker T Washington'!E36+'CO Bankers'!E36+Freestone!E36+'Life Health America'!E36+'National States'!E36+'North Carolina Mutual'!E36+'Pen  Treaty'!E36+'Senior American'!E36+'Southland National Life'!E36+'Universal Life'!E36</f>
        <v>0</v>
      </c>
      <c r="F36" s="1">
        <f>+'American Network'!F36+'Bankers Life'!F36+'Booker T Washington'!F36+'CO Bankers'!F36+Freestone!F36+'Life Health America'!F36+'National States'!F36+'North Carolina Mutual'!F36+'Pen  Treaty'!F36+'Senior American'!F36+'Southland National Life'!F36+'Universal Life'!F36</f>
        <v>0</v>
      </c>
      <c r="G36" s="1">
        <f t="shared" si="0"/>
        <v>177376933.83624193</v>
      </c>
      <c r="H36" s="1">
        <f>+'American Network'!G36+'Bankers Life'!G36+'Booker T Washington'!G36+'CO Bankers'!G36+Freestone!G36+'Life Health America'!G36+'National States'!G36+'North Carolina Mutual'!G36+'Pen  Treaty'!G36+'Senior American'!G36+'Southland National Life'!G36+'Universal Life'!G36</f>
        <v>177376933.83624193</v>
      </c>
      <c r="I36" s="1">
        <f t="shared" si="1"/>
        <v>0</v>
      </c>
    </row>
    <row r="37" spans="1:9">
      <c r="A37" s="1" t="s">
        <v>58</v>
      </c>
      <c r="B37" s="1">
        <f>+'American Network'!B37+'Bankers Life'!B37+'Booker T Washington'!B37+'CO Bankers'!B37+Freestone!B37+'Life Health America'!B37+'National States'!B37+'North Carolina Mutual'!B37+'Pen  Treaty'!B37+'Senior American'!B37+'Southland National Life'!B37+'Universal Life'!B37</f>
        <v>1173205.6698329195</v>
      </c>
      <c r="C37" s="1">
        <f>+'American Network'!C37+'Bankers Life'!C37+'Booker T Washington'!C37+'CO Bankers'!C37+Freestone!C37+'Life Health America'!C37+'National States'!C37+'North Carolina Mutual'!C37+'Pen  Treaty'!C37+'Senior American'!C37+'Southland National Life'!C37+'Universal Life'!C37</f>
        <v>2560775.7333581364</v>
      </c>
      <c r="D37" s="1">
        <f>+'American Network'!D37+'Bankers Life'!D37+'Booker T Washington'!D37+'CO Bankers'!D37+Freestone!D37+'Life Health America'!D37+'National States'!D37+'North Carolina Mutual'!D37+'Pen  Treaty'!D37+'Senior American'!D37+'Southland National Life'!D37+'Universal Life'!D37</f>
        <v>10043048.17883049</v>
      </c>
      <c r="E37" s="1">
        <f>+'American Network'!E37+'Bankers Life'!E37+'Booker T Washington'!E37+'CO Bankers'!E37+Freestone!E37+'Life Health America'!E37+'National States'!E37+'North Carolina Mutual'!E37+'Pen  Treaty'!E37+'Senior American'!E37+'Southland National Life'!E37+'Universal Life'!E37</f>
        <v>0</v>
      </c>
      <c r="F37" s="1">
        <f>+'American Network'!F37+'Bankers Life'!F37+'Booker T Washington'!F37+'CO Bankers'!F37+Freestone!F37+'Life Health America'!F37+'National States'!F37+'North Carolina Mutual'!F37+'Pen  Treaty'!F37+'Senior American'!F37+'Southland National Life'!F37+'Universal Life'!F37</f>
        <v>0</v>
      </c>
      <c r="G37" s="1">
        <f t="shared" si="0"/>
        <v>13777029.582021546</v>
      </c>
      <c r="H37" s="1">
        <f>+'American Network'!G37+'Bankers Life'!G37+'Booker T Washington'!G37+'CO Bankers'!G37+Freestone!G37+'Life Health America'!G37+'National States'!G37+'North Carolina Mutual'!G37+'Pen  Treaty'!G37+'Senior American'!G37+'Southland National Life'!G37+'Universal Life'!G37</f>
        <v>13777029.582021544</v>
      </c>
      <c r="I37" s="1">
        <f t="shared" si="1"/>
        <v>0</v>
      </c>
    </row>
    <row r="38" spans="1:9">
      <c r="A38" s="1" t="s">
        <v>59</v>
      </c>
      <c r="B38" s="1">
        <f>+'American Network'!B38+'Bankers Life'!B38+'Booker T Washington'!B38+'CO Bankers'!B38+Freestone!B38+'Life Health America'!B38+'National States'!B38+'North Carolina Mutual'!B38+'Pen  Treaty'!B38+'Senior American'!B38+'Southland National Life'!B38+'Universal Life'!B38</f>
        <v>0</v>
      </c>
      <c r="C38" s="1">
        <f>+'American Network'!C38+'Bankers Life'!C38+'Booker T Washington'!C38+'CO Bankers'!C38+Freestone!C38+'Life Health America'!C38+'National States'!C38+'North Carolina Mutual'!C38+'Pen  Treaty'!C38+'Senior American'!C38+'Southland National Life'!C38+'Universal Life'!C38</f>
        <v>0</v>
      </c>
      <c r="D38" s="1">
        <f>+'American Network'!D38+'Bankers Life'!D38+'Booker T Washington'!D38+'CO Bankers'!D38+Freestone!D38+'Life Health America'!D38+'National States'!D38+'North Carolina Mutual'!D38+'Pen  Treaty'!D38+'Senior American'!D38+'Southland National Life'!D38+'Universal Life'!D38</f>
        <v>0</v>
      </c>
      <c r="E38" s="1">
        <f>+'American Network'!E38+'Bankers Life'!E38+'Booker T Washington'!E38+'CO Bankers'!E38+Freestone!E38+'Life Health America'!E38+'National States'!E38+'North Carolina Mutual'!E38+'Pen  Treaty'!E38+'Senior American'!E38+'Southland National Life'!E38+'Universal Life'!E38</f>
        <v>0</v>
      </c>
      <c r="F38" s="1">
        <f>+'American Network'!F38+'Bankers Life'!F38+'Booker T Washington'!F38+'CO Bankers'!F38+Freestone!F38+'Life Health America'!F38+'National States'!F38+'North Carolina Mutual'!F38+'Pen  Treaty'!F38+'Senior American'!F38+'Southland National Life'!F38+'Universal Life'!F38</f>
        <v>0</v>
      </c>
      <c r="G38" s="1">
        <f t="shared" ref="G38:G58" si="2">SUM(B38:F38)</f>
        <v>0</v>
      </c>
      <c r="H38" s="1">
        <f>+'American Network'!G38+'Bankers Life'!G38+'Booker T Washington'!G38+'CO Bankers'!G38+Freestone!G38+'Life Health America'!G38+'National States'!G38+'North Carolina Mutual'!G38+'Pen  Treaty'!G38+'Senior American'!G38+'Southland National Life'!G38+'Universal Life'!G38</f>
        <v>0</v>
      </c>
      <c r="I38" s="1">
        <f t="shared" ref="I38:I58" si="3">G38-H38</f>
        <v>0</v>
      </c>
    </row>
    <row r="39" spans="1:9">
      <c r="A39" s="1" t="s">
        <v>60</v>
      </c>
      <c r="B39" s="1">
        <f>+'American Network'!B39+'Bankers Life'!B39+'Booker T Washington'!B39+'CO Bankers'!B39+Freestone!B39+'Life Health America'!B39+'National States'!B39+'North Carolina Mutual'!B39+'Pen  Treaty'!B39+'Senior American'!B39+'Southland National Life'!B39+'Universal Life'!B39</f>
        <v>43233464.975586936</v>
      </c>
      <c r="C39" s="1">
        <f>+'American Network'!C39+'Bankers Life'!C39+'Booker T Washington'!C39+'CO Bankers'!C39+Freestone!C39+'Life Health America'!C39+'National States'!C39+'North Carolina Mutual'!C39+'Pen  Treaty'!C39+'Senior American'!C39+'Southland National Life'!C39+'Universal Life'!C39</f>
        <v>31924912.604811776</v>
      </c>
      <c r="D39" s="1">
        <f>+'American Network'!D39+'Bankers Life'!D39+'Booker T Washington'!D39+'CO Bankers'!D39+Freestone!D39+'Life Health America'!D39+'National States'!D39+'North Carolina Mutual'!D39+'Pen  Treaty'!D39+'Senior American'!D39+'Southland National Life'!D39+'Universal Life'!D39</f>
        <v>109837770.59629269</v>
      </c>
      <c r="E39" s="1">
        <f>+'American Network'!E39+'Bankers Life'!E39+'Booker T Washington'!E39+'CO Bankers'!E39+Freestone!E39+'Life Health America'!E39+'National States'!E39+'North Carolina Mutual'!E39+'Pen  Treaty'!E39+'Senior American'!E39+'Southland National Life'!E39+'Universal Life'!E39</f>
        <v>0</v>
      </c>
      <c r="F39" s="1">
        <f>+'American Network'!F39+'Bankers Life'!F39+'Booker T Washington'!F39+'CO Bankers'!F39+Freestone!F39+'Life Health America'!F39+'National States'!F39+'North Carolina Mutual'!F39+'Pen  Treaty'!F39+'Senior American'!F39+'Southland National Life'!F39+'Universal Life'!F39</f>
        <v>0</v>
      </c>
      <c r="G39" s="1">
        <f t="shared" si="2"/>
        <v>184996148.17669141</v>
      </c>
      <c r="H39" s="1">
        <f>+'American Network'!G39+'Bankers Life'!G39+'Booker T Washington'!G39+'CO Bankers'!G39+Freestone!G39+'Life Health America'!G39+'National States'!G39+'North Carolina Mutual'!G39+'Pen  Treaty'!G39+'Senior American'!G39+'Southland National Life'!G39+'Universal Life'!G39</f>
        <v>184996148.17669141</v>
      </c>
      <c r="I39" s="1">
        <f t="shared" si="3"/>
        <v>0</v>
      </c>
    </row>
    <row r="40" spans="1:9">
      <c r="A40" s="1" t="s">
        <v>61</v>
      </c>
      <c r="B40" s="1">
        <f>+'American Network'!B40+'Bankers Life'!B40+'Booker T Washington'!B40+'CO Bankers'!B40+Freestone!B40+'Life Health America'!B40+'National States'!B40+'North Carolina Mutual'!B40+'Pen  Treaty'!B40+'Senior American'!B40+'Southland National Life'!B40+'Universal Life'!B40</f>
        <v>50704.175835258793</v>
      </c>
      <c r="C40" s="1">
        <f>+'American Network'!C40+'Bankers Life'!C40+'Booker T Washington'!C40+'CO Bankers'!C40+Freestone!C40+'Life Health America'!C40+'National States'!C40+'North Carolina Mutual'!C40+'Pen  Treaty'!C40+'Senior American'!C40+'Southland National Life'!C40+'Universal Life'!C40</f>
        <v>8208353.6719178492</v>
      </c>
      <c r="D40" s="1">
        <f>+'American Network'!D40+'Bankers Life'!D40+'Booker T Washington'!D40+'CO Bankers'!D40+Freestone!D40+'Life Health America'!D40+'National States'!D40+'North Carolina Mutual'!D40+'Pen  Treaty'!D40+'Senior American'!D40+'Southland National Life'!D40+'Universal Life'!D40</f>
        <v>5066282.1508623771</v>
      </c>
      <c r="E40" s="1">
        <f>+'American Network'!E40+'Bankers Life'!E40+'Booker T Washington'!E40+'CO Bankers'!E40+Freestone!E40+'Life Health America'!E40+'National States'!E40+'North Carolina Mutual'!E40+'Pen  Treaty'!E40+'Senior American'!E40+'Southland National Life'!E40+'Universal Life'!E40</f>
        <v>0</v>
      </c>
      <c r="F40" s="1">
        <f>+'American Network'!F40+'Bankers Life'!F40+'Booker T Washington'!F40+'CO Bankers'!F40+Freestone!F40+'Life Health America'!F40+'National States'!F40+'North Carolina Mutual'!F40+'Pen  Treaty'!F40+'Senior American'!F40+'Southland National Life'!F40+'Universal Life'!F40</f>
        <v>0</v>
      </c>
      <c r="G40" s="1">
        <f t="shared" si="2"/>
        <v>13325339.998615485</v>
      </c>
      <c r="H40" s="1">
        <f>+'American Network'!G40+'Bankers Life'!G40+'Booker T Washington'!G40+'CO Bankers'!G40+Freestone!G40+'Life Health America'!G40+'National States'!G40+'North Carolina Mutual'!G40+'Pen  Treaty'!G40+'Senior American'!G40+'Southland National Life'!G40+'Universal Life'!G40</f>
        <v>13325339.998615485</v>
      </c>
      <c r="I40" s="1">
        <f t="shared" si="3"/>
        <v>0</v>
      </c>
    </row>
    <row r="41" spans="1:9">
      <c r="A41" s="1" t="s">
        <v>62</v>
      </c>
      <c r="B41" s="1">
        <f>+'American Network'!B41+'Bankers Life'!B41+'Booker T Washington'!B41+'CO Bankers'!B41+Freestone!B41+'Life Health America'!B41+'National States'!B41+'North Carolina Mutual'!B41+'Pen  Treaty'!B41+'Senior American'!B41+'Southland National Life'!B41+'Universal Life'!B41</f>
        <v>6107526.9587555146</v>
      </c>
      <c r="C41" s="1">
        <f>+'American Network'!C41+'Bankers Life'!C41+'Booker T Washington'!C41+'CO Bankers'!C41+Freestone!C41+'Life Health America'!C41+'National States'!C41+'North Carolina Mutual'!C41+'Pen  Treaty'!C41+'Senior American'!C41+'Southland National Life'!C41+'Universal Life'!C41</f>
        <v>58773625.468796022</v>
      </c>
      <c r="D41" s="1">
        <f>+'American Network'!D41+'Bankers Life'!D41+'Booker T Washington'!D41+'CO Bankers'!D41+Freestone!D41+'Life Health America'!D41+'National States'!D41+'North Carolina Mutual'!D41+'Pen  Treaty'!D41+'Senior American'!D41+'Southland National Life'!D41+'Universal Life'!D41</f>
        <v>73866946.657314539</v>
      </c>
      <c r="E41" s="1">
        <f>+'American Network'!E41+'Bankers Life'!E41+'Booker T Washington'!E41+'CO Bankers'!E41+Freestone!E41+'Life Health America'!E41+'National States'!E41+'North Carolina Mutual'!E41+'Pen  Treaty'!E41+'Senior American'!E41+'Southland National Life'!E41+'Universal Life'!E41</f>
        <v>0</v>
      </c>
      <c r="F41" s="1">
        <f>+'American Network'!F41+'Bankers Life'!F41+'Booker T Washington'!F41+'CO Bankers'!F41+Freestone!F41+'Life Health America'!F41+'National States'!F41+'North Carolina Mutual'!F41+'Pen  Treaty'!F41+'Senior American'!F41+'Southland National Life'!F41+'Universal Life'!F41</f>
        <v>0</v>
      </c>
      <c r="G41" s="1">
        <f t="shared" si="2"/>
        <v>138748099.08486608</v>
      </c>
      <c r="H41" s="1">
        <f>+'American Network'!G41+'Bankers Life'!G41+'Booker T Washington'!G41+'CO Bankers'!G41+Freestone!G41+'Life Health America'!G41+'National States'!G41+'North Carolina Mutual'!G41+'Pen  Treaty'!G41+'Senior American'!G41+'Southland National Life'!G41+'Universal Life'!G41</f>
        <v>138748099.08486605</v>
      </c>
      <c r="I41" s="1">
        <f t="shared" si="3"/>
        <v>0</v>
      </c>
    </row>
    <row r="42" spans="1:9">
      <c r="A42" s="1" t="s">
        <v>63</v>
      </c>
      <c r="B42" s="1">
        <f>+'American Network'!B42+'Bankers Life'!B42+'Booker T Washington'!B42+'CO Bankers'!B42+Freestone!B42+'Life Health America'!B42+'National States'!B42+'North Carolina Mutual'!B42+'Pen  Treaty'!B42+'Senior American'!B42+'Southland National Life'!B42+'Universal Life'!B42</f>
        <v>3104462.2793109352</v>
      </c>
      <c r="C42" s="1">
        <f>+'American Network'!C42+'Bankers Life'!C42+'Booker T Washington'!C42+'CO Bankers'!C42+Freestone!C42+'Life Health America'!C42+'National States'!C42+'North Carolina Mutual'!C42+'Pen  Treaty'!C42+'Senior American'!C42+'Southland National Life'!C42+'Universal Life'!C42</f>
        <v>6554314.5615354571</v>
      </c>
      <c r="D42" s="1">
        <f>+'American Network'!D42+'Bankers Life'!D42+'Booker T Washington'!D42+'CO Bankers'!D42+Freestone!D42+'Life Health America'!D42+'National States'!D42+'North Carolina Mutual'!D42+'Pen  Treaty'!D42+'Senior American'!D42+'Southland National Life'!D42+'Universal Life'!D42</f>
        <v>11937784.611392552</v>
      </c>
      <c r="E42" s="1">
        <f>+'American Network'!E42+'Bankers Life'!E42+'Booker T Washington'!E42+'CO Bankers'!E42+Freestone!E42+'Life Health America'!E42+'National States'!E42+'North Carolina Mutual'!E42+'Pen  Treaty'!E42+'Senior American'!E42+'Southland National Life'!E42+'Universal Life'!E42</f>
        <v>0</v>
      </c>
      <c r="F42" s="1">
        <f>+'American Network'!F42+'Bankers Life'!F42+'Booker T Washington'!F42+'CO Bankers'!F42+Freestone!F42+'Life Health America'!F42+'National States'!F42+'North Carolina Mutual'!F42+'Pen  Treaty'!F42+'Senior American'!F42+'Southland National Life'!F42+'Universal Life'!F42</f>
        <v>0</v>
      </c>
      <c r="G42" s="1">
        <f t="shared" si="2"/>
        <v>21596561.452238947</v>
      </c>
      <c r="H42" s="1">
        <f>+'American Network'!G42+'Bankers Life'!G42+'Booker T Washington'!G42+'CO Bankers'!G42+Freestone!G42+'Life Health America'!G42+'National States'!G42+'North Carolina Mutual'!G42+'Pen  Treaty'!G42+'Senior American'!G42+'Southland National Life'!G42+'Universal Life'!G42</f>
        <v>21596561.452238947</v>
      </c>
      <c r="I42" s="1">
        <f t="shared" si="3"/>
        <v>0</v>
      </c>
    </row>
    <row r="43" spans="1:9">
      <c r="A43" s="1" t="s">
        <v>64</v>
      </c>
      <c r="B43" s="1">
        <f>+'American Network'!B43+'Bankers Life'!B43+'Booker T Washington'!B43+'CO Bankers'!B43+Freestone!B43+'Life Health America'!B43+'National States'!B43+'North Carolina Mutual'!B43+'Pen  Treaty'!B43+'Senior American'!B43+'Southland National Life'!B43+'Universal Life'!B43</f>
        <v>333175.08740719291</v>
      </c>
      <c r="C43" s="1">
        <f>+'American Network'!C43+'Bankers Life'!C43+'Booker T Washington'!C43+'CO Bankers'!C43+Freestone!C43+'Life Health America'!C43+'National States'!C43+'North Carolina Mutual'!C43+'Pen  Treaty'!C43+'Senior American'!C43+'Southland National Life'!C43+'Universal Life'!C43</f>
        <v>5092285.6623215592</v>
      </c>
      <c r="D43" s="1">
        <f>+'American Network'!D43+'Bankers Life'!D43+'Booker T Washington'!D43+'CO Bankers'!D43+Freestone!D43+'Life Health America'!D43+'National States'!D43+'North Carolina Mutual'!D43+'Pen  Treaty'!D43+'Senior American'!D43+'Southland National Life'!D43+'Universal Life'!D43</f>
        <v>11970831.863732912</v>
      </c>
      <c r="E43" s="1">
        <f>+'American Network'!E43+'Bankers Life'!E43+'Booker T Washington'!E43+'CO Bankers'!E43+Freestone!E43+'Life Health America'!E43+'National States'!E43+'North Carolina Mutual'!E43+'Pen  Treaty'!E43+'Senior American'!E43+'Southland National Life'!E43+'Universal Life'!E43</f>
        <v>0</v>
      </c>
      <c r="F43" s="1">
        <f>+'American Network'!F43+'Bankers Life'!F43+'Booker T Washington'!F43+'CO Bankers'!F43+Freestone!F43+'Life Health America'!F43+'National States'!F43+'North Carolina Mutual'!F43+'Pen  Treaty'!F43+'Senior American'!F43+'Southland National Life'!F43+'Universal Life'!F43</f>
        <v>0</v>
      </c>
      <c r="G43" s="1">
        <f t="shared" si="2"/>
        <v>17396292.613461666</v>
      </c>
      <c r="H43" s="1">
        <f>+'American Network'!G43+'Bankers Life'!G43+'Booker T Washington'!G43+'CO Bankers'!G43+Freestone!G43+'Life Health America'!G43+'National States'!G43+'North Carolina Mutual'!G43+'Pen  Treaty'!G43+'Senior American'!G43+'Southland National Life'!G43+'Universal Life'!G43</f>
        <v>17396292.613461666</v>
      </c>
      <c r="I43" s="1">
        <f t="shared" si="3"/>
        <v>0</v>
      </c>
    </row>
    <row r="44" spans="1:9">
      <c r="A44" s="1" t="s">
        <v>65</v>
      </c>
      <c r="B44" s="1">
        <f>+'American Network'!B44+'Bankers Life'!B44+'Booker T Washington'!B44+'CO Bankers'!B44+Freestone!B44+'Life Health America'!B44+'National States'!B44+'North Carolina Mutual'!B44+'Pen  Treaty'!B44+'Senior American'!B44+'Southland National Life'!B44+'Universal Life'!B44</f>
        <v>8593295.5997744426</v>
      </c>
      <c r="C44" s="1">
        <f>+'American Network'!C44+'Bankers Life'!C44+'Booker T Washington'!C44+'CO Bankers'!C44+Freestone!C44+'Life Health America'!C44+'National States'!C44+'North Carolina Mutual'!C44+'Pen  Treaty'!C44+'Senior American'!C44+'Southland National Life'!C44+'Universal Life'!C44</f>
        <v>167234542.99120584</v>
      </c>
      <c r="D44" s="1">
        <f>+'American Network'!D44+'Bankers Life'!D44+'Booker T Washington'!D44+'CO Bankers'!D44+Freestone!D44+'Life Health America'!D44+'National States'!D44+'North Carolina Mutual'!D44+'Pen  Treaty'!D44+'Senior American'!D44+'Southland National Life'!D44+'Universal Life'!D44</f>
        <v>279995003.79221338</v>
      </c>
      <c r="E44" s="1">
        <f>+'American Network'!E44+'Bankers Life'!E44+'Booker T Washington'!E44+'CO Bankers'!E44+Freestone!E44+'Life Health America'!E44+'National States'!E44+'North Carolina Mutual'!E44+'Pen  Treaty'!E44+'Senior American'!E44+'Southland National Life'!E44+'Universal Life'!E44</f>
        <v>0</v>
      </c>
      <c r="F44" s="1">
        <f>+'American Network'!F44+'Bankers Life'!F44+'Booker T Washington'!F44+'CO Bankers'!F44+Freestone!F44+'Life Health America'!F44+'National States'!F44+'North Carolina Mutual'!F44+'Pen  Treaty'!F44+'Senior American'!F44+'Southland National Life'!F44+'Universal Life'!F44</f>
        <v>0</v>
      </c>
      <c r="G44" s="1">
        <f t="shared" si="2"/>
        <v>455822842.38319367</v>
      </c>
      <c r="H44" s="1">
        <f>+'American Network'!G44+'Bankers Life'!G44+'Booker T Washington'!G44+'CO Bankers'!G44+Freestone!G44+'Life Health America'!G44+'National States'!G44+'North Carolina Mutual'!G44+'Pen  Treaty'!G44+'Senior American'!G44+'Southland National Life'!G44+'Universal Life'!G44</f>
        <v>455822842.38319367</v>
      </c>
      <c r="I44" s="1">
        <f t="shared" si="3"/>
        <v>0</v>
      </c>
    </row>
    <row r="45" spans="1:9">
      <c r="A45" s="1" t="s">
        <v>66</v>
      </c>
      <c r="B45" s="1">
        <f>+'American Network'!B45+'Bankers Life'!B45+'Booker T Washington'!B45+'CO Bankers'!B45+Freestone!B45+'Life Health America'!B45+'National States'!B45+'North Carolina Mutual'!B45+'Pen  Treaty'!B45+'Senior American'!B45+'Southland National Life'!B45+'Universal Life'!B45</f>
        <v>0</v>
      </c>
      <c r="C45" s="1">
        <f>+'American Network'!C45+'Bankers Life'!C45+'Booker T Washington'!C45+'CO Bankers'!C45+Freestone!C45+'Life Health America'!C45+'National States'!C45+'North Carolina Mutual'!C45+'Pen  Treaty'!C45+'Senior American'!C45+'Southland National Life'!C45+'Universal Life'!C45</f>
        <v>0</v>
      </c>
      <c r="D45" s="1">
        <f>+'American Network'!D45+'Bankers Life'!D45+'Booker T Washington'!D45+'CO Bankers'!D45+Freestone!D45+'Life Health America'!D45+'National States'!D45+'North Carolina Mutual'!D45+'Pen  Treaty'!D45+'Senior American'!D45+'Southland National Life'!D45+'Universal Life'!D45</f>
        <v>0</v>
      </c>
      <c r="E45" s="1">
        <f>+'American Network'!E45+'Bankers Life'!E45+'Booker T Washington'!E45+'CO Bankers'!E45+Freestone!E45+'Life Health America'!E45+'National States'!E45+'North Carolina Mutual'!E45+'Pen  Treaty'!E45+'Senior American'!E45+'Southland National Life'!E45+'Universal Life'!E45</f>
        <v>0</v>
      </c>
      <c r="F45" s="1">
        <f>+'American Network'!F45+'Bankers Life'!F45+'Booker T Washington'!F45+'CO Bankers'!F45+Freestone!F45+'Life Health America'!F45+'National States'!F45+'North Carolina Mutual'!F45+'Pen  Treaty'!F45+'Senior American'!F45+'Southland National Life'!F45+'Universal Life'!F45</f>
        <v>0</v>
      </c>
      <c r="G45" s="1">
        <f t="shared" si="2"/>
        <v>0</v>
      </c>
      <c r="H45" s="1">
        <f>+'American Network'!G45+'Bankers Life'!G45+'Booker T Washington'!G45+'CO Bankers'!G45+Freestone!G45+'Life Health America'!G45+'National States'!G45+'North Carolina Mutual'!G45+'Pen  Treaty'!G45+'Senior American'!G45+'Southland National Life'!G45+'Universal Life'!G45</f>
        <v>0</v>
      </c>
      <c r="I45" s="1">
        <f t="shared" si="3"/>
        <v>0</v>
      </c>
    </row>
    <row r="46" spans="1:9">
      <c r="A46" s="1" t="s">
        <v>67</v>
      </c>
      <c r="B46" s="1">
        <f>+'American Network'!B46+'Bankers Life'!B46+'Booker T Washington'!B46+'CO Bankers'!B46+Freestone!B46+'Life Health America'!B46+'National States'!B46+'North Carolina Mutual'!B46+'Pen  Treaty'!B46+'Senior American'!B46+'Southland National Life'!B46+'Universal Life'!B46</f>
        <v>45420.992650723674</v>
      </c>
      <c r="C46" s="1">
        <f>+'American Network'!C46+'Bankers Life'!C46+'Booker T Washington'!C46+'CO Bankers'!C46+Freestone!C46+'Life Health America'!C46+'National States'!C46+'North Carolina Mutual'!C46+'Pen  Treaty'!C46+'Senior American'!C46+'Southland National Life'!C46+'Universal Life'!C46</f>
        <v>51687484.019108944</v>
      </c>
      <c r="D46" s="1">
        <f>+'American Network'!D46+'Bankers Life'!D46+'Booker T Washington'!D46+'CO Bankers'!D46+Freestone!D46+'Life Health America'!D46+'National States'!D46+'North Carolina Mutual'!D46+'Pen  Treaty'!D46+'Senior American'!D46+'Southland National Life'!D46+'Universal Life'!D46</f>
        <v>1845893.4640920218</v>
      </c>
      <c r="E46" s="1">
        <f>+'American Network'!E46+'Bankers Life'!E46+'Booker T Washington'!E46+'CO Bankers'!E46+Freestone!E46+'Life Health America'!E46+'National States'!E46+'North Carolina Mutual'!E46+'Pen  Treaty'!E46+'Senior American'!E46+'Southland National Life'!E46+'Universal Life'!E46</f>
        <v>0</v>
      </c>
      <c r="F46" s="1">
        <f>+'American Network'!F46+'Bankers Life'!F46+'Booker T Washington'!F46+'CO Bankers'!F46+Freestone!F46+'Life Health America'!F46+'National States'!F46+'North Carolina Mutual'!F46+'Pen  Treaty'!F46+'Senior American'!F46+'Southland National Life'!F46+'Universal Life'!F46</f>
        <v>0</v>
      </c>
      <c r="G46" s="1">
        <f t="shared" si="2"/>
        <v>53578798.475851692</v>
      </c>
      <c r="H46" s="1">
        <f>+'American Network'!G46+'Bankers Life'!G46+'Booker T Washington'!G46+'CO Bankers'!G46+Freestone!G46+'Life Health America'!G46+'National States'!G46+'North Carolina Mutual'!G46+'Pen  Treaty'!G46+'Senior American'!G46+'Southland National Life'!G46+'Universal Life'!G46</f>
        <v>53578798.475851685</v>
      </c>
      <c r="I46" s="1">
        <f t="shared" si="3"/>
        <v>0</v>
      </c>
    </row>
    <row r="47" spans="1:9">
      <c r="A47" s="1" t="s">
        <v>68</v>
      </c>
      <c r="B47" s="1">
        <f>+'American Network'!B47+'Bankers Life'!B47+'Booker T Washington'!B47+'CO Bankers'!B47+Freestone!B47+'Life Health America'!B47+'National States'!B47+'North Carolina Mutual'!B47+'Pen  Treaty'!B47+'Senior American'!B47+'Southland National Life'!B47+'Universal Life'!B47</f>
        <v>7834434.9715017909</v>
      </c>
      <c r="C47" s="1">
        <f>+'American Network'!C47+'Bankers Life'!C47+'Booker T Washington'!C47+'CO Bankers'!C47+Freestone!C47+'Life Health America'!C47+'National States'!C47+'North Carolina Mutual'!C47+'Pen  Treaty'!C47+'Senior American'!C47+'Southland National Life'!C47+'Universal Life'!C47</f>
        <v>14129706.951120518</v>
      </c>
      <c r="D47" s="1">
        <f>+'American Network'!D47+'Bankers Life'!D47+'Booker T Washington'!D47+'CO Bankers'!D47+Freestone!D47+'Life Health America'!D47+'National States'!D47+'North Carolina Mutual'!D47+'Pen  Treaty'!D47+'Senior American'!D47+'Southland National Life'!D47+'Universal Life'!D47</f>
        <v>23043728.982113428</v>
      </c>
      <c r="E47" s="1">
        <f>+'American Network'!E47+'Bankers Life'!E47+'Booker T Washington'!E47+'CO Bankers'!E47+Freestone!E47+'Life Health America'!E47+'National States'!E47+'North Carolina Mutual'!E47+'Pen  Treaty'!E47+'Senior American'!E47+'Southland National Life'!E47+'Universal Life'!E47</f>
        <v>0</v>
      </c>
      <c r="F47" s="1">
        <f>+'American Network'!F47+'Bankers Life'!F47+'Booker T Washington'!F47+'CO Bankers'!F47+Freestone!F47+'Life Health America'!F47+'National States'!F47+'North Carolina Mutual'!F47+'Pen  Treaty'!F47+'Senior American'!F47+'Southland National Life'!F47+'Universal Life'!F47</f>
        <v>0</v>
      </c>
      <c r="G47" s="1">
        <f t="shared" si="2"/>
        <v>45007870.904735737</v>
      </c>
      <c r="H47" s="1">
        <f>+'American Network'!G47+'Bankers Life'!G47+'Booker T Washington'!G47+'CO Bankers'!G47+Freestone!G47+'Life Health America'!G47+'National States'!G47+'North Carolina Mutual'!G47+'Pen  Treaty'!G47+'Senior American'!G47+'Southland National Life'!G47+'Universal Life'!G47</f>
        <v>45007870.904735737</v>
      </c>
      <c r="I47" s="1">
        <f t="shared" si="3"/>
        <v>0</v>
      </c>
    </row>
    <row r="48" spans="1:9">
      <c r="A48" s="1" t="s">
        <v>69</v>
      </c>
      <c r="B48" s="1">
        <f>+'American Network'!B48+'Bankers Life'!B48+'Booker T Washington'!B48+'CO Bankers'!B48+Freestone!B48+'Life Health America'!B48+'National States'!B48+'North Carolina Mutual'!B48+'Pen  Treaty'!B48+'Senior American'!B48+'Southland National Life'!B48+'Universal Life'!B48</f>
        <v>53934.584851522348</v>
      </c>
      <c r="C48" s="1">
        <f>+'American Network'!C48+'Bankers Life'!C48+'Booker T Washington'!C48+'CO Bankers'!C48+Freestone!C48+'Life Health America'!C48+'National States'!C48+'North Carolina Mutual'!C48+'Pen  Treaty'!C48+'Senior American'!C48+'Southland National Life'!C48+'Universal Life'!C48</f>
        <v>3730212.3516436098</v>
      </c>
      <c r="D48" s="1">
        <f>+'American Network'!D48+'Bankers Life'!D48+'Booker T Washington'!D48+'CO Bankers'!D48+Freestone!D48+'Life Health America'!D48+'National States'!D48+'North Carolina Mutual'!D48+'Pen  Treaty'!D48+'Senior American'!D48+'Southland National Life'!D48+'Universal Life'!D48</f>
        <v>45260677.632204629</v>
      </c>
      <c r="E48" s="1">
        <f>+'American Network'!E48+'Bankers Life'!E48+'Booker T Washington'!E48+'CO Bankers'!E48+Freestone!E48+'Life Health America'!E48+'National States'!E48+'North Carolina Mutual'!E48+'Pen  Treaty'!E48+'Senior American'!E48+'Southland National Life'!E48+'Universal Life'!E48</f>
        <v>0</v>
      </c>
      <c r="F48" s="1">
        <f>+'American Network'!F48+'Bankers Life'!F48+'Booker T Washington'!F48+'CO Bankers'!F48+Freestone!F48+'Life Health America'!F48+'National States'!F48+'North Carolina Mutual'!F48+'Pen  Treaty'!F48+'Senior American'!F48+'Southland National Life'!F48+'Universal Life'!F48</f>
        <v>0</v>
      </c>
      <c r="G48" s="1">
        <f t="shared" si="2"/>
        <v>49044824.568699762</v>
      </c>
      <c r="H48" s="1">
        <f>+'American Network'!G48+'Bankers Life'!G48+'Booker T Washington'!G48+'CO Bankers'!G48+Freestone!G48+'Life Health America'!G48+'National States'!G48+'North Carolina Mutual'!G48+'Pen  Treaty'!G48+'Senior American'!G48+'Southland National Life'!G48+'Universal Life'!G48</f>
        <v>49044824.568699762</v>
      </c>
      <c r="I48" s="1">
        <f t="shared" si="3"/>
        <v>0</v>
      </c>
    </row>
    <row r="49" spans="1:9">
      <c r="A49" s="1" t="s">
        <v>70</v>
      </c>
      <c r="B49" s="1">
        <f>+'American Network'!B49+'Bankers Life'!B49+'Booker T Washington'!B49+'CO Bankers'!B49+Freestone!B49+'Life Health America'!B49+'National States'!B49+'North Carolina Mutual'!B49+'Pen  Treaty'!B49+'Senior American'!B49+'Southland National Life'!B49+'Universal Life'!B49</f>
        <v>17807593.349206306</v>
      </c>
      <c r="C49" s="1">
        <f>+'American Network'!C49+'Bankers Life'!C49+'Booker T Washington'!C49+'CO Bankers'!C49+Freestone!C49+'Life Health America'!C49+'National States'!C49+'North Carolina Mutual'!C49+'Pen  Treaty'!C49+'Senior American'!C49+'Southland National Life'!C49+'Universal Life'!C49</f>
        <v>33795493.64486704</v>
      </c>
      <c r="D49" s="1">
        <f>+'American Network'!D49+'Bankers Life'!D49+'Booker T Washington'!D49+'CO Bankers'!D49+Freestone!D49+'Life Health America'!D49+'National States'!D49+'North Carolina Mutual'!D49+'Pen  Treaty'!D49+'Senior American'!D49+'Southland National Life'!D49+'Universal Life'!D49</f>
        <v>44626767.551251128</v>
      </c>
      <c r="E49" s="1">
        <f>+'American Network'!E49+'Bankers Life'!E49+'Booker T Washington'!E49+'CO Bankers'!E49+Freestone!E49+'Life Health America'!E49+'National States'!E49+'North Carolina Mutual'!E49+'Pen  Treaty'!E49+'Senior American'!E49+'Southland National Life'!E49+'Universal Life'!E49</f>
        <v>0</v>
      </c>
      <c r="F49" s="1">
        <f>+'American Network'!F49+'Bankers Life'!F49+'Booker T Washington'!F49+'CO Bankers'!F49+Freestone!F49+'Life Health America'!F49+'National States'!F49+'North Carolina Mutual'!F49+'Pen  Treaty'!F49+'Senior American'!F49+'Southland National Life'!F49+'Universal Life'!F49</f>
        <v>0</v>
      </c>
      <c r="G49" s="1">
        <f t="shared" si="2"/>
        <v>96229854.545324475</v>
      </c>
      <c r="H49" s="1">
        <f>+'American Network'!G49+'Bankers Life'!G49+'Booker T Washington'!G49+'CO Bankers'!G49+Freestone!G49+'Life Health America'!G49+'National States'!G49+'North Carolina Mutual'!G49+'Pen  Treaty'!G49+'Senior American'!G49+'Southland National Life'!G49+'Universal Life'!G49</f>
        <v>96229854.545324475</v>
      </c>
      <c r="I49" s="1">
        <f t="shared" si="3"/>
        <v>0</v>
      </c>
    </row>
    <row r="50" spans="1:9">
      <c r="A50" s="1" t="s">
        <v>71</v>
      </c>
      <c r="B50" s="1">
        <f>+'American Network'!B50+'Bankers Life'!B50+'Booker T Washington'!B50+'CO Bankers'!B50+Freestone!B50+'Life Health America'!B50+'National States'!B50+'North Carolina Mutual'!B50+'Pen  Treaty'!B50+'Senior American'!B50+'Southland National Life'!B50+'Universal Life'!B50</f>
        <v>16071167.943623995</v>
      </c>
      <c r="C50" s="1">
        <f>+'American Network'!C50+'Bankers Life'!C50+'Booker T Washington'!C50+'CO Bankers'!C50+Freestone!C50+'Life Health America'!C50+'National States'!C50+'North Carolina Mutual'!C50+'Pen  Treaty'!C50+'Senior American'!C50+'Southland National Life'!C50+'Universal Life'!C50</f>
        <v>69341604.221869379</v>
      </c>
      <c r="D50" s="1">
        <f>+'American Network'!D50+'Bankers Life'!D50+'Booker T Washington'!D50+'CO Bankers'!D50+Freestone!D50+'Life Health America'!D50+'National States'!D50+'North Carolina Mutual'!D50+'Pen  Treaty'!D50+'Senior American'!D50+'Southland National Life'!D50+'Universal Life'!D50-59861</f>
        <v>132511195.44799009</v>
      </c>
      <c r="E50" s="1">
        <f>+'American Network'!E50+'Bankers Life'!E50+'Booker T Washington'!E50+'CO Bankers'!E50+Freestone!E50+'Life Health America'!E50+'National States'!E50+'North Carolina Mutual'!E50+'Pen  Treaty'!E50+'Senior American'!E50+'Southland National Life'!E50+'Universal Life'!E50</f>
        <v>0</v>
      </c>
      <c r="F50" s="1">
        <f>+'American Network'!F50+'Bankers Life'!F50+'Booker T Washington'!F50+'CO Bankers'!F50+Freestone!F50+'Life Health America'!F50+'National States'!F50+'North Carolina Mutual'!F50+'Pen  Treaty'!F50+'Senior American'!F50+'Southland National Life'!F50+'Universal Life'!F50</f>
        <v>111090.629</v>
      </c>
      <c r="G50" s="1">
        <f t="shared" si="2"/>
        <v>218035058.24248347</v>
      </c>
      <c r="H50" s="1">
        <f>+'American Network'!G50+'Bankers Life'!G50+'Booker T Washington'!G50+'CO Bankers'!G50+Freestone!G50+'Life Health America'!G50+'National States'!G50+'North Carolina Mutual'!G50+'Pen  Treaty'!G50+'Senior American'!G50+'Southland National Life'!G50+'Universal Life'!G50-59861</f>
        <v>218035058.24248347</v>
      </c>
      <c r="I50" s="1">
        <f t="shared" si="3"/>
        <v>0</v>
      </c>
    </row>
    <row r="51" spans="1:9">
      <c r="A51" s="1" t="s">
        <v>72</v>
      </c>
      <c r="B51" s="1">
        <f>+'American Network'!B51+'Bankers Life'!B51+'Booker T Washington'!B51+'CO Bankers'!B51+Freestone!B51+'Life Health America'!B51+'National States'!B51+'North Carolina Mutual'!B51+'Pen  Treaty'!B51+'Senior American'!B51+'Southland National Life'!B51+'Universal Life'!B51</f>
        <v>249772.64151865544</v>
      </c>
      <c r="C51" s="1">
        <f>+'American Network'!C51+'Bankers Life'!C51+'Booker T Washington'!C51+'CO Bankers'!C51+Freestone!C51+'Life Health America'!C51+'National States'!C51+'North Carolina Mutual'!C51+'Pen  Treaty'!C51+'Senior American'!C51+'Southland National Life'!C51+'Universal Life'!C51</f>
        <v>22596943.881031971</v>
      </c>
      <c r="D51" s="1">
        <f>+'American Network'!D51+'Bankers Life'!D51+'Booker T Washington'!D51+'CO Bankers'!D51+Freestone!D51+'Life Health America'!D51+'National States'!D51+'North Carolina Mutual'!D51+'Pen  Treaty'!D51+'Senior American'!D51+'Southland National Life'!D51+'Universal Life'!D51</f>
        <v>12305776.741922667</v>
      </c>
      <c r="E51" s="1">
        <f>+'American Network'!E51+'Bankers Life'!E51+'Booker T Washington'!E51+'CO Bankers'!E51+Freestone!E51+'Life Health America'!E51+'National States'!E51+'North Carolina Mutual'!E51+'Pen  Treaty'!E51+'Senior American'!E51+'Southland National Life'!E51+'Universal Life'!E51</f>
        <v>0</v>
      </c>
      <c r="F51" s="1">
        <f>+'American Network'!F51+'Bankers Life'!F51+'Booker T Washington'!F51+'CO Bankers'!F51+Freestone!F51+'Life Health America'!F51+'National States'!F51+'North Carolina Mutual'!F51+'Pen  Treaty'!F51+'Senior American'!F51+'Southland National Life'!F51+'Universal Life'!F51</f>
        <v>0</v>
      </c>
      <c r="G51" s="1">
        <f t="shared" si="2"/>
        <v>35152493.264473297</v>
      </c>
      <c r="H51" s="1">
        <f>+'American Network'!G51+'Bankers Life'!G51+'Booker T Washington'!G51+'CO Bankers'!G51+Freestone!G51+'Life Health America'!G51+'National States'!G51+'North Carolina Mutual'!G51+'Pen  Treaty'!G51+'Senior American'!G51+'Southland National Life'!G51+'Universal Life'!G51</f>
        <v>35152493.264473289</v>
      </c>
      <c r="I51" s="1">
        <f t="shared" si="3"/>
        <v>0</v>
      </c>
    </row>
    <row r="52" spans="1:9">
      <c r="A52" s="1" t="s">
        <v>73</v>
      </c>
      <c r="B52" s="1">
        <f>+'American Network'!B52+'Bankers Life'!B52+'Booker T Washington'!B52+'CO Bankers'!B52+Freestone!B52+'Life Health America'!B52+'National States'!B52+'North Carolina Mutual'!B52+'Pen  Treaty'!B52+'Senior American'!B52+'Southland National Life'!B52+'Universal Life'!B52</f>
        <v>7616.9395463033834</v>
      </c>
      <c r="C52" s="1">
        <f>+'American Network'!C52+'Bankers Life'!C52+'Booker T Washington'!C52+'CO Bankers'!C52+Freestone!C52+'Life Health America'!C52+'National States'!C52+'North Carolina Mutual'!C52+'Pen  Treaty'!C52+'Senior American'!C52+'Southland National Life'!C52+'Universal Life'!C52</f>
        <v>2417708.0377656678</v>
      </c>
      <c r="D52" s="1">
        <f>+'American Network'!D52+'Bankers Life'!D52+'Booker T Washington'!D52+'CO Bankers'!D52+Freestone!D52+'Life Health America'!D52+'National States'!D52+'North Carolina Mutual'!D52+'Pen  Treaty'!D52+'Senior American'!D52+'Southland National Life'!D52+'Universal Life'!D52</f>
        <v>9570937.5332007483</v>
      </c>
      <c r="E52" s="1">
        <f>+'American Network'!E52+'Bankers Life'!E52+'Booker T Washington'!E52+'CO Bankers'!E52+Freestone!E52+'Life Health America'!E52+'National States'!E52+'North Carolina Mutual'!E52+'Pen  Treaty'!E52+'Senior American'!E52+'Southland National Life'!E52+'Universal Life'!E52</f>
        <v>0</v>
      </c>
      <c r="F52" s="1">
        <f>+'American Network'!F52+'Bankers Life'!F52+'Booker T Washington'!F52+'CO Bankers'!F52+Freestone!F52+'Life Health America'!F52+'National States'!F52+'North Carolina Mutual'!F52+'Pen  Treaty'!F52+'Senior American'!F52+'Southland National Life'!F52+'Universal Life'!F52</f>
        <v>0</v>
      </c>
      <c r="G52" s="1">
        <f t="shared" si="2"/>
        <v>11996262.510512719</v>
      </c>
      <c r="H52" s="1">
        <f>+'American Network'!G52+'Bankers Life'!G52+'Booker T Washington'!G52+'CO Bankers'!G52+Freestone!G52+'Life Health America'!G52+'National States'!G52+'North Carolina Mutual'!G52+'Pen  Treaty'!G52+'Senior American'!G52+'Southland National Life'!G52+'Universal Life'!G52</f>
        <v>11996262.510512719</v>
      </c>
      <c r="I52" s="1">
        <f t="shared" si="3"/>
        <v>0</v>
      </c>
    </row>
    <row r="53" spans="1:9">
      <c r="A53" s="1" t="s">
        <v>74</v>
      </c>
      <c r="B53" s="1">
        <f>+'American Network'!B53+'Bankers Life'!B53+'Booker T Washington'!B53+'CO Bankers'!B53+Freestone!B53+'Life Health America'!B53+'National States'!B53+'North Carolina Mutual'!B53+'Pen  Treaty'!B53+'Senior American'!B53+'Southland National Life'!B53+'Universal Life'!B53</f>
        <v>13866964.081355266</v>
      </c>
      <c r="C53" s="1">
        <f>+'American Network'!C53+'Bankers Life'!C53+'Booker T Washington'!C53+'CO Bankers'!C53+Freestone!C53+'Life Health America'!C53+'National States'!C53+'North Carolina Mutual'!C53+'Pen  Treaty'!C53+'Senior American'!C53+'Southland National Life'!C53+'Universal Life'!C53</f>
        <v>16425074.061020711</v>
      </c>
      <c r="D53" s="1">
        <f>+'American Network'!D53+'Bankers Life'!D53+'Booker T Washington'!D53+'CO Bankers'!D53+Freestone!D53+'Life Health America'!D53+'National States'!D53+'North Carolina Mutual'!D53+'Pen  Treaty'!D53+'Senior American'!D53+'Southland National Life'!D53+'Universal Life'!D53</f>
        <v>209630487.05678344</v>
      </c>
      <c r="E53" s="1">
        <f>+'American Network'!E53+'Bankers Life'!E53+'Booker T Washington'!E53+'CO Bankers'!E53+Freestone!E53+'Life Health America'!E53+'National States'!E53+'North Carolina Mutual'!E53+'Pen  Treaty'!E53+'Senior American'!E53+'Southland National Life'!E53+'Universal Life'!E53</f>
        <v>0</v>
      </c>
      <c r="F53" s="1">
        <f>+'American Network'!F53+'Bankers Life'!F53+'Booker T Washington'!F53+'CO Bankers'!F53+Freestone!F53+'Life Health America'!F53+'National States'!F53+'North Carolina Mutual'!F53+'Pen  Treaty'!F53+'Senior American'!F53+'Southland National Life'!F53+'Universal Life'!F53</f>
        <v>-7452.9221187548828</v>
      </c>
      <c r="G53" s="1">
        <f t="shared" si="2"/>
        <v>239915072.27704066</v>
      </c>
      <c r="H53" s="1">
        <f>+'American Network'!G53+'Bankers Life'!G53+'Booker T Washington'!G53+'CO Bankers'!G53+Freestone!G53+'Life Health America'!G53+'National States'!G53+'North Carolina Mutual'!G53+'Pen  Treaty'!G53+'Senior American'!G53+'Southland National Life'!G53+'Universal Life'!G53</f>
        <v>239915072.27704066</v>
      </c>
      <c r="I53" s="1">
        <f t="shared" si="3"/>
        <v>0</v>
      </c>
    </row>
    <row r="54" spans="1:9">
      <c r="A54" s="1" t="s">
        <v>75</v>
      </c>
      <c r="B54" s="1">
        <f>+'American Network'!B54+'Bankers Life'!B54+'Booker T Washington'!B54+'CO Bankers'!B54+Freestone!B54+'Life Health America'!B54+'National States'!B54+'North Carolina Mutual'!B54+'Pen  Treaty'!B54+'Senior American'!B54+'Southland National Life'!B54+'Universal Life'!B54</f>
        <v>667662.81582758483</v>
      </c>
      <c r="C54" s="1">
        <f>+'American Network'!C54+'Bankers Life'!C54+'Booker T Washington'!C54+'CO Bankers'!C54+Freestone!C54+'Life Health America'!C54+'National States'!C54+'North Carolina Mutual'!C54+'Pen  Treaty'!C54+'Senior American'!C54+'Southland National Life'!C54+'Universal Life'!C54</f>
        <v>24135040.776074126</v>
      </c>
      <c r="D54" s="1">
        <f>+'American Network'!D54+'Bankers Life'!D54+'Booker T Washington'!D54+'CO Bankers'!D54+Freestone!D54+'Life Health America'!D54+'National States'!D54+'North Carolina Mutual'!D54+'Pen  Treaty'!D54+'Senior American'!D54+'Southland National Life'!D54+'Universal Life'!D54</f>
        <v>134371421.43905437</v>
      </c>
      <c r="E54" s="1">
        <f>+'American Network'!E54+'Bankers Life'!E54+'Booker T Washington'!E54+'CO Bankers'!E54+Freestone!E54+'Life Health America'!E54+'National States'!E54+'North Carolina Mutual'!E54+'Pen  Treaty'!E54+'Senior American'!E54+'Southland National Life'!E54+'Universal Life'!E54</f>
        <v>0</v>
      </c>
      <c r="F54" s="1">
        <f>+'American Network'!F54+'Bankers Life'!F54+'Booker T Washington'!F54+'CO Bankers'!F54+Freestone!F54+'Life Health America'!F54+'National States'!F54+'North Carolina Mutual'!F54+'Pen  Treaty'!F54+'Senior American'!F54+'Southland National Life'!F54+'Universal Life'!F54</f>
        <v>0</v>
      </c>
      <c r="G54" s="1">
        <f t="shared" si="2"/>
        <v>159174125.03095609</v>
      </c>
      <c r="H54" s="1">
        <f>+'American Network'!G54+'Bankers Life'!G54+'Booker T Washington'!G54+'CO Bankers'!G54+Freestone!G54+'Life Health America'!G54+'National States'!G54+'North Carolina Mutual'!G54+'Pen  Treaty'!G54+'Senior American'!G54+'Southland National Life'!G54+'Universal Life'!G54</f>
        <v>159174125.03095609</v>
      </c>
      <c r="I54" s="1">
        <f t="shared" si="3"/>
        <v>0</v>
      </c>
    </row>
    <row r="55" spans="1:9">
      <c r="A55" s="1" t="s">
        <v>76</v>
      </c>
      <c r="B55" s="1">
        <f>+'American Network'!B55+'Bankers Life'!B55+'Booker T Washington'!B55+'CO Bankers'!B55+Freestone!B55+'Life Health America'!B55+'National States'!B55+'North Carolina Mutual'!B55+'Pen  Treaty'!B55+'Senior American'!B55+'Southland National Life'!B55+'Universal Life'!B55</f>
        <v>167809.09334815468</v>
      </c>
      <c r="C55" s="1">
        <f>+'American Network'!C55+'Bankers Life'!C55+'Booker T Washington'!C55+'CO Bankers'!C55+Freestone!C55+'Life Health America'!C55+'National States'!C55+'North Carolina Mutual'!C55+'Pen  Treaty'!C55+'Senior American'!C55+'Southland National Life'!C55+'Universal Life'!C55</f>
        <v>2835746.0338321822</v>
      </c>
      <c r="D55" s="1">
        <f>+'American Network'!D55+'Bankers Life'!D55+'Booker T Washington'!D55+'CO Bankers'!D55+Freestone!D55+'Life Health America'!D55+'National States'!D55+'North Carolina Mutual'!D55+'Pen  Treaty'!D55+'Senior American'!D55+'Southland National Life'!D55+'Universal Life'!D55</f>
        <v>4089309.0081834332</v>
      </c>
      <c r="E55" s="1">
        <f>+'American Network'!E55+'Bankers Life'!E55+'Booker T Washington'!E55+'CO Bankers'!E55+Freestone!E55+'Life Health America'!E55+'National States'!E55+'North Carolina Mutual'!E55+'Pen  Treaty'!E55+'Senior American'!E55+'Southland National Life'!E55+'Universal Life'!E55</f>
        <v>0</v>
      </c>
      <c r="F55" s="1">
        <f>+'American Network'!F55+'Bankers Life'!F55+'Booker T Washington'!F55+'CO Bankers'!F55+Freestone!F55+'Life Health America'!F55+'National States'!F55+'North Carolina Mutual'!F55+'Pen  Treaty'!F55+'Senior American'!F55+'Southland National Life'!F55+'Universal Life'!F55</f>
        <v>0</v>
      </c>
      <c r="G55" s="1">
        <f t="shared" si="2"/>
        <v>7092864.1353637706</v>
      </c>
      <c r="H55" s="1">
        <f>+'American Network'!G55+'Bankers Life'!G55+'Booker T Washington'!G55+'CO Bankers'!G55+Freestone!G55+'Life Health America'!G55+'National States'!G55+'North Carolina Mutual'!G55+'Pen  Treaty'!G55+'Senior American'!G55+'Southland National Life'!G55+'Universal Life'!G55</f>
        <v>7092864.1353637697</v>
      </c>
      <c r="I55" s="1">
        <f t="shared" si="3"/>
        <v>0</v>
      </c>
    </row>
    <row r="56" spans="1:9">
      <c r="A56" s="1" t="s">
        <v>77</v>
      </c>
      <c r="B56" s="1">
        <f>+'American Network'!B56+'Bankers Life'!B56+'Booker T Washington'!B56+'CO Bankers'!B56+Freestone!B56+'Life Health America'!B56+'National States'!B56+'North Carolina Mutual'!B56+'Pen  Treaty'!B56+'Senior American'!B56+'Southland National Life'!B56+'Universal Life'!B56</f>
        <v>679683.22257188219</v>
      </c>
      <c r="C56" s="1">
        <f>+'American Network'!C56+'Bankers Life'!C56+'Booker T Washington'!C56+'CO Bankers'!C56+Freestone!C56+'Life Health America'!C56+'National States'!C56+'North Carolina Mutual'!C56+'Pen  Treaty'!C56+'Senior American'!C56+'Southland National Life'!C56+'Universal Life'!C56</f>
        <v>14765102.149969194</v>
      </c>
      <c r="D56" s="1">
        <f>+'American Network'!D56+'Bankers Life'!D56+'Booker T Washington'!D56+'CO Bankers'!D56+Freestone!D56+'Life Health America'!D56+'National States'!D56+'North Carolina Mutual'!D56+'Pen  Treaty'!D56+'Senior American'!D56+'Southland National Life'!D56+'Universal Life'!D56</f>
        <v>20262153.911454841</v>
      </c>
      <c r="E56" s="1">
        <f>+'American Network'!E56+'Bankers Life'!E56+'Booker T Washington'!E56+'CO Bankers'!E56+Freestone!E56+'Life Health America'!E56+'National States'!E56+'North Carolina Mutual'!E56+'Pen  Treaty'!E56+'Senior American'!E56+'Southland National Life'!E56+'Universal Life'!E56</f>
        <v>0</v>
      </c>
      <c r="F56" s="1">
        <f>+'American Network'!F56+'Bankers Life'!F56+'Booker T Washington'!F56+'CO Bankers'!F56+Freestone!F56+'Life Health America'!F56+'National States'!F56+'North Carolina Mutual'!F56+'Pen  Treaty'!F56+'Senior American'!F56+'Southland National Life'!F56+'Universal Life'!F56</f>
        <v>0</v>
      </c>
      <c r="G56" s="1">
        <f t="shared" si="2"/>
        <v>35706939.283995919</v>
      </c>
      <c r="H56" s="1">
        <f>+'American Network'!G56+'Bankers Life'!G56+'Booker T Washington'!G56+'CO Bankers'!G56+Freestone!G56+'Life Health America'!G56+'National States'!G56+'North Carolina Mutual'!G56+'Pen  Treaty'!G56+'Senior American'!G56+'Southland National Life'!G56+'Universal Life'!G56</f>
        <v>35706939.283995911</v>
      </c>
      <c r="I56" s="1">
        <f t="shared" si="3"/>
        <v>0</v>
      </c>
    </row>
    <row r="57" spans="1:9">
      <c r="A57" s="1" t="s">
        <v>78</v>
      </c>
      <c r="B57" s="1">
        <f>+'American Network'!B57+'Bankers Life'!B57+'Booker T Washington'!B57+'CO Bankers'!B57+Freestone!B57+'Life Health America'!B57+'National States'!B57+'North Carolina Mutual'!B57+'Pen  Treaty'!B57+'Senior American'!B57+'Southland National Life'!B57+'Universal Life'!B57</f>
        <v>54731.590655018677</v>
      </c>
      <c r="C57" s="1">
        <f>+'American Network'!C57+'Bankers Life'!C57+'Booker T Washington'!C57+'CO Bankers'!C57+Freestone!C57+'Life Health America'!C57+'National States'!C57+'North Carolina Mutual'!C57+'Pen  Treaty'!C57+'Senior American'!C57+'Southland National Life'!C57+'Universal Life'!C57</f>
        <v>1780426.0991829101</v>
      </c>
      <c r="D57" s="1">
        <f>+'American Network'!D57+'Bankers Life'!D57+'Booker T Washington'!D57+'CO Bankers'!D57+Freestone!D57+'Life Health America'!D57+'National States'!D57+'North Carolina Mutual'!D57+'Pen  Treaty'!D57+'Senior American'!D57+'Southland National Life'!D57+'Universal Life'!D57</f>
        <v>2714902.9981157118</v>
      </c>
      <c r="E57" s="1">
        <f>+'American Network'!E57+'Bankers Life'!E57+'Booker T Washington'!E57+'CO Bankers'!E57+Freestone!E57+'Life Health America'!E57+'National States'!E57+'North Carolina Mutual'!E57+'Pen  Treaty'!E57+'Senior American'!E57+'Southland National Life'!E57+'Universal Life'!E57</f>
        <v>0</v>
      </c>
      <c r="F57" s="1">
        <f>+'American Network'!F57+'Bankers Life'!F57+'Booker T Washington'!F57+'CO Bankers'!F57+Freestone!F57+'Life Health America'!F57+'National States'!F57+'North Carolina Mutual'!F57+'Pen  Treaty'!F57+'Senior American'!F57+'Southland National Life'!F57+'Universal Life'!F57</f>
        <v>0</v>
      </c>
      <c r="G57" s="1">
        <f t="shared" si="2"/>
        <v>4550060.6879536407</v>
      </c>
      <c r="H57" s="1">
        <f>+'American Network'!G57+'Bankers Life'!G57+'Booker T Washington'!G57+'CO Bankers'!G57+Freestone!G57+'Life Health America'!G57+'National States'!G57+'North Carolina Mutual'!G57+'Pen  Treaty'!G57+'Senior American'!G57+'Southland National Life'!G57+'Universal Life'!G57</f>
        <v>4550060.6879536407</v>
      </c>
      <c r="I57" s="1">
        <f t="shared" si="3"/>
        <v>0</v>
      </c>
    </row>
    <row r="58" spans="1:9">
      <c r="A58" s="1" t="s">
        <v>79</v>
      </c>
      <c r="B58" s="1">
        <f>+'American Network'!B58+'Bankers Life'!B58+'Booker T Washington'!B58+'CO Bankers'!B58+Freestone!B58+'Life Health America'!B58+'National States'!B58+'North Carolina Mutual'!B58+'Pen  Treaty'!B58+'Senior American'!B58+'Southland National Life'!B58+'Universal Life'!B58</f>
        <v>0</v>
      </c>
      <c r="C58" s="1">
        <f>+'American Network'!C58+'Bankers Life'!C58+'Booker T Washington'!C58+'CO Bankers'!C58+Freestone!C58+'Life Health America'!C58+'National States'!C58+'North Carolina Mutual'!C58+'Pen  Treaty'!C58+'Senior American'!C58+'Southland National Life'!C58+'Universal Life'!C58</f>
        <v>0</v>
      </c>
      <c r="D58" s="1">
        <f>+'American Network'!D58+'Bankers Life'!D58+'Booker T Washington'!D58+'CO Bankers'!D58+Freestone!D58+'Life Health America'!D58+'National States'!D58+'North Carolina Mutual'!D58+'Pen  Treaty'!D58+'Senior American'!D58+'Southland National Life'!D58+'Universal Life'!D58</f>
        <v>0</v>
      </c>
      <c r="E58" s="1">
        <f>+'American Network'!E58+'Bankers Life'!E58+'Booker T Washington'!E58+'CO Bankers'!E58+Freestone!E58+'Life Health America'!E58+'National States'!E58+'North Carolina Mutual'!E58+'Pen  Treaty'!E58+'Senior American'!E58+'Southland National Life'!E58+'Universal Life'!E58</f>
        <v>0</v>
      </c>
      <c r="F58" s="1">
        <f>+'American Network'!F58+'Bankers Life'!F58+'Booker T Washington'!F58+'CO Bankers'!F58+Freestone!F58+'Life Health America'!F58+'National States'!F58+'North Carolina Mutual'!F58+'Pen  Treaty'!F58+'Senior American'!F58+'Southland National Life'!F58+'Universal Life'!F58</f>
        <v>0</v>
      </c>
      <c r="G58" s="1">
        <f t="shared" si="2"/>
        <v>0</v>
      </c>
      <c r="H58" s="1">
        <f>+'American Network'!G58+'Bankers Life'!G58+'Booker T Washington'!G58+'CO Bankers'!G58+Freestone!G58+'Life Health America'!G58+'National States'!G58+'North Carolina Mutual'!G58+'Pen  Treaty'!G58+'Senior American'!G58+'Southland National Life'!G58+'Universal Life'!G58</f>
        <v>0</v>
      </c>
      <c r="I58" s="1">
        <f t="shared" si="3"/>
        <v>0</v>
      </c>
    </row>
    <row r="61" spans="1:9">
      <c r="A61" s="1" t="s">
        <v>8</v>
      </c>
      <c r="B61" s="1">
        <f>SUM(LIFE)</f>
        <v>348024389.63297474</v>
      </c>
      <c r="C61" s="1">
        <f>SUM(ALLOCATED)</f>
        <v>1174740783.8067324</v>
      </c>
      <c r="D61" s="1">
        <f>SUM(HEALTH)</f>
        <v>2961526399.4429584</v>
      </c>
      <c r="E61" s="1">
        <f>SUM(UNALLOCATED)</f>
        <v>0</v>
      </c>
      <c r="F61" s="1">
        <f>SUM(LTC)</f>
        <v>14439205.889089957</v>
      </c>
      <c r="G61" s="1">
        <f>SUM(TOTAL)</f>
        <v>4498730778.7717552</v>
      </c>
      <c r="H61" s="1">
        <f>SUM(TOTAL_CROSSCHECK)</f>
        <v>4498730778.7717552</v>
      </c>
      <c r="I61" s="1">
        <f>SUM(RECON)</f>
        <v>0</v>
      </c>
    </row>
  </sheetData>
  <mergeCells count="1">
    <mergeCell ref="A1:G1"/>
  </mergeCells>
  <pageMargins left="0" right="0" top="0" bottom="0" header="0" footer="0"/>
  <pageSetup scale="66" orientation="landscape"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pageSetUpPr fitToPage="1"/>
  </sheetPr>
  <dimension ref="A1:L61"/>
  <sheetViews>
    <sheetView zoomScale="75" workbookViewId="0">
      <selection activeCell="K37" sqref="K37"/>
    </sheetView>
  </sheetViews>
  <sheetFormatPr defaultColWidth="9.109375" defaultRowHeight="14.4"/>
  <cols>
    <col min="1" max="1" width="20" style="1" customWidth="1"/>
    <col min="2" max="8" width="15" style="1" customWidth="1"/>
    <col min="9" max="9" width="5" style="1" customWidth="1"/>
    <col min="10" max="10" width="9.109375" style="1" customWidth="1"/>
    <col min="11" max="11" width="40" style="1" customWidth="1"/>
    <col min="12" max="12" width="15" style="1" customWidth="1"/>
    <col min="13" max="13" width="9.109375" style="1" customWidth="1"/>
    <col min="14" max="16384" width="9.109375" style="1"/>
  </cols>
  <sheetData>
    <row r="1" spans="1:12">
      <c r="A1" s="100" t="s">
        <v>713</v>
      </c>
      <c r="B1" s="100"/>
      <c r="C1" s="100"/>
      <c r="D1" s="100"/>
      <c r="E1" s="100"/>
      <c r="F1" s="100"/>
      <c r="G1" s="100"/>
    </row>
    <row r="3" spans="1:12">
      <c r="B3" s="3"/>
      <c r="C3" s="3" t="s">
        <v>708</v>
      </c>
      <c r="D3" s="3"/>
      <c r="E3" s="3" t="s">
        <v>709</v>
      </c>
      <c r="F3" s="3"/>
      <c r="G3" s="3"/>
    </row>
    <row r="4" spans="1:12">
      <c r="B4" s="3" t="s">
        <v>3</v>
      </c>
      <c r="C4" s="3" t="s">
        <v>710</v>
      </c>
      <c r="D4" s="3" t="s">
        <v>5</v>
      </c>
      <c r="E4" s="3" t="s">
        <v>710</v>
      </c>
      <c r="F4" s="3" t="s">
        <v>7</v>
      </c>
      <c r="G4" s="3" t="s">
        <v>8</v>
      </c>
    </row>
    <row r="6" spans="1:12">
      <c r="A6" s="1" t="s">
        <v>11</v>
      </c>
      <c r="B6" s="1">
        <f>+'AF&amp;L'!B6+'Colorado Health'!B6+'Compass (dbs Meritus)'!B6+'Consumers Choice'!B6+CoOportunity!B6+'Coordinated Hlth'!B6+'Executive Life'!B6+ELNY!B6+'First Natl (Thrnr)'!B6+'Freelancers CO-OP'!B6+HealthyCT!B6+'Land of Lincoln'!B6+'Lincoln Memorial'!B6+Lumbermens!B6+'Memorial Service'!B6+NNIC!B6+Reliance!B6+'Standard Life IN'!B6+Time!B6+'Universal Health Care'!B6</f>
        <v>11089578.824850684</v>
      </c>
      <c r="C6" s="1">
        <f>+'AF&amp;L'!C6+'Colorado Health'!C6+'Compass (dbs Meritus)'!C6+'Consumers Choice'!C6+CoOportunity!C6+'Coordinated Hlth'!C6+'Executive Life'!C6+ELNY!C6+'First Natl (Thrnr)'!C6+'Freelancers CO-OP'!C6+HealthyCT!C6+'Land of Lincoln'!C6+'Lincoln Memorial'!C6+Lumbermens!C6+'Memorial Service'!C6+NNIC!C6+Reliance!C6+'Standard Life IN'!C6+Time!C6+'Universal Health Care'!C6</f>
        <v>21346433.861012831</v>
      </c>
      <c r="D6" s="1">
        <f>+'AF&amp;L'!D6+'Colorado Health'!D6+'Compass (dbs Meritus)'!D6+'Consumers Choice'!D6+CoOportunity!D6+'Coordinated Hlth'!D6+'Executive Life'!D6+ELNY!D6+'First Natl (Thrnr)'!D6+'Freelancers CO-OP'!D6+HealthyCT!D6+'Land of Lincoln'!D6+'Lincoln Memorial'!D6+Lumbermens!D6+'Memorial Service'!D6+NNIC!D6+Reliance!D6+'Standard Life IN'!D6+Time!D6+'Universal Health Care'!D6</f>
        <v>117117.35738104454</v>
      </c>
      <c r="E6" s="1">
        <f>+'AF&amp;L'!E6+'Colorado Health'!E6+'Compass (dbs Meritus)'!E6+'Consumers Choice'!E6+CoOportunity!E6+'Coordinated Hlth'!E6+'Executive Life'!E6+ELNY!E6+'First Natl (Thrnr)'!E6+'Freelancers CO-OP'!E6+HealthyCT!E6+'Land of Lincoln'!E6+'Lincoln Memorial'!E6+Lumbermens!E6+'Memorial Service'!E6+NNIC!E6+Reliance!E6+'Standard Life IN'!E6+Time!E6+'Universal Health Care'!E6</f>
        <v>0</v>
      </c>
      <c r="F6" s="1">
        <f>+'AF&amp;L'!F6+'Colorado Health'!F6+'Compass (dbs Meritus)'!F6+'Consumers Choice'!F6+CoOportunity!F6+'Coordinated Hlth'!F6+'Executive Life'!F6+ELNY!F6+'First Natl (Thrnr)'!F6+'Freelancers CO-OP'!F6+HealthyCT!F6+'Land of Lincoln'!F6+'Lincoln Memorial'!F6+Lumbermens!F6+'Memorial Service'!F6+NNIC!F6+Reliance!F6+'Standard Life IN'!F6+Time!F6+'Universal Health Care'!F6</f>
        <v>0</v>
      </c>
      <c r="G6" s="1">
        <f t="shared" ref="G6:G37" si="0">SUM(B6:F6)</f>
        <v>32553130.043244563</v>
      </c>
      <c r="H6" s="1">
        <f>+'AF&amp;L'!G6+'Colorado Health'!G6+'Compass (dbs Meritus)'!G6+'Consumers Choice'!G6+CoOportunity!G6+'Coordinated Hlth'!G6+'Executive Life'!G6+ELNY!G6+'First Natl (Thrnr)'!G6+'Freelancers CO-OP'!G6+HealthyCT!G6+'Land of Lincoln'!G6+'Lincoln Memorial'!G6+Lumbermens!G6+'Memorial Service'!G6+NNIC!G6+Reliance!G6+'Standard Life IN'!G6+Time!G6+'Universal Health Care'!G6</f>
        <v>32553130.043244563</v>
      </c>
      <c r="I6" s="1">
        <f t="shared" ref="I6:I37" si="1">G6-H6</f>
        <v>0</v>
      </c>
      <c r="K6" s="1" t="s">
        <v>248</v>
      </c>
      <c r="L6" s="1">
        <f>Summary!TOTAL_35963</f>
        <v>18885.335155984209</v>
      </c>
    </row>
    <row r="7" spans="1:12">
      <c r="A7" s="1" t="s">
        <v>12</v>
      </c>
      <c r="B7" s="1">
        <f>+'AF&amp;L'!B7+'Colorado Health'!B7+'Compass (dbs Meritus)'!B7+'Consumers Choice'!B7+CoOportunity!B7+'Coordinated Hlth'!B7+'Executive Life'!B7+ELNY!B7+'First Natl (Thrnr)'!B7+'Freelancers CO-OP'!B7+HealthyCT!B7+'Land of Lincoln'!B7+'Lincoln Memorial'!B7+Lumbermens!B7+'Memorial Service'!B7+NNIC!B7+Reliance!B7+'Standard Life IN'!B7+Time!B7+'Universal Health Care'!B7</f>
        <v>539088.15370155557</v>
      </c>
      <c r="C7" s="1">
        <f>+'AF&amp;L'!C7+'Colorado Health'!C7+'Compass (dbs Meritus)'!C7+'Consumers Choice'!C7+CoOportunity!C7+'Coordinated Hlth'!C7+'Executive Life'!C7+ELNY!C7+'First Natl (Thrnr)'!C7+'Freelancers CO-OP'!C7+HealthyCT!C7+'Land of Lincoln'!C7+'Lincoln Memorial'!C7+Lumbermens!C7+'Memorial Service'!C7+NNIC!C7+Reliance!C7+'Standard Life IN'!C7+Time!C7+'Universal Health Care'!C7</f>
        <v>5594908.0389935011</v>
      </c>
      <c r="D7" s="1">
        <f>+'AF&amp;L'!D7+'Colorado Health'!D7+'Compass (dbs Meritus)'!D7+'Consumers Choice'!D7+CoOportunity!D7+'Coordinated Hlth'!D7+'Executive Life'!D7+ELNY!D7+'First Natl (Thrnr)'!D7+'Freelancers CO-OP'!D7+HealthyCT!D7+'Land of Lincoln'!D7+'Lincoln Memorial'!D7+Lumbermens!D7+'Memorial Service'!D7+NNIC!D7+Reliance!D7+'Standard Life IN'!D7+Time!D7+'Universal Health Care'!D7</f>
        <v>-107.48999999999978</v>
      </c>
      <c r="E7" s="1">
        <f>+'AF&amp;L'!E7+'Colorado Health'!E7+'Compass (dbs Meritus)'!E7+'Consumers Choice'!E7+CoOportunity!E7+'Coordinated Hlth'!E7+'Executive Life'!E7+ELNY!E7+'First Natl (Thrnr)'!E7+'Freelancers CO-OP'!E7+HealthyCT!E7+'Land of Lincoln'!E7+'Lincoln Memorial'!E7+Lumbermens!E7+'Memorial Service'!E7+NNIC!E7+Reliance!E7+'Standard Life IN'!E7+Time!E7+'Universal Health Care'!E7</f>
        <v>0</v>
      </c>
      <c r="F7" s="1">
        <f>+'AF&amp;L'!F7+'Colorado Health'!F7+'Compass (dbs Meritus)'!F7+'Consumers Choice'!F7+CoOportunity!F7+'Coordinated Hlth'!F7+'Executive Life'!F7+ELNY!F7+'First Natl (Thrnr)'!F7+'Freelancers CO-OP'!F7+HealthyCT!F7+'Land of Lincoln'!F7+'Lincoln Memorial'!F7+Lumbermens!F7+'Memorial Service'!F7+NNIC!F7+Reliance!F7+'Standard Life IN'!F7+Time!F7+'Universal Health Care'!F7</f>
        <v>0</v>
      </c>
      <c r="G7" s="1">
        <f t="shared" si="0"/>
        <v>6133888.7026950568</v>
      </c>
      <c r="H7" s="1">
        <f>+'AF&amp;L'!G7+'Colorado Health'!G7+'Compass (dbs Meritus)'!G7+'Consumers Choice'!G7+CoOportunity!G7+'Coordinated Hlth'!G7+'Executive Life'!G7+ELNY!G7+'First Natl (Thrnr)'!G7+'Freelancers CO-OP'!G7+HealthyCT!G7+'Land of Lincoln'!G7+'Lincoln Memorial'!G7+Lumbermens!G7+'Memorial Service'!G7+NNIC!G7+Reliance!G7+'Standard Life IN'!G7+Time!G7+'Universal Health Care'!G7</f>
        <v>6133888.7026950559</v>
      </c>
      <c r="I7" s="1">
        <f t="shared" si="1"/>
        <v>0</v>
      </c>
      <c r="K7" s="1" t="s">
        <v>250</v>
      </c>
      <c r="L7" s="1">
        <f>Summary!TOTAL_15126</f>
        <v>83658295</v>
      </c>
    </row>
    <row r="8" spans="1:12">
      <c r="A8" s="1" t="s">
        <v>13</v>
      </c>
      <c r="B8" s="1">
        <f>+'AF&amp;L'!B8+'Colorado Health'!B8+'Compass (dbs Meritus)'!B8+'Consumers Choice'!B8+CoOportunity!B8+'Coordinated Hlth'!B8+'Executive Life'!B8+ELNY!B8+'First Natl (Thrnr)'!B8+'Freelancers CO-OP'!B8+HealthyCT!B8+'Land of Lincoln'!B8+'Lincoln Memorial'!B8+Lumbermens!B8+'Memorial Service'!B8+NNIC!B8+Reliance!B8+'Standard Life IN'!B8+Time!B8+'Universal Health Care'!B8</f>
        <v>20011480.5561582</v>
      </c>
      <c r="C8" s="1">
        <f>+'AF&amp;L'!C8+'Colorado Health'!C8+'Compass (dbs Meritus)'!C8+'Consumers Choice'!C8+CoOportunity!C8+'Coordinated Hlth'!C8+'Executive Life'!C8+ELNY!C8+'First Natl (Thrnr)'!C8+'Freelancers CO-OP'!C8+HealthyCT!C8+'Land of Lincoln'!C8+'Lincoln Memorial'!C8+Lumbermens!C8+'Memorial Service'!C8+NNIC!C8+Reliance!C8+'Standard Life IN'!C8+Time!C8+'Universal Health Care'!C8</f>
        <v>24698769.503059953</v>
      </c>
      <c r="D8" s="1">
        <f>+'AF&amp;L'!D8+'Colorado Health'!D8+'Compass (dbs Meritus)'!D8+'Consumers Choice'!D8+CoOportunity!D8+'Coordinated Hlth'!D8+'Executive Life'!D8+ELNY!D8+'First Natl (Thrnr)'!D8+'Freelancers CO-OP'!D8+HealthyCT!D8+'Land of Lincoln'!D8+'Lincoln Memorial'!D8+Lumbermens!D8+'Memorial Service'!D8+NNIC!D8+Reliance!D8+'Standard Life IN'!D8+Time!D8+'Universal Health Care'!D8</f>
        <v>3960869.9872972788</v>
      </c>
      <c r="E8" s="1">
        <f>+'AF&amp;L'!E8+'Colorado Health'!E8+'Compass (dbs Meritus)'!E8+'Consumers Choice'!E8+CoOportunity!E8+'Coordinated Hlth'!E8+'Executive Life'!E8+ELNY!E8+'First Natl (Thrnr)'!E8+'Freelancers CO-OP'!E8+HealthyCT!E8+'Land of Lincoln'!E8+'Lincoln Memorial'!E8+Lumbermens!E8+'Memorial Service'!E8+NNIC!E8+Reliance!E8+'Standard Life IN'!E8+Time!E8+'Universal Health Care'!E8</f>
        <v>0</v>
      </c>
      <c r="F8" s="1">
        <f>+'AF&amp;L'!F8+'Colorado Health'!F8+'Compass (dbs Meritus)'!F8+'Consumers Choice'!F8+CoOportunity!F8+'Coordinated Hlth'!F8+'Executive Life'!F8+ELNY!F8+'First Natl (Thrnr)'!F8+'Freelancers CO-OP'!F8+HealthyCT!F8+'Land of Lincoln'!F8+'Lincoln Memorial'!F8+Lumbermens!F8+'Memorial Service'!F8+NNIC!F8+Reliance!F8+'Standard Life IN'!F8+Time!F8+'Universal Health Care'!F8</f>
        <v>0</v>
      </c>
      <c r="G8" s="1">
        <f t="shared" si="0"/>
        <v>48671120.046515435</v>
      </c>
      <c r="H8" s="1">
        <f>+'AF&amp;L'!G8+'Colorado Health'!G8+'Compass (dbs Meritus)'!G8+'Consumers Choice'!G8+CoOportunity!G8+'Coordinated Hlth'!G8+'Executive Life'!G8+ELNY!G8+'First Natl (Thrnr)'!G8+'Freelancers CO-OP'!G8+HealthyCT!G8+'Land of Lincoln'!G8+'Lincoln Memorial'!G8+Lumbermens!G8+'Memorial Service'!G8+NNIC!G8+Reliance!G8+'Standard Life IN'!G8+Time!G8+'Universal Health Care'!G8</f>
        <v>48671120.046515428</v>
      </c>
      <c r="I8" s="1">
        <f t="shared" si="1"/>
        <v>0</v>
      </c>
      <c r="K8" s="1" t="s">
        <v>255</v>
      </c>
      <c r="L8" s="1">
        <f>Summary!TOTAL_15092</f>
        <v>3347549</v>
      </c>
    </row>
    <row r="9" spans="1:12">
      <c r="A9" s="1" t="s">
        <v>15</v>
      </c>
      <c r="B9" s="1">
        <f>+'AF&amp;L'!B9+'Colorado Health'!B9+'Compass (dbs Meritus)'!B9+'Consumers Choice'!B9+CoOportunity!B9+'Coordinated Hlth'!B9+'Executive Life'!B9+ELNY!B9+'First Natl (Thrnr)'!B9+'Freelancers CO-OP'!B9+HealthyCT!B9+'Land of Lincoln'!B9+'Lincoln Memorial'!B9+Lumbermens!B9+'Memorial Service'!B9+NNIC!B9+Reliance!B9+'Standard Life IN'!B9+Time!B9+'Universal Health Care'!B9</f>
        <v>12943449.420167835</v>
      </c>
      <c r="C9" s="1">
        <f>+'AF&amp;L'!C9+'Colorado Health'!C9+'Compass (dbs Meritus)'!C9+'Consumers Choice'!C9+CoOportunity!C9+'Coordinated Hlth'!C9+'Executive Life'!C9+ELNY!C9+'First Natl (Thrnr)'!C9+'Freelancers CO-OP'!C9+HealthyCT!C9+'Land of Lincoln'!C9+'Lincoln Memorial'!C9+Lumbermens!C9+'Memorial Service'!C9+NNIC!C9+Reliance!C9+'Standard Life IN'!C9+Time!C9+'Universal Health Care'!C9</f>
        <v>9107638.7800289933</v>
      </c>
      <c r="D9" s="1">
        <f>+'AF&amp;L'!D9+'Colorado Health'!D9+'Compass (dbs Meritus)'!D9+'Consumers Choice'!D9+CoOportunity!D9+'Coordinated Hlth'!D9+'Executive Life'!D9+ELNY!D9+'First Natl (Thrnr)'!D9+'Freelancers CO-OP'!D9+HealthyCT!D9+'Land of Lincoln'!D9+'Lincoln Memorial'!D9+Lumbermens!D9+'Memorial Service'!D9+NNIC!D9+Reliance!D9+'Standard Life IN'!D9+Time!D9+'Universal Health Care'!D9</f>
        <v>291672.63423255133</v>
      </c>
      <c r="E9" s="1">
        <f>+'AF&amp;L'!E9+'Colorado Health'!E9+'Compass (dbs Meritus)'!E9+'Consumers Choice'!E9+CoOportunity!E9+'Coordinated Hlth'!E9+'Executive Life'!E9+ELNY!E9+'First Natl (Thrnr)'!E9+'Freelancers CO-OP'!E9+HealthyCT!E9+'Land of Lincoln'!E9+'Lincoln Memorial'!E9+Lumbermens!E9+'Memorial Service'!E9+NNIC!E9+Reliance!E9+'Standard Life IN'!E9+Time!E9+'Universal Health Care'!E9</f>
        <v>52688.829705908582</v>
      </c>
      <c r="F9" s="1">
        <f>+'AF&amp;L'!F9+'Colorado Health'!F9+'Compass (dbs Meritus)'!F9+'Consumers Choice'!F9+CoOportunity!F9+'Coordinated Hlth'!F9+'Executive Life'!F9+ELNY!F9+'First Natl (Thrnr)'!F9+'Freelancers CO-OP'!F9+HealthyCT!F9+'Land of Lincoln'!F9+'Lincoln Memorial'!F9+Lumbermens!F9+'Memorial Service'!F9+NNIC!F9+Reliance!F9+'Standard Life IN'!F9+Time!F9+'Universal Health Care'!F9</f>
        <v>0</v>
      </c>
      <c r="G9" s="1">
        <f t="shared" si="0"/>
        <v>22395449.664135288</v>
      </c>
      <c r="H9" s="1">
        <f>+'AF&amp;L'!G9+'Colorado Health'!G9+'Compass (dbs Meritus)'!G9+'Consumers Choice'!G9+CoOportunity!G9+'Coordinated Hlth'!G9+'Executive Life'!G9+ELNY!G9+'First Natl (Thrnr)'!G9+'Freelancers CO-OP'!G9+HealthyCT!G9+'Land of Lincoln'!G9+'Lincoln Memorial'!G9+Lumbermens!G9+'Memorial Service'!G9+NNIC!G9+Reliance!G9+'Standard Life IN'!G9+Time!G9+'Universal Health Care'!G9</f>
        <v>22395449.664135292</v>
      </c>
      <c r="I9" s="1">
        <f t="shared" si="1"/>
        <v>0</v>
      </c>
      <c r="K9" s="1" t="s">
        <v>260</v>
      </c>
      <c r="L9" s="1">
        <f>Summary!TOTAL_15145</f>
        <v>34784248.960000001</v>
      </c>
    </row>
    <row r="10" spans="1:12">
      <c r="A10" s="1" t="s">
        <v>16</v>
      </c>
      <c r="B10" s="1">
        <f>+'AF&amp;L'!B10+'Colorado Health'!B10+'Compass (dbs Meritus)'!B10+'Consumers Choice'!B10+CoOportunity!B10+'Coordinated Hlth'!B10+'Executive Life'!B10+ELNY!B10+'First Natl (Thrnr)'!B10+'Freelancers CO-OP'!B10+HealthyCT!B10+'Land of Lincoln'!B10+'Lincoln Memorial'!B10+Lumbermens!B10+'Memorial Service'!B10+NNIC!B10+Reliance!B10+'Standard Life IN'!B10+Time!B10+'Universal Health Care'!B10</f>
        <v>273504487.01679987</v>
      </c>
      <c r="C10" s="1">
        <f>+'AF&amp;L'!C10+'Colorado Health'!C10+'Compass (dbs Meritus)'!C10+'Consumers Choice'!C10+CoOportunity!C10+'Coordinated Hlth'!C10+'Executive Life'!C10+ELNY!C10+'First Natl (Thrnr)'!C10+'Freelancers CO-OP'!C10+HealthyCT!C10+'Land of Lincoln'!C10+'Lincoln Memorial'!C10+Lumbermens!C10+'Memorial Service'!C10+NNIC!C10+Reliance!C10+'Standard Life IN'!C10+Time!C10+'Universal Health Care'!C10</f>
        <v>457664090.03762114</v>
      </c>
      <c r="D10" s="1">
        <f>+'AF&amp;L'!D10+'Colorado Health'!D10+'Compass (dbs Meritus)'!D10+'Consumers Choice'!D10+CoOportunity!D10+'Coordinated Hlth'!D10+'Executive Life'!D10+ELNY!D10+'First Natl (Thrnr)'!D10+'Freelancers CO-OP'!D10+HealthyCT!D10+'Land of Lincoln'!D10+'Lincoln Memorial'!D10+Lumbermens!D10+'Memorial Service'!D10+NNIC!D10+Reliance!D10+'Standard Life IN'!D10+Time!D10+'Universal Health Care'!D10</f>
        <v>2005893.3723477246</v>
      </c>
      <c r="E10" s="1">
        <f>+'AF&amp;L'!E10+'Colorado Health'!E10+'Compass (dbs Meritus)'!E10+'Consumers Choice'!E10+CoOportunity!E10+'Coordinated Hlth'!E10+'Executive Life'!E10+ELNY!E10+'First Natl (Thrnr)'!E10+'Freelancers CO-OP'!E10+HealthyCT!E10+'Land of Lincoln'!E10+'Lincoln Memorial'!E10+Lumbermens!E10+'Memorial Service'!E10+NNIC!E10+Reliance!E10+'Standard Life IN'!E10+Time!E10+'Universal Health Care'!E10</f>
        <v>0</v>
      </c>
      <c r="F10" s="1">
        <f>+'AF&amp;L'!F10+'Colorado Health'!F10+'Compass (dbs Meritus)'!F10+'Consumers Choice'!F10+CoOportunity!F10+'Coordinated Hlth'!F10+'Executive Life'!F10+ELNY!F10+'First Natl (Thrnr)'!F10+'Freelancers CO-OP'!F10+HealthyCT!F10+'Land of Lincoln'!F10+'Lincoln Memorial'!F10+Lumbermens!F10+'Memorial Service'!F10+NNIC!F10+Reliance!F10+'Standard Life IN'!F10+Time!F10+'Universal Health Care'!F10</f>
        <v>0</v>
      </c>
      <c r="G10" s="1">
        <f t="shared" si="0"/>
        <v>733174470.42676866</v>
      </c>
      <c r="H10" s="1">
        <f>+'AF&amp;L'!G10+'Colorado Health'!G10+'Compass (dbs Meritus)'!G10+'Consumers Choice'!G10+CoOportunity!G10+'Coordinated Hlth'!G10+'Executive Life'!G10+ELNY!G10+'First Natl (Thrnr)'!G10+'Freelancers CO-OP'!G10+HealthyCT!G10+'Land of Lincoln'!G10+'Lincoln Memorial'!G10+Lumbermens!G10+'Memorial Service'!G10+NNIC!G10+Reliance!G10+'Standard Life IN'!G10+Time!G10+'Universal Health Care'!G10</f>
        <v>733174470.42676878</v>
      </c>
      <c r="I10" s="1">
        <f t="shared" si="1"/>
        <v>0</v>
      </c>
      <c r="K10" s="1" t="s">
        <v>108</v>
      </c>
      <c r="L10" s="1">
        <f>Summary!TOTAL_15093</f>
        <v>29171521.632349882</v>
      </c>
    </row>
    <row r="11" spans="1:12">
      <c r="A11" s="1" t="s">
        <v>18</v>
      </c>
      <c r="B11" s="1">
        <f>+'AF&amp;L'!B11+'Colorado Health'!B11+'Compass (dbs Meritus)'!B11+'Consumers Choice'!B11+CoOportunity!B11+'Coordinated Hlth'!B11+'Executive Life'!B11+ELNY!B11+'First Natl (Thrnr)'!B11+'Freelancers CO-OP'!B11+HealthyCT!B11+'Land of Lincoln'!B11+'Lincoln Memorial'!B11+Lumbermens!B11+'Memorial Service'!B11+NNIC!B11+Reliance!B11+'Standard Life IN'!B11+Time!B11+'Universal Health Care'!B11</f>
        <v>376530.85869363323</v>
      </c>
      <c r="C11" s="1">
        <f>+'AF&amp;L'!C11+'Colorado Health'!C11+'Compass (dbs Meritus)'!C11+'Consumers Choice'!C11+CoOportunity!C11+'Coordinated Hlth'!C11+'Executive Life'!C11+ELNY!C11+'First Natl (Thrnr)'!C11+'Freelancers CO-OP'!C11+HealthyCT!C11+'Land of Lincoln'!C11+'Lincoln Memorial'!C11+Lumbermens!C11+'Memorial Service'!C11+NNIC!C11+Reliance!C11+'Standard Life IN'!C11+Time!C11+'Universal Health Care'!C11</f>
        <v>2059170.9434326731</v>
      </c>
      <c r="D11" s="1">
        <f>+'AF&amp;L'!D11+'Colorado Health'!D11+'Compass (dbs Meritus)'!D11+'Consumers Choice'!D11+CoOportunity!D11+'Coordinated Hlth'!D11+'Executive Life'!D11+ELNY!D11+'First Natl (Thrnr)'!D11+'Freelancers CO-OP'!D11+HealthyCT!D11+'Land of Lincoln'!D11+'Lincoln Memorial'!D11+Lumbermens!D11+'Memorial Service'!D11+NNIC!D11+Reliance!D11+'Standard Life IN'!D11+Time!D11+'Universal Health Care'!D11</f>
        <v>83648182.118154883</v>
      </c>
      <c r="E11" s="1">
        <f>+'AF&amp;L'!E11+'Colorado Health'!E11+'Compass (dbs Meritus)'!E11+'Consumers Choice'!E11+CoOportunity!E11+'Coordinated Hlth'!E11+'Executive Life'!E11+ELNY!E11+'First Natl (Thrnr)'!E11+'Freelancers CO-OP'!E11+HealthyCT!E11+'Land of Lincoln'!E11+'Lincoln Memorial'!E11+Lumbermens!E11+'Memorial Service'!E11+NNIC!E11+Reliance!E11+'Standard Life IN'!E11+Time!E11+'Universal Health Care'!E11</f>
        <v>0</v>
      </c>
      <c r="F11" s="1">
        <f>+'AF&amp;L'!F11+'Colorado Health'!F11+'Compass (dbs Meritus)'!F11+'Consumers Choice'!F11+CoOportunity!F11+'Coordinated Hlth'!F11+'Executive Life'!F11+ELNY!F11+'First Natl (Thrnr)'!F11+'Freelancers CO-OP'!F11+HealthyCT!F11+'Land of Lincoln'!F11+'Lincoln Memorial'!F11+Lumbermens!F11+'Memorial Service'!F11+NNIC!F11+Reliance!F11+'Standard Life IN'!F11+Time!F11+'Universal Health Care'!F11</f>
        <v>0</v>
      </c>
      <c r="G11" s="1">
        <f t="shared" si="0"/>
        <v>86083883.920281187</v>
      </c>
      <c r="H11" s="1">
        <f>+'AF&amp;L'!G11+'Colorado Health'!G11+'Compass (dbs Meritus)'!G11+'Consumers Choice'!G11+CoOportunity!G11+'Coordinated Hlth'!G11+'Executive Life'!G11+ELNY!G11+'First Natl (Thrnr)'!G11+'Freelancers CO-OP'!G11+HealthyCT!G11+'Land of Lincoln'!G11+'Lincoln Memorial'!G11+Lumbermens!G11+'Memorial Service'!G11+NNIC!G11+Reliance!G11+'Standard Life IN'!G11+Time!G11+'Universal Health Care'!G11</f>
        <v>86083883.920281187</v>
      </c>
      <c r="I11" s="1">
        <f t="shared" si="1"/>
        <v>0</v>
      </c>
      <c r="K11" s="1" t="s">
        <v>269</v>
      </c>
      <c r="L11" s="1">
        <f>Summary!TOTAL_15314</f>
        <v>8388718</v>
      </c>
    </row>
    <row r="12" spans="1:12">
      <c r="A12" s="1" t="s">
        <v>19</v>
      </c>
      <c r="B12" s="1">
        <f>+'AF&amp;L'!B12+'Colorado Health'!B12+'Compass (dbs Meritus)'!B12+'Consumers Choice'!B12+CoOportunity!B12+'Coordinated Hlth'!B12+'Executive Life'!B12+ELNY!B12+'First Natl (Thrnr)'!B12+'Freelancers CO-OP'!B12+HealthyCT!B12+'Land of Lincoln'!B12+'Lincoln Memorial'!B12+Lumbermens!B12+'Memorial Service'!B12+NNIC!B12+Reliance!B12+'Standard Life IN'!B12+Time!B12+'Universal Health Care'!B12</f>
        <v>37782.771137619085</v>
      </c>
      <c r="C12" s="1">
        <f>+'AF&amp;L'!C12+'Colorado Health'!C12+'Compass (dbs Meritus)'!C12+'Consumers Choice'!C12+CoOportunity!C12+'Coordinated Hlth'!C12+'Executive Life'!C12+ELNY!C12+'First Natl (Thrnr)'!C12+'Freelancers CO-OP'!C12+HealthyCT!C12+'Land of Lincoln'!C12+'Lincoln Memorial'!C12+Lumbermens!C12+'Memorial Service'!C12+NNIC!C12+Reliance!C12+'Standard Life IN'!C12+Time!C12+'Universal Health Care'!C12</f>
        <v>24273536.546097789</v>
      </c>
      <c r="D12" s="1">
        <f>+'AF&amp;L'!D12+'Colorado Health'!D12+'Compass (dbs Meritus)'!D12+'Consumers Choice'!D12+CoOportunity!D12+'Coordinated Hlth'!D12+'Executive Life'!D12+ELNY!D12+'First Natl (Thrnr)'!D12+'Freelancers CO-OP'!D12+HealthyCT!D12+'Land of Lincoln'!D12+'Lincoln Memorial'!D12+Lumbermens!D12+'Memorial Service'!D12+NNIC!D12+Reliance!D12+'Standard Life IN'!D12+Time!D12+'Universal Health Care'!D12</f>
        <v>304916.10741372633</v>
      </c>
      <c r="E12" s="1">
        <f>+'AF&amp;L'!E12+'Colorado Health'!E12+'Compass (dbs Meritus)'!E12+'Consumers Choice'!E12+CoOportunity!E12+'Coordinated Hlth'!E12+'Executive Life'!E12+ELNY!E12+'First Natl (Thrnr)'!E12+'Freelancers CO-OP'!E12+HealthyCT!E12+'Land of Lincoln'!E12+'Lincoln Memorial'!E12+Lumbermens!E12+'Memorial Service'!E12+NNIC!E12+Reliance!E12+'Standard Life IN'!E12+Time!E12+'Universal Health Care'!E12</f>
        <v>0</v>
      </c>
      <c r="F12" s="1">
        <f>+'AF&amp;L'!F12+'Colorado Health'!F12+'Compass (dbs Meritus)'!F12+'Consumers Choice'!F12+CoOportunity!F12+'Coordinated Hlth'!F12+'Executive Life'!F12+ELNY!F12+'First Natl (Thrnr)'!F12+'Freelancers CO-OP'!F12+HealthyCT!F12+'Land of Lincoln'!F12+'Lincoln Memorial'!F12+Lumbermens!F12+'Memorial Service'!F12+NNIC!F12+Reliance!F12+'Standard Life IN'!F12+Time!F12+'Universal Health Care'!F12</f>
        <v>0</v>
      </c>
      <c r="G12" s="1">
        <f t="shared" si="0"/>
        <v>24616235.424649134</v>
      </c>
      <c r="H12" s="1">
        <f>+'AF&amp;L'!G12+'Colorado Health'!G12+'Compass (dbs Meritus)'!G12+'Consumers Choice'!G12+CoOportunity!G12+'Coordinated Hlth'!G12+'Executive Life'!G12+ELNY!G12+'First Natl (Thrnr)'!G12+'Freelancers CO-OP'!G12+HealthyCT!G12+'Land of Lincoln'!G12+'Lincoln Memorial'!G12+Lumbermens!G12+'Memorial Service'!G12+NNIC!G12+Reliance!G12+'Standard Life IN'!G12+Time!G12+'Universal Health Care'!G12</f>
        <v>24616235.424649131</v>
      </c>
      <c r="I12" s="1">
        <f t="shared" si="1"/>
        <v>0</v>
      </c>
      <c r="K12" s="1" t="s">
        <v>273</v>
      </c>
      <c r="L12" s="1">
        <f>Summary!TOTAL_63010</f>
        <v>2856153387.4262118</v>
      </c>
    </row>
    <row r="13" spans="1:12">
      <c r="A13" s="1" t="s">
        <v>21</v>
      </c>
      <c r="B13" s="1">
        <f>+'AF&amp;L'!B13+'Colorado Health'!B13+'Compass (dbs Meritus)'!B13+'Consumers Choice'!B13+CoOportunity!B13+'Coordinated Hlth'!B13+'Executive Life'!B13+ELNY!B13+'First Natl (Thrnr)'!B13+'Freelancers CO-OP'!B13+HealthyCT!B13+'Land of Lincoln'!B13+'Lincoln Memorial'!B13+Lumbermens!B13+'Memorial Service'!B13+NNIC!B13+Reliance!B13+'Standard Life IN'!B13+Time!B13+'Universal Health Care'!B13</f>
        <v>3862276.0417444562</v>
      </c>
      <c r="C13" s="1">
        <f>+'AF&amp;L'!C13+'Colorado Health'!C13+'Compass (dbs Meritus)'!C13+'Consumers Choice'!C13+CoOportunity!C13+'Coordinated Hlth'!C13+'Executive Life'!C13+ELNY!C13+'First Natl (Thrnr)'!C13+'Freelancers CO-OP'!C13+HealthyCT!C13+'Land of Lincoln'!C13+'Lincoln Memorial'!C13+Lumbermens!C13+'Memorial Service'!C13+NNIC!C13+Reliance!C13+'Standard Life IN'!C13+Time!C13+'Universal Health Care'!C13</f>
        <v>6899737.0006537177</v>
      </c>
      <c r="D13" s="1">
        <f>+'AF&amp;L'!D13+'Colorado Health'!D13+'Compass (dbs Meritus)'!D13+'Consumers Choice'!D13+CoOportunity!D13+'Coordinated Hlth'!D13+'Executive Life'!D13+ELNY!D13+'First Natl (Thrnr)'!D13+'Freelancers CO-OP'!D13+HealthyCT!D13+'Land of Lincoln'!D13+'Lincoln Memorial'!D13+Lumbermens!D13+'Memorial Service'!D13+NNIC!D13+Reliance!D13+'Standard Life IN'!D13+Time!D13+'Universal Health Care'!D13+72358</f>
        <v>80911.768241692451</v>
      </c>
      <c r="E13" s="1">
        <f>+'AF&amp;L'!E13+'Colorado Health'!E13+'Compass (dbs Meritus)'!E13+'Consumers Choice'!E13+CoOportunity!E13+'Coordinated Hlth'!E13+'Executive Life'!E13+ELNY!E13+'First Natl (Thrnr)'!E13+'Freelancers CO-OP'!E13+HealthyCT!E13+'Land of Lincoln'!E13+'Lincoln Memorial'!E13+Lumbermens!E13+'Memorial Service'!E13+NNIC!E13+Reliance!E13+'Standard Life IN'!E13+Time!E13+'Universal Health Care'!E13</f>
        <v>102212.87251061159</v>
      </c>
      <c r="F13" s="1">
        <f>+'AF&amp;L'!F13+'Colorado Health'!F13+'Compass (dbs Meritus)'!F13+'Consumers Choice'!F13+CoOportunity!F13+'Coordinated Hlth'!F13+'Executive Life'!F13+ELNY!F13+'First Natl (Thrnr)'!F13+'Freelancers CO-OP'!F13+HealthyCT!F13+'Land of Lincoln'!F13+'Lincoln Memorial'!F13+Lumbermens!F13+'Memorial Service'!F13+NNIC!F13+Reliance!F13+'Standard Life IN'!F13+Time!F13+'Universal Health Care'!F13</f>
        <v>0</v>
      </c>
      <c r="G13" s="1">
        <f t="shared" si="0"/>
        <v>10945137.683150478</v>
      </c>
      <c r="H13" s="1">
        <f>+'AF&amp;L'!G13+'Colorado Health'!G13+'Compass (dbs Meritus)'!G13+'Consumers Choice'!G13+CoOportunity!G13+'Coordinated Hlth'!G13+'Executive Life'!G13+ELNY!G13+'First Natl (Thrnr)'!G13+'Freelancers CO-OP'!G13+HealthyCT!G13+'Land of Lincoln'!G13+'Lincoln Memorial'!G13+Lumbermens!G13+'Memorial Service'!G13+NNIC!G13+Reliance!G13+'Standard Life IN'!G13+Time!G13+'Universal Health Care'!G13+72358</f>
        <v>10945137.683150478</v>
      </c>
      <c r="I13" s="1">
        <f t="shared" si="1"/>
        <v>0</v>
      </c>
      <c r="K13" s="1" t="s">
        <v>280</v>
      </c>
      <c r="L13" s="1">
        <f>Summary!TOTAL_61913</f>
        <v>801859656.73644018</v>
      </c>
    </row>
    <row r="14" spans="1:12">
      <c r="A14" s="1" t="s">
        <v>23</v>
      </c>
      <c r="B14" s="1">
        <f>+'AF&amp;L'!B14+'Colorado Health'!B14+'Compass (dbs Meritus)'!B14+'Consumers Choice'!B14+CoOportunity!B14+'Coordinated Hlth'!B14+'Executive Life'!B14+ELNY!B14+'First Natl (Thrnr)'!B14+'Freelancers CO-OP'!B14+HealthyCT!B14+'Land of Lincoln'!B14+'Lincoln Memorial'!B14+Lumbermens!B14+'Memorial Service'!B14+NNIC!B14+Reliance!B14+'Standard Life IN'!B14+Time!B14+'Universal Health Care'!B14</f>
        <v>10344.050510326761</v>
      </c>
      <c r="C14" s="1">
        <f>+'AF&amp;L'!C14+'Colorado Health'!C14+'Compass (dbs Meritus)'!C14+'Consumers Choice'!C14+CoOportunity!C14+'Coordinated Hlth'!C14+'Executive Life'!C14+ELNY!C14+'First Natl (Thrnr)'!C14+'Freelancers CO-OP'!C14+HealthyCT!C14+'Land of Lincoln'!C14+'Lincoln Memorial'!C14+Lumbermens!C14+'Memorial Service'!C14+NNIC!C14+Reliance!C14+'Standard Life IN'!C14+Time!C14+'Universal Health Care'!C14</f>
        <v>53408.457943357702</v>
      </c>
      <c r="D14" s="1">
        <f>+'AF&amp;L'!D14+'Colorado Health'!D14+'Compass (dbs Meritus)'!D14+'Consumers Choice'!D14+CoOportunity!D14+'Coordinated Hlth'!D14+'Executive Life'!D14+ELNY!D14+'First Natl (Thrnr)'!D14+'Freelancers CO-OP'!D14+HealthyCT!D14+'Land of Lincoln'!D14+'Lincoln Memorial'!D14+Lumbermens!D14+'Memorial Service'!D14+NNIC!D14+Reliance!D14+'Standard Life IN'!D14+Time!D14+'Universal Health Care'!D14</f>
        <v>5109.7300000000005</v>
      </c>
      <c r="E14" s="1">
        <f>+'AF&amp;L'!E14+'Colorado Health'!E14+'Compass (dbs Meritus)'!E14+'Consumers Choice'!E14+CoOportunity!E14+'Coordinated Hlth'!E14+'Executive Life'!E14+ELNY!E14+'First Natl (Thrnr)'!E14+'Freelancers CO-OP'!E14+HealthyCT!E14+'Land of Lincoln'!E14+'Lincoln Memorial'!E14+Lumbermens!E14+'Memorial Service'!E14+NNIC!E14+Reliance!E14+'Standard Life IN'!E14+Time!E14+'Universal Health Care'!E14</f>
        <v>0</v>
      </c>
      <c r="F14" s="1">
        <f>+'AF&amp;L'!F14+'Colorado Health'!F14+'Compass (dbs Meritus)'!F14+'Consumers Choice'!F14+CoOportunity!F14+'Coordinated Hlth'!F14+'Executive Life'!F14+ELNY!F14+'First Natl (Thrnr)'!F14+'Freelancers CO-OP'!F14+HealthyCT!F14+'Land of Lincoln'!F14+'Lincoln Memorial'!F14+Lumbermens!F14+'Memorial Service'!F14+NNIC!F14+Reliance!F14+'Standard Life IN'!F14+Time!F14+'Universal Health Care'!F14</f>
        <v>0</v>
      </c>
      <c r="G14" s="1">
        <f t="shared" si="0"/>
        <v>68862.238453684462</v>
      </c>
      <c r="H14" s="1">
        <f>+'AF&amp;L'!G14+'Colorado Health'!G14+'Compass (dbs Meritus)'!G14+'Consumers Choice'!G14+CoOportunity!G14+'Coordinated Hlth'!G14+'Executive Life'!G14+ELNY!G14+'First Natl (Thrnr)'!G14+'Freelancers CO-OP'!G14+HealthyCT!G14+'Land of Lincoln'!G14+'Lincoln Memorial'!G14+Lumbermens!G14+'Memorial Service'!G14+NNIC!G14+Reliance!G14+'Standard Life IN'!G14+Time!G14+'Universal Health Care'!G14</f>
        <v>68862.238453684462</v>
      </c>
      <c r="I14" s="1">
        <f t="shared" si="1"/>
        <v>0</v>
      </c>
      <c r="K14" s="1" t="s">
        <v>285</v>
      </c>
      <c r="L14" s="1">
        <f>Summary!TOTAL_63525</f>
        <v>4669973.5202963641</v>
      </c>
    </row>
    <row r="15" spans="1:12">
      <c r="A15" s="1" t="s">
        <v>25</v>
      </c>
      <c r="B15" s="1">
        <f>+'AF&amp;L'!B15+'Colorado Health'!B15+'Compass (dbs Meritus)'!B15+'Consumers Choice'!B15+CoOportunity!B15+'Coordinated Hlth'!B15+'Executive Life'!B15+ELNY!B15+'First Natl (Thrnr)'!B15+'Freelancers CO-OP'!B15+HealthyCT!B15+'Land of Lincoln'!B15+'Lincoln Memorial'!B15+Lumbermens!B15+'Memorial Service'!B15+NNIC!B15+Reliance!B15+'Standard Life IN'!B15+Time!B15+'Universal Health Care'!B15</f>
        <v>96056924.562445268</v>
      </c>
      <c r="C15" s="1">
        <f>+'AF&amp;L'!C15+'Colorado Health'!C15+'Compass (dbs Meritus)'!C15+'Consumers Choice'!C15+CoOportunity!C15+'Coordinated Hlth'!C15+'Executive Life'!C15+ELNY!C15+'First Natl (Thrnr)'!C15+'Freelancers CO-OP'!C15+HealthyCT!C15+'Land of Lincoln'!C15+'Lincoln Memorial'!C15+Lumbermens!C15+'Memorial Service'!C15+NNIC!C15+Reliance!C15+'Standard Life IN'!C15+Time!C15+'Universal Health Care'!C15</f>
        <v>104067405.41589034</v>
      </c>
      <c r="D15" s="1">
        <f>+'AF&amp;L'!D15+'Colorado Health'!D15+'Compass (dbs Meritus)'!D15+'Consumers Choice'!D15+CoOportunity!D15+'Coordinated Hlth'!D15+'Executive Life'!D15+ELNY!D15+'First Natl (Thrnr)'!D15+'Freelancers CO-OP'!D15+HealthyCT!D15+'Land of Lincoln'!D15+'Lincoln Memorial'!D15+Lumbermens!D15+'Memorial Service'!D15+NNIC!D15+Reliance!D15+'Standard Life IN'!D15+Time!D15+'Universal Health Care'!D15</f>
        <v>3302924.1580020026</v>
      </c>
      <c r="E15" s="1">
        <f>+'AF&amp;L'!E15+'Colorado Health'!E15+'Compass (dbs Meritus)'!E15+'Consumers Choice'!E15+CoOportunity!E15+'Coordinated Hlth'!E15+'Executive Life'!E15+ELNY!E15+'First Natl (Thrnr)'!E15+'Freelancers CO-OP'!E15+HealthyCT!E15+'Land of Lincoln'!E15+'Lincoln Memorial'!E15+Lumbermens!E15+'Memorial Service'!E15+NNIC!E15+Reliance!E15+'Standard Life IN'!E15+Time!E15+'Universal Health Care'!E15</f>
        <v>0</v>
      </c>
      <c r="F15" s="1">
        <f>+'AF&amp;L'!F15+'Colorado Health'!F15+'Compass (dbs Meritus)'!F15+'Consumers Choice'!F15+CoOportunity!F15+'Coordinated Hlth'!F15+'Executive Life'!F15+ELNY!F15+'First Natl (Thrnr)'!F15+'Freelancers CO-OP'!F15+HealthyCT!F15+'Land of Lincoln'!F15+'Lincoln Memorial'!F15+Lumbermens!F15+'Memorial Service'!F15+NNIC!F15+Reliance!F15+'Standard Life IN'!F15+Time!F15+'Universal Health Care'!F15</f>
        <v>0</v>
      </c>
      <c r="G15" s="1">
        <f t="shared" si="0"/>
        <v>203427254.13633761</v>
      </c>
      <c r="H15" s="1">
        <f>+'AF&amp;L'!G15+'Colorado Health'!G15+'Compass (dbs Meritus)'!G15+'Consumers Choice'!G15+CoOportunity!G15+'Coordinated Hlth'!G15+'Executive Life'!G15+ELNY!G15+'First Natl (Thrnr)'!G15+'Freelancers CO-OP'!G15+HealthyCT!G15+'Land of Lincoln'!G15+'Lincoln Memorial'!G15+Lumbermens!G15+'Memorial Service'!G15+NNIC!G15+Reliance!G15+'Standard Life IN'!G15+Time!G15+'Universal Health Care'!G15</f>
        <v>203427254.13633758</v>
      </c>
      <c r="I15" s="1">
        <f t="shared" si="1"/>
        <v>0</v>
      </c>
      <c r="K15" s="1" t="s">
        <v>291</v>
      </c>
      <c r="L15" s="1">
        <f>Summary!TOTAL_15197</f>
        <v>23625000</v>
      </c>
    </row>
    <row r="16" spans="1:12">
      <c r="A16" s="1" t="s">
        <v>27</v>
      </c>
      <c r="B16" s="1">
        <f>+'AF&amp;L'!B16+'Colorado Health'!B16+'Compass (dbs Meritus)'!B16+'Consumers Choice'!B16+CoOportunity!B16+'Coordinated Hlth'!B16+'Executive Life'!B16+ELNY!B16+'First Natl (Thrnr)'!B16+'Freelancers CO-OP'!B16+HealthyCT!B16+'Land of Lincoln'!B16+'Lincoln Memorial'!B16+Lumbermens!B16+'Memorial Service'!B16+NNIC!B16+Reliance!B16+'Standard Life IN'!B16+Time!B16+'Universal Health Care'!B16</f>
        <v>26447957.829496045</v>
      </c>
      <c r="C16" s="1">
        <f>+'AF&amp;L'!C16+'Colorado Health'!C16+'Compass (dbs Meritus)'!C16+'Consumers Choice'!C16+CoOportunity!C16+'Coordinated Hlth'!C16+'Executive Life'!C16+ELNY!C16+'First Natl (Thrnr)'!C16+'Freelancers CO-OP'!C16+HealthyCT!C16+'Land of Lincoln'!C16+'Lincoln Memorial'!C16+Lumbermens!C16+'Memorial Service'!C16+NNIC!C16+Reliance!C16+'Standard Life IN'!C16+Time!C16+'Universal Health Care'!C16</f>
        <v>28366821.912263244</v>
      </c>
      <c r="D16" s="1">
        <f>+'AF&amp;L'!D16+'Colorado Health'!D16+'Compass (dbs Meritus)'!D16+'Consumers Choice'!D16+CoOportunity!D16+'Coordinated Hlth'!D16+'Executive Life'!D16+ELNY!D16+'First Natl (Thrnr)'!D16+'Freelancers CO-OP'!D16+HealthyCT!D16+'Land of Lincoln'!D16+'Lincoln Memorial'!D16+Lumbermens!D16+'Memorial Service'!D16+NNIC!D16+Reliance!D16+'Standard Life IN'!D16+Time!D16+'Universal Health Care'!D16+59861</f>
        <v>74722.328975090233</v>
      </c>
      <c r="E16" s="1">
        <f>+'AF&amp;L'!E16+'Colorado Health'!E16+'Compass (dbs Meritus)'!E16+'Consumers Choice'!E16+CoOportunity!E16+'Coordinated Hlth'!E16+'Executive Life'!E16+ELNY!E16+'First Natl (Thrnr)'!E16+'Freelancers CO-OP'!E16+HealthyCT!E16+'Land of Lincoln'!E16+'Lincoln Memorial'!E16+Lumbermens!E16+'Memorial Service'!E16+NNIC!E16+Reliance!E16+'Standard Life IN'!E16+Time!E16+'Universal Health Care'!E16</f>
        <v>2293829.2419357314</v>
      </c>
      <c r="F16" s="1">
        <f>+'AF&amp;L'!F16+'Colorado Health'!F16+'Compass (dbs Meritus)'!F16+'Consumers Choice'!F16+CoOportunity!F16+'Coordinated Hlth'!F16+'Executive Life'!F16+ELNY!F16+'First Natl (Thrnr)'!F16+'Freelancers CO-OP'!F16+HealthyCT!F16+'Land of Lincoln'!F16+'Lincoln Memorial'!F16+Lumbermens!F16+'Memorial Service'!F16+NNIC!F16+Reliance!F16+'Standard Life IN'!F16+Time!F16+'Universal Health Care'!F16</f>
        <v>0</v>
      </c>
      <c r="G16" s="1">
        <f t="shared" si="0"/>
        <v>57183331.312670104</v>
      </c>
      <c r="H16" s="1">
        <f>+'AF&amp;L'!G16+'Colorado Health'!G16+'Compass (dbs Meritus)'!G16+'Consumers Choice'!G16+CoOportunity!G16+'Coordinated Hlth'!G16+'Executive Life'!G16+ELNY!G16+'First Natl (Thrnr)'!G16+'Freelancers CO-OP'!G16+HealthyCT!G16+'Land of Lincoln'!G16+'Lincoln Memorial'!G16+Lumbermens!G16+'Memorial Service'!G16+NNIC!G16+Reliance!G16+'Standard Life IN'!G16+Time!G16+'Universal Health Care'!G16+59861</f>
        <v>57183331.312670112</v>
      </c>
      <c r="I16" s="1">
        <f t="shared" si="1"/>
        <v>0</v>
      </c>
      <c r="K16" s="1" t="s">
        <v>124</v>
      </c>
      <c r="L16" s="1">
        <v>192080</v>
      </c>
    </row>
    <row r="17" spans="1:12">
      <c r="A17" s="1" t="s">
        <v>29</v>
      </c>
      <c r="B17" s="1">
        <f>+'AF&amp;L'!B17+'Colorado Health'!B17+'Compass (dbs Meritus)'!B17+'Consumers Choice'!B17+CoOportunity!B17+'Coordinated Hlth'!B17+'Executive Life'!B17+ELNY!B17+'First Natl (Thrnr)'!B17+'Freelancers CO-OP'!B17+HealthyCT!B17+'Land of Lincoln'!B17+'Lincoln Memorial'!B17+Lumbermens!B17+'Memorial Service'!B17+NNIC!B17+Reliance!B17+'Standard Life IN'!B17+Time!B17+'Universal Health Care'!B17</f>
        <v>25824094.592692222</v>
      </c>
      <c r="C17" s="1">
        <f>+'AF&amp;L'!C17+'Colorado Health'!C17+'Compass (dbs Meritus)'!C17+'Consumers Choice'!C17+CoOportunity!C17+'Coordinated Hlth'!C17+'Executive Life'!C17+ELNY!C17+'First Natl (Thrnr)'!C17+'Freelancers CO-OP'!C17+HealthyCT!C17+'Land of Lincoln'!C17+'Lincoln Memorial'!C17+Lumbermens!C17+'Memorial Service'!C17+NNIC!C17+Reliance!C17+'Standard Life IN'!C17+Time!C17+'Universal Health Care'!C17</f>
        <v>17168100.927115399</v>
      </c>
      <c r="D17" s="1">
        <f>+'AF&amp;L'!D17+'Colorado Health'!D17+'Compass (dbs Meritus)'!D17+'Consumers Choice'!D17+CoOportunity!D17+'Coordinated Hlth'!D17+'Executive Life'!D17+ELNY!D17+'First Natl (Thrnr)'!D17+'Freelancers CO-OP'!D17+HealthyCT!D17+'Land of Lincoln'!D17+'Lincoln Memorial'!D17+Lumbermens!D17+'Memorial Service'!D17+NNIC!D17+Reliance!D17+'Standard Life IN'!D17+Time!D17+'Universal Health Care'!D17</f>
        <v>274648.93709917058</v>
      </c>
      <c r="E17" s="1">
        <f>+'AF&amp;L'!E17+'Colorado Health'!E17+'Compass (dbs Meritus)'!E17+'Consumers Choice'!E17+CoOportunity!E17+'Coordinated Hlth'!E17+'Executive Life'!E17+ELNY!E17+'First Natl (Thrnr)'!E17+'Freelancers CO-OP'!E17+HealthyCT!E17+'Land of Lincoln'!E17+'Lincoln Memorial'!E17+Lumbermens!E17+'Memorial Service'!E17+NNIC!E17+Reliance!E17+'Standard Life IN'!E17+Time!E17+'Universal Health Care'!E17</f>
        <v>0</v>
      </c>
      <c r="F17" s="1">
        <f>+'AF&amp;L'!F17+'Colorado Health'!F17+'Compass (dbs Meritus)'!F17+'Consumers Choice'!F17+CoOportunity!F17+'Coordinated Hlth'!F17+'Executive Life'!F17+ELNY!F17+'First Natl (Thrnr)'!F17+'Freelancers CO-OP'!F17+HealthyCT!F17+'Land of Lincoln'!F17+'Lincoln Memorial'!F17+Lumbermens!F17+'Memorial Service'!F17+NNIC!F17+Reliance!F17+'Standard Life IN'!F17+Time!F17+'Universal Health Care'!F17</f>
        <v>0</v>
      </c>
      <c r="G17" s="1">
        <f t="shared" si="0"/>
        <v>43266844.456906796</v>
      </c>
      <c r="H17" s="1">
        <f>+'AF&amp;L'!G17+'Colorado Health'!G17+'Compass (dbs Meritus)'!G17+'Consumers Choice'!G17+CoOportunity!G17+'Coordinated Hlth'!G17+'Executive Life'!G17+ELNY!G17+'First Natl (Thrnr)'!G17+'Freelancers CO-OP'!G17+HealthyCT!G17+'Land of Lincoln'!G17+'Lincoln Memorial'!G17+Lumbermens!G17+'Memorial Service'!G17+NNIC!G17+Reliance!G17+'Standard Life IN'!G17+Time!G17+'Universal Health Care'!G17</f>
        <v>43266844.456906796</v>
      </c>
      <c r="I17" s="1">
        <f t="shared" si="1"/>
        <v>0</v>
      </c>
      <c r="K17" s="1" t="s">
        <v>128</v>
      </c>
      <c r="L17" s="1">
        <f>Summary!TOTAL_15046</f>
        <v>9165</v>
      </c>
    </row>
    <row r="18" spans="1:12">
      <c r="A18" s="1" t="s">
        <v>30</v>
      </c>
      <c r="B18" s="1">
        <f>+'AF&amp;L'!B18+'Colorado Health'!B18+'Compass (dbs Meritus)'!B18+'Consumers Choice'!B18+CoOportunity!B18+'Coordinated Hlth'!B18+'Executive Life'!B18+ELNY!B18+'First Natl (Thrnr)'!B18+'Freelancers CO-OP'!B18+HealthyCT!B18+'Land of Lincoln'!B18+'Lincoln Memorial'!B18+Lumbermens!B18+'Memorial Service'!B18+NNIC!B18+Reliance!B18+'Standard Life IN'!B18+Time!B18+'Universal Health Care'!B18</f>
        <v>7563338.3997377539</v>
      </c>
      <c r="C18" s="1">
        <f>+'AF&amp;L'!C18+'Colorado Health'!C18+'Compass (dbs Meritus)'!C18+'Consumers Choice'!C18+CoOportunity!C18+'Coordinated Hlth'!C18+'Executive Life'!C18+ELNY!C18+'First Natl (Thrnr)'!C18+'Freelancers CO-OP'!C18+HealthyCT!C18+'Land of Lincoln'!C18+'Lincoln Memorial'!C18+Lumbermens!C18+'Memorial Service'!C18+NNIC!C18+Reliance!C18+'Standard Life IN'!C18+Time!C18+'Universal Health Care'!C18</f>
        <v>8353039.7915386446</v>
      </c>
      <c r="D18" s="1">
        <f>+'AF&amp;L'!D18+'Colorado Health'!D18+'Compass (dbs Meritus)'!D18+'Consumers Choice'!D18+CoOportunity!D18+'Coordinated Hlth'!D18+'Executive Life'!D18+ELNY!D18+'First Natl (Thrnr)'!D18+'Freelancers CO-OP'!D18+HealthyCT!D18+'Land of Lincoln'!D18+'Lincoln Memorial'!D18+Lumbermens!D18+'Memorial Service'!D18+NNIC!D18+Reliance!D18+'Standard Life IN'!D18+Time!D18+'Universal Health Care'!D18</f>
        <v>17052.280997788839</v>
      </c>
      <c r="E18" s="1">
        <f>+'AF&amp;L'!E18+'Colorado Health'!E18+'Compass (dbs Meritus)'!E18+'Consumers Choice'!E18+CoOportunity!E18+'Coordinated Hlth'!E18+'Executive Life'!E18+ELNY!E18+'First Natl (Thrnr)'!E18+'Freelancers CO-OP'!E18+HealthyCT!E18+'Land of Lincoln'!E18+'Lincoln Memorial'!E18+Lumbermens!E18+'Memorial Service'!E18+NNIC!E18+Reliance!E18+'Standard Life IN'!E18+Time!E18+'Universal Health Care'!E18</f>
        <v>0</v>
      </c>
      <c r="F18" s="1">
        <f>+'AF&amp;L'!F18+'Colorado Health'!F18+'Compass (dbs Meritus)'!F18+'Consumers Choice'!F18+CoOportunity!F18+'Coordinated Hlth'!F18+'Executive Life'!F18+ELNY!F18+'First Natl (Thrnr)'!F18+'Freelancers CO-OP'!F18+HealthyCT!F18+'Land of Lincoln'!F18+'Lincoln Memorial'!F18+Lumbermens!F18+'Memorial Service'!F18+NNIC!F18+Reliance!F18+'Standard Life IN'!F18+Time!F18+'Universal Health Care'!F18</f>
        <v>0</v>
      </c>
      <c r="G18" s="1">
        <f t="shared" si="0"/>
        <v>15933430.472274186</v>
      </c>
      <c r="H18" s="1">
        <f>+'AF&amp;L'!G18+'Colorado Health'!G18+'Compass (dbs Meritus)'!G18+'Consumers Choice'!G18+CoOportunity!G18+'Coordinated Hlth'!G18+'Executive Life'!G18+ELNY!G18+'First Natl (Thrnr)'!G18+'Freelancers CO-OP'!G18+HealthyCT!G18+'Land of Lincoln'!G18+'Lincoln Memorial'!G18+Lumbermens!G18+'Memorial Service'!G18+NNIC!G18+Reliance!G18+'Standard Life IN'!G18+Time!G18+'Universal Health Care'!G18</f>
        <v>15933430.472274188</v>
      </c>
      <c r="I18" s="1">
        <f t="shared" si="1"/>
        <v>0</v>
      </c>
      <c r="K18" s="1" t="s">
        <v>300</v>
      </c>
      <c r="L18" s="1">
        <f>Summary!TOTAL_15102</f>
        <v>9776890</v>
      </c>
    </row>
    <row r="19" spans="1:12">
      <c r="A19" s="1" t="s">
        <v>32</v>
      </c>
      <c r="B19" s="1">
        <f>+'AF&amp;L'!B19+'Colorado Health'!B19+'Compass (dbs Meritus)'!B19+'Consumers Choice'!B19+CoOportunity!B19+'Coordinated Hlth'!B19+'Executive Life'!B19+ELNY!B19+'First Natl (Thrnr)'!B19+'Freelancers CO-OP'!B19+HealthyCT!B19+'Land of Lincoln'!B19+'Lincoln Memorial'!B19+Lumbermens!B19+'Memorial Service'!B19+NNIC!B19+Reliance!B19+'Standard Life IN'!B19+Time!B19+'Universal Health Care'!B19</f>
        <v>105579815.06925628</v>
      </c>
      <c r="C19" s="1">
        <f>+'AF&amp;L'!C19+'Colorado Health'!C19+'Compass (dbs Meritus)'!C19+'Consumers Choice'!C19+CoOportunity!C19+'Coordinated Hlth'!C19+'Executive Life'!C19+ELNY!C19+'First Natl (Thrnr)'!C19+'Freelancers CO-OP'!C19+HealthyCT!C19+'Land of Lincoln'!C19+'Lincoln Memorial'!C19+Lumbermens!C19+'Memorial Service'!C19+NNIC!C19+Reliance!C19+'Standard Life IN'!C19+Time!C19+'Universal Health Care'!C19</f>
        <v>125240121.92834447</v>
      </c>
      <c r="D19" s="1">
        <f>+'AF&amp;L'!D19+'Colorado Health'!D19+'Compass (dbs Meritus)'!D19+'Consumers Choice'!D19+CoOportunity!D19+'Coordinated Hlth'!D19+'Executive Life'!D19+ELNY!D19+'First Natl (Thrnr)'!D19+'Freelancers CO-OP'!D19+HealthyCT!D19+'Land of Lincoln'!D19+'Lincoln Memorial'!D19+Lumbermens!D19+'Memorial Service'!D19+NNIC!D19+Reliance!D19+'Standard Life IN'!D19+Time!D19+'Universal Health Care'!D19</f>
        <v>10449817.21183018</v>
      </c>
      <c r="E19" s="1">
        <f>+'AF&amp;L'!E19+'Colorado Health'!E19+'Compass (dbs Meritus)'!E19+'Consumers Choice'!E19+CoOportunity!E19+'Coordinated Hlth'!E19+'Executive Life'!E19+ELNY!E19+'First Natl (Thrnr)'!E19+'Freelancers CO-OP'!E19+HealthyCT!E19+'Land of Lincoln'!E19+'Lincoln Memorial'!E19+Lumbermens!E19+'Memorial Service'!E19+NNIC!E19+Reliance!E19+'Standard Life IN'!E19+Time!E19+'Universal Health Care'!E19</f>
        <v>6446366.2656838326</v>
      </c>
      <c r="F19" s="1">
        <f>+'AF&amp;L'!F19+'Colorado Health'!F19+'Compass (dbs Meritus)'!F19+'Consumers Choice'!F19+CoOportunity!F19+'Coordinated Hlth'!F19+'Executive Life'!F19+ELNY!F19+'First Natl (Thrnr)'!F19+'Freelancers CO-OP'!F19+HealthyCT!F19+'Land of Lincoln'!F19+'Lincoln Memorial'!F19+Lumbermens!F19+'Memorial Service'!F19+NNIC!F19+Reliance!F19+'Standard Life IN'!F19+Time!F19+'Universal Health Care'!F19</f>
        <v>0</v>
      </c>
      <c r="G19" s="1">
        <f t="shared" si="0"/>
        <v>247716120.47511473</v>
      </c>
      <c r="H19" s="1">
        <f>+'AF&amp;L'!G19+'Colorado Health'!G19+'Compass (dbs Meritus)'!G19+'Consumers Choice'!G19+CoOportunity!G19+'Coordinated Hlth'!G19+'Executive Life'!G19+ELNY!G19+'First Natl (Thrnr)'!G19+'Freelancers CO-OP'!G19+HealthyCT!G19+'Land of Lincoln'!G19+'Lincoln Memorial'!G19+Lumbermens!G19+'Memorial Service'!G19+NNIC!G19+Reliance!G19+'Standard Life IN'!G19+Time!G19+'Universal Health Care'!G19</f>
        <v>247716120.47511473</v>
      </c>
      <c r="I19" s="1">
        <f t="shared" si="1"/>
        <v>0</v>
      </c>
      <c r="K19" s="1" t="s">
        <v>305</v>
      </c>
      <c r="L19" s="1">
        <f>Summary!TOTAL_69833</f>
        <v>211537849.47554895</v>
      </c>
    </row>
    <row r="20" spans="1:12">
      <c r="A20" s="1" t="s">
        <v>34</v>
      </c>
      <c r="B20" s="1">
        <f>+'AF&amp;L'!B20+'Colorado Health'!B20+'Compass (dbs Meritus)'!B20+'Consumers Choice'!B20+CoOportunity!B20+'Coordinated Hlth'!B20+'Executive Life'!B20+ELNY!B20+'First Natl (Thrnr)'!B20+'Freelancers CO-OP'!B20+HealthyCT!B20+'Land of Lincoln'!B20+'Lincoln Memorial'!B20+Lumbermens!B20+'Memorial Service'!B20+NNIC!B20+Reliance!B20+'Standard Life IN'!B20+Time!B20+'Universal Health Care'!B20</f>
        <v>21957266.388551731</v>
      </c>
      <c r="C20" s="1">
        <f>+'AF&amp;L'!C20+'Colorado Health'!C20+'Compass (dbs Meritus)'!C20+'Consumers Choice'!C20+CoOportunity!C20+'Coordinated Hlth'!C20+'Executive Life'!C20+ELNY!C20+'First Natl (Thrnr)'!C20+'Freelancers CO-OP'!C20+HealthyCT!C20+'Land of Lincoln'!C20+'Lincoln Memorial'!C20+Lumbermens!C20+'Memorial Service'!C20+NNIC!C20+Reliance!C20+'Standard Life IN'!C20+Time!C20+'Universal Health Care'!C20</f>
        <v>28144073.838888694</v>
      </c>
      <c r="D20" s="1">
        <f>+'AF&amp;L'!D20+'Colorado Health'!D20+'Compass (dbs Meritus)'!D20+'Consumers Choice'!D20+CoOportunity!D20+'Coordinated Hlth'!D20+'Executive Life'!D20+ELNY!D20+'First Natl (Thrnr)'!D20+'Freelancers CO-OP'!D20+HealthyCT!D20+'Land of Lincoln'!D20+'Lincoln Memorial'!D20+Lumbermens!D20+'Memorial Service'!D20+NNIC!D20+Reliance!D20+'Standard Life IN'!D20+Time!D20+'Universal Health Care'!D20</f>
        <v>51958.697596953396</v>
      </c>
      <c r="E20" s="1">
        <f>+'AF&amp;L'!E20+'Colorado Health'!E20+'Compass (dbs Meritus)'!E20+'Consumers Choice'!E20+CoOportunity!E20+'Coordinated Hlth'!E20+'Executive Life'!E20+ELNY!E20+'First Natl (Thrnr)'!E20+'Freelancers CO-OP'!E20+HealthyCT!E20+'Land of Lincoln'!E20+'Lincoln Memorial'!E20+Lumbermens!E20+'Memorial Service'!E20+NNIC!E20+Reliance!E20+'Standard Life IN'!E20+Time!E20+'Universal Health Care'!E20</f>
        <v>13219.255994450115</v>
      </c>
      <c r="F20" s="1">
        <f>+'AF&amp;L'!F20+'Colorado Health'!F20+'Compass (dbs Meritus)'!F20+'Consumers Choice'!F20+CoOportunity!F20+'Coordinated Hlth'!F20+'Executive Life'!F20+ELNY!F20+'First Natl (Thrnr)'!F20+'Freelancers CO-OP'!F20+HealthyCT!F20+'Land of Lincoln'!F20+'Lincoln Memorial'!F20+Lumbermens!F20+'Memorial Service'!F20+NNIC!F20+Reliance!F20+'Standard Life IN'!F20+Time!F20+'Universal Health Care'!F20</f>
        <v>0</v>
      </c>
      <c r="G20" s="1">
        <f t="shared" si="0"/>
        <v>50166518.181031823</v>
      </c>
      <c r="H20" s="1">
        <f>+'AF&amp;L'!G20+'Colorado Health'!G20+'Compass (dbs Meritus)'!G20+'Consumers Choice'!G20+CoOportunity!G20+'Coordinated Hlth'!G20+'Executive Life'!G20+ELNY!G20+'First Natl (Thrnr)'!G20+'Freelancers CO-OP'!G20+HealthyCT!G20+'Land of Lincoln'!G20+'Lincoln Memorial'!G20+Lumbermens!G20+'Memorial Service'!G20+NNIC!G20+Reliance!G20+'Standard Life IN'!G20+Time!G20+'Universal Health Care'!G20</f>
        <v>50166518.181031831</v>
      </c>
      <c r="I20" s="1">
        <f t="shared" si="1"/>
        <v>0</v>
      </c>
      <c r="K20" s="1" t="s">
        <v>310</v>
      </c>
      <c r="L20" s="1">
        <f>Summary!TOTAL_22977</f>
        <v>13519844.831880532</v>
      </c>
    </row>
    <row r="21" spans="1:12">
      <c r="A21" s="1" t="s">
        <v>36</v>
      </c>
      <c r="B21" s="1">
        <f>+'AF&amp;L'!B21+'Colorado Health'!B21+'Compass (dbs Meritus)'!B21+'Consumers Choice'!B21+CoOportunity!B21+'Coordinated Hlth'!B21+'Executive Life'!B21+ELNY!B21+'First Natl (Thrnr)'!B21+'Freelancers CO-OP'!B21+HealthyCT!B21+'Land of Lincoln'!B21+'Lincoln Memorial'!B21+Lumbermens!B21+'Memorial Service'!B21+NNIC!B21+Reliance!B21+'Standard Life IN'!B21+Time!B21+'Universal Health Care'!B21</f>
        <v>26421517.385835502</v>
      </c>
      <c r="C21" s="1">
        <f>+'AF&amp;L'!C21+'Colorado Health'!C21+'Compass (dbs Meritus)'!C21+'Consumers Choice'!C21+CoOportunity!C21+'Coordinated Hlth'!C21+'Executive Life'!C21+ELNY!C21+'First Natl (Thrnr)'!C21+'Freelancers CO-OP'!C21+HealthyCT!C21+'Land of Lincoln'!C21+'Lincoln Memorial'!C21+Lumbermens!C21+'Memorial Service'!C21+NNIC!C21+Reliance!C21+'Standard Life IN'!C21+Time!C21+'Universal Health Care'!C21</f>
        <v>24831076.292676769</v>
      </c>
      <c r="D21" s="1">
        <f>+'AF&amp;L'!D21+'Colorado Health'!D21+'Compass (dbs Meritus)'!D21+'Consumers Choice'!D21+CoOportunity!D21+'Coordinated Hlth'!D21+'Executive Life'!D21+ELNY!D21+'First Natl (Thrnr)'!D21+'Freelancers CO-OP'!D21+HealthyCT!D21+'Land of Lincoln'!D21+'Lincoln Memorial'!D21+Lumbermens!D21+'Memorial Service'!D21+NNIC!D21+Reliance!D21+'Standard Life IN'!D21+Time!D21+'Universal Health Care'!D21</f>
        <v>10051595.634793466</v>
      </c>
      <c r="E21" s="1">
        <f>+'AF&amp;L'!E21+'Colorado Health'!E21+'Compass (dbs Meritus)'!E21+'Consumers Choice'!E21+CoOportunity!E21+'Coordinated Hlth'!E21+'Executive Life'!E21+ELNY!E21+'First Natl (Thrnr)'!E21+'Freelancers CO-OP'!E21+HealthyCT!E21+'Land of Lincoln'!E21+'Lincoln Memorial'!E21+Lumbermens!E21+'Memorial Service'!E21+NNIC!E21+Reliance!E21+'Standard Life IN'!E21+Time!E21+'Universal Health Care'!E21</f>
        <v>40313.78210864358</v>
      </c>
      <c r="F21" s="1">
        <f>+'AF&amp;L'!F21+'Colorado Health'!F21+'Compass (dbs Meritus)'!F21+'Consumers Choice'!F21+CoOportunity!F21+'Coordinated Hlth'!F21+'Executive Life'!F21+ELNY!F21+'First Natl (Thrnr)'!F21+'Freelancers CO-OP'!F21+HealthyCT!F21+'Land of Lincoln'!F21+'Lincoln Memorial'!F21+Lumbermens!F21+'Memorial Service'!F21+NNIC!F21+Reliance!F21+'Standard Life IN'!F21+Time!F21+'Universal Health Care'!F21</f>
        <v>0</v>
      </c>
      <c r="G21" s="1">
        <f t="shared" si="0"/>
        <v>61344503.095414385</v>
      </c>
      <c r="H21" s="1">
        <f>+'AF&amp;L'!G21+'Colorado Health'!G21+'Compass (dbs Meritus)'!G21+'Consumers Choice'!G21+CoOportunity!G21+'Coordinated Hlth'!G21+'Executive Life'!G21+ELNY!G21+'First Natl (Thrnr)'!G21+'Freelancers CO-OP'!G21+HealthyCT!G21+'Land of Lincoln'!G21+'Lincoln Memorial'!G21+Lumbermens!G21+'Memorial Service'!G21+NNIC!G21+Reliance!G21+'Standard Life IN'!G21+Time!G21+'Universal Health Care'!G21</f>
        <v>61344503.095414385</v>
      </c>
      <c r="I21" s="1">
        <f t="shared" si="1"/>
        <v>0</v>
      </c>
      <c r="K21" s="1" t="s">
        <v>315</v>
      </c>
      <c r="L21" s="1">
        <f>Summary!TOTAL_74926</f>
        <v>67539286.65409556</v>
      </c>
    </row>
    <row r="22" spans="1:12">
      <c r="A22" s="1" t="s">
        <v>38</v>
      </c>
      <c r="B22" s="1">
        <f>+'AF&amp;L'!B22+'Colorado Health'!B22+'Compass (dbs Meritus)'!B22+'Consumers Choice'!B22+CoOportunity!B22+'Coordinated Hlth'!B22+'Executive Life'!B22+ELNY!B22+'First Natl (Thrnr)'!B22+'Freelancers CO-OP'!B22+HealthyCT!B22+'Land of Lincoln'!B22+'Lincoln Memorial'!B22+Lumbermens!B22+'Memorial Service'!B22+NNIC!B22+Reliance!B22+'Standard Life IN'!B22+Time!B22+'Universal Health Care'!B22</f>
        <v>36687945.121819012</v>
      </c>
      <c r="C22" s="1">
        <f>+'AF&amp;L'!C22+'Colorado Health'!C22+'Compass (dbs Meritus)'!C22+'Consumers Choice'!C22+CoOportunity!C22+'Coordinated Hlth'!C22+'Executive Life'!C22+ELNY!C22+'First Natl (Thrnr)'!C22+'Freelancers CO-OP'!C22+HealthyCT!C22+'Land of Lincoln'!C22+'Lincoln Memorial'!C22+Lumbermens!C22+'Memorial Service'!C22+NNIC!C22+Reliance!C22+'Standard Life IN'!C22+Time!C22+'Universal Health Care'!C22</f>
        <v>10517810.339827554</v>
      </c>
      <c r="D22" s="1">
        <f>+'AF&amp;L'!D22+'Colorado Health'!D22+'Compass (dbs Meritus)'!D22+'Consumers Choice'!D22+CoOportunity!D22+'Coordinated Hlth'!D22+'Executive Life'!D22+ELNY!D22+'First Natl (Thrnr)'!D22+'Freelancers CO-OP'!D22+HealthyCT!D22+'Land of Lincoln'!D22+'Lincoln Memorial'!D22+Lumbermens!D22+'Memorial Service'!D22+NNIC!D22+Reliance!D22+'Standard Life IN'!D22+Time!D22+'Universal Health Care'!D22</f>
        <v>63715.874944187693</v>
      </c>
      <c r="E22" s="1">
        <f>+'AF&amp;L'!E22+'Colorado Health'!E22+'Compass (dbs Meritus)'!E22+'Consumers Choice'!E22+CoOportunity!E22+'Coordinated Hlth'!E22+'Executive Life'!E22+ELNY!E22+'First Natl (Thrnr)'!E22+'Freelancers CO-OP'!E22+HealthyCT!E22+'Land of Lincoln'!E22+'Lincoln Memorial'!E22+Lumbermens!E22+'Memorial Service'!E22+NNIC!E22+Reliance!E22+'Standard Life IN'!E22+Time!E22+'Universal Health Care'!E22</f>
        <v>0</v>
      </c>
      <c r="F22" s="1">
        <f>+'AF&amp;L'!F22+'Colorado Health'!F22+'Compass (dbs Meritus)'!F22+'Consumers Choice'!F22+CoOportunity!F22+'Coordinated Hlth'!F22+'Executive Life'!F22+ELNY!F22+'First Natl (Thrnr)'!F22+'Freelancers CO-OP'!F22+HealthyCT!F22+'Land of Lincoln'!F22+'Lincoln Memorial'!F22+Lumbermens!F22+'Memorial Service'!F22+NNIC!F22+Reliance!F22+'Standard Life IN'!F22+Time!F22+'Universal Health Care'!F22</f>
        <v>0</v>
      </c>
      <c r="G22" s="1">
        <f t="shared" si="0"/>
        <v>47269471.336590752</v>
      </c>
      <c r="H22" s="1">
        <f>+'AF&amp;L'!G22+'Colorado Health'!G22+'Compass (dbs Meritus)'!G22+'Consumers Choice'!G22+CoOportunity!G22+'Coordinated Hlth'!G22+'Executive Life'!G22+ELNY!G22+'First Natl (Thrnr)'!G22+'Freelancers CO-OP'!G22+HealthyCT!G22+'Land of Lincoln'!G22+'Lincoln Memorial'!G22+Lumbermens!G22+'Memorial Service'!G22+NNIC!G22+Reliance!G22+'Standard Life IN'!G22+Time!G22+'Universal Health Care'!G22</f>
        <v>47269471.336590752</v>
      </c>
      <c r="I22" s="1">
        <f t="shared" si="1"/>
        <v>0</v>
      </c>
      <c r="K22" s="1" t="s">
        <v>318</v>
      </c>
      <c r="L22" s="1">
        <f>Summary!TOTAL_23914</f>
        <v>5850842.055905154</v>
      </c>
    </row>
    <row r="23" spans="1:12">
      <c r="A23" s="1" t="s">
        <v>40</v>
      </c>
      <c r="B23" s="1">
        <f>+'AF&amp;L'!B23+'Colorado Health'!B23+'Compass (dbs Meritus)'!B23+'Consumers Choice'!B23+CoOportunity!B23+'Coordinated Hlth'!B23+'Executive Life'!B23+ELNY!B23+'First Natl (Thrnr)'!B23+'Freelancers CO-OP'!B23+HealthyCT!B23+'Land of Lincoln'!B23+'Lincoln Memorial'!B23+Lumbermens!B23+'Memorial Service'!B23+NNIC!B23+Reliance!B23+'Standard Life IN'!B23+Time!B23+'Universal Health Care'!B23</f>
        <v>19243086.426797938</v>
      </c>
      <c r="C23" s="1">
        <f>+'AF&amp;L'!C23+'Colorado Health'!C23+'Compass (dbs Meritus)'!C23+'Consumers Choice'!C23+CoOportunity!C23+'Coordinated Hlth'!C23+'Executive Life'!C23+ELNY!C23+'First Natl (Thrnr)'!C23+'Freelancers CO-OP'!C23+HealthyCT!C23+'Land of Lincoln'!C23+'Lincoln Memorial'!C23+Lumbermens!C23+'Memorial Service'!C23+NNIC!C23+Reliance!C23+'Standard Life IN'!C23+Time!C23+'Universal Health Care'!C23</f>
        <v>23227327.427037053</v>
      </c>
      <c r="D23" s="1">
        <f>+'AF&amp;L'!D23+'Colorado Health'!D23+'Compass (dbs Meritus)'!D23+'Consumers Choice'!D23+CoOportunity!D23+'Coordinated Hlth'!D23+'Executive Life'!D23+ELNY!D23+'First Natl (Thrnr)'!D23+'Freelancers CO-OP'!D23+HealthyCT!D23+'Land of Lincoln'!D23+'Lincoln Memorial'!D23+Lumbermens!D23+'Memorial Service'!D23+NNIC!D23+Reliance!D23+'Standard Life IN'!D23+Time!D23+'Universal Health Care'!D23</f>
        <v>156791.12940033013</v>
      </c>
      <c r="E23" s="1">
        <f>+'AF&amp;L'!E23+'Colorado Health'!E23+'Compass (dbs Meritus)'!E23+'Consumers Choice'!E23+CoOportunity!E23+'Coordinated Hlth'!E23+'Executive Life'!E23+ELNY!E23+'First Natl (Thrnr)'!E23+'Freelancers CO-OP'!E23+HealthyCT!E23+'Land of Lincoln'!E23+'Lincoln Memorial'!E23+Lumbermens!E23+'Memorial Service'!E23+NNIC!E23+Reliance!E23+'Standard Life IN'!E23+Time!E23+'Universal Health Care'!E23</f>
        <v>0</v>
      </c>
      <c r="F23" s="1">
        <f>+'AF&amp;L'!F23+'Colorado Health'!F23+'Compass (dbs Meritus)'!F23+'Consumers Choice'!F23+CoOportunity!F23+'Coordinated Hlth'!F23+'Executive Life'!F23+ELNY!F23+'First Natl (Thrnr)'!F23+'Freelancers CO-OP'!F23+HealthyCT!F23+'Land of Lincoln'!F23+'Lincoln Memorial'!F23+Lumbermens!F23+'Memorial Service'!F23+NNIC!F23+Reliance!F23+'Standard Life IN'!F23+Time!F23+'Universal Health Care'!F23</f>
        <v>0</v>
      </c>
      <c r="G23" s="1">
        <f t="shared" si="0"/>
        <v>42627204.983235314</v>
      </c>
      <c r="H23" s="1">
        <f>+'AF&amp;L'!G23+'Colorado Health'!G23+'Compass (dbs Meritus)'!G23+'Consumers Choice'!G23+CoOportunity!G23+'Coordinated Hlth'!G23+'Executive Life'!G23+ELNY!G23+'First Natl (Thrnr)'!G23+'Freelancers CO-OP'!G23+HealthyCT!G23+'Land of Lincoln'!G23+'Lincoln Memorial'!G23+Lumbermens!G23+'Memorial Service'!G23+NNIC!G23+Reliance!G23+'Standard Life IN'!G23+Time!G23+'Universal Health Care'!G23</f>
        <v>42627204.983235314</v>
      </c>
      <c r="I23" s="1">
        <f t="shared" si="1"/>
        <v>0</v>
      </c>
      <c r="K23" s="1" t="s">
        <v>324</v>
      </c>
      <c r="L23" s="1">
        <f>Summary!TOTAL_24457</f>
        <v>512896.03600000095</v>
      </c>
    </row>
    <row r="24" spans="1:12">
      <c r="A24" s="1" t="s">
        <v>42</v>
      </c>
      <c r="B24" s="1">
        <f>+'AF&amp;L'!B24+'Colorado Health'!B24+'Compass (dbs Meritus)'!B24+'Consumers Choice'!B24+CoOportunity!B24+'Coordinated Hlth'!B24+'Executive Life'!B24+ELNY!B24+'First Natl (Thrnr)'!B24+'Freelancers CO-OP'!B24+HealthyCT!B24+'Land of Lincoln'!B24+'Lincoln Memorial'!B24+Lumbermens!B24+'Memorial Service'!B24+NNIC!B24+Reliance!B24+'Standard Life IN'!B24+Time!B24+'Universal Health Care'!B24</f>
        <v>1387584.3133941393</v>
      </c>
      <c r="C24" s="1">
        <f>+'AF&amp;L'!C24+'Colorado Health'!C24+'Compass (dbs Meritus)'!C24+'Consumers Choice'!C24+CoOportunity!C24+'Coordinated Hlth'!C24+'Executive Life'!C24+ELNY!C24+'First Natl (Thrnr)'!C24+'Freelancers CO-OP'!C24+HealthyCT!C24+'Land of Lincoln'!C24+'Lincoln Memorial'!C24+Lumbermens!C24+'Memorial Service'!C24+NNIC!C24+Reliance!C24+'Standard Life IN'!C24+Time!C24+'Universal Health Care'!C24</f>
        <v>102122.18105800184</v>
      </c>
      <c r="D24" s="1">
        <f>+'AF&amp;L'!D24+'Colorado Health'!D24+'Compass (dbs Meritus)'!D24+'Consumers Choice'!D24+CoOportunity!D24+'Coordinated Hlth'!D24+'Executive Life'!D24+ELNY!D24+'First Natl (Thrnr)'!D24+'Freelancers CO-OP'!D24+HealthyCT!D24+'Land of Lincoln'!D24+'Lincoln Memorial'!D24+Lumbermens!D24+'Memorial Service'!D24+NNIC!D24+Reliance!D24+'Standard Life IN'!D24+Time!D24+'Universal Health Care'!D24</f>
        <v>-108173.91589251622</v>
      </c>
      <c r="E24" s="1">
        <f>+'AF&amp;L'!E24+'Colorado Health'!E24+'Compass (dbs Meritus)'!E24+'Consumers Choice'!E24+CoOportunity!E24+'Coordinated Hlth'!E24+'Executive Life'!E24+ELNY!E24+'First Natl (Thrnr)'!E24+'Freelancers CO-OP'!E24+HealthyCT!E24+'Land of Lincoln'!E24+'Lincoln Memorial'!E24+Lumbermens!E24+'Memorial Service'!E24+NNIC!E24+Reliance!E24+'Standard Life IN'!E24+Time!E24+'Universal Health Care'!E24</f>
        <v>0</v>
      </c>
      <c r="F24" s="1">
        <f>+'AF&amp;L'!F24+'Colorado Health'!F24+'Compass (dbs Meritus)'!F24+'Consumers Choice'!F24+CoOportunity!F24+'Coordinated Hlth'!F24+'Executive Life'!F24+ELNY!F24+'First Natl (Thrnr)'!F24+'Freelancers CO-OP'!F24+HealthyCT!F24+'Land of Lincoln'!F24+'Lincoln Memorial'!F24+Lumbermens!F24+'Memorial Service'!F24+NNIC!F24+Reliance!F24+'Standard Life IN'!F24+Time!F24+'Universal Health Care'!F24</f>
        <v>0</v>
      </c>
      <c r="G24" s="1">
        <f t="shared" si="0"/>
        <v>1381532.578559625</v>
      </c>
      <c r="H24" s="1">
        <f>+'AF&amp;L'!G24+'Colorado Health'!G24+'Compass (dbs Meritus)'!G24+'Consumers Choice'!G24+CoOportunity!G24+'Coordinated Hlth'!G24+'Executive Life'!G24+ELNY!G24+'First Natl (Thrnr)'!G24+'Freelancers CO-OP'!G24+HealthyCT!G24+'Land of Lincoln'!G24+'Lincoln Memorial'!G24+Lumbermens!G24+'Memorial Service'!G24+NNIC!G24+Reliance!G24+'Standard Life IN'!G24+Time!G24+'Universal Health Care'!G24</f>
        <v>1381532.578559625</v>
      </c>
      <c r="I24" s="1">
        <f t="shared" si="1"/>
        <v>0</v>
      </c>
      <c r="K24" s="1" t="s">
        <v>330</v>
      </c>
      <c r="L24" s="1">
        <f>Summary!TOTAL_69051</f>
        <v>3028888.897625369</v>
      </c>
    </row>
    <row r="25" spans="1:12">
      <c r="A25" s="1" t="s">
        <v>44</v>
      </c>
      <c r="B25" s="1">
        <f>+'AF&amp;L'!B25+'Colorado Health'!B25+'Compass (dbs Meritus)'!B25+'Consumers Choice'!B25+CoOportunity!B25+'Coordinated Hlth'!B25+'Executive Life'!B25+ELNY!B25+'First Natl (Thrnr)'!B25+'Freelancers CO-OP'!B25+HealthyCT!B25+'Land of Lincoln'!B25+'Lincoln Memorial'!B25+Lumbermens!B25+'Memorial Service'!B25+NNIC!B25+Reliance!B25+'Standard Life IN'!B25+Time!B25+'Universal Health Care'!B25</f>
        <v>11833.503287205487</v>
      </c>
      <c r="C25" s="1">
        <f>+'AF&amp;L'!C25+'Colorado Health'!C25+'Compass (dbs Meritus)'!C25+'Consumers Choice'!C25+CoOportunity!C25+'Coordinated Hlth'!C25+'Executive Life'!C25+ELNY!C25+'First Natl (Thrnr)'!C25+'Freelancers CO-OP'!C25+HealthyCT!C25+'Land of Lincoln'!C25+'Lincoln Memorial'!C25+Lumbermens!C25+'Memorial Service'!C25+NNIC!C25+Reliance!C25+'Standard Life IN'!C25+Time!C25+'Universal Health Care'!C25</f>
        <v>1347394.8288805129</v>
      </c>
      <c r="D25" s="1">
        <f>+'AF&amp;L'!D25+'Colorado Health'!D25+'Compass (dbs Meritus)'!D25+'Consumers Choice'!D25+CoOportunity!D25+'Coordinated Hlth'!D25+'Executive Life'!D25+ELNY!D25+'First Natl (Thrnr)'!D25+'Freelancers CO-OP'!D25+HealthyCT!D25+'Land of Lincoln'!D25+'Lincoln Memorial'!D25+Lumbermens!D25+'Memorial Service'!D25+NNIC!D25+Reliance!D25+'Standard Life IN'!D25+Time!D25+'Universal Health Care'!D25</f>
        <v>239497.18447060423</v>
      </c>
      <c r="E25" s="1">
        <f>+'AF&amp;L'!E25+'Colorado Health'!E25+'Compass (dbs Meritus)'!E25+'Consumers Choice'!E25+CoOportunity!E25+'Coordinated Hlth'!E25+'Executive Life'!E25+ELNY!E25+'First Natl (Thrnr)'!E25+'Freelancers CO-OP'!E25+HealthyCT!E25+'Land of Lincoln'!E25+'Lincoln Memorial'!E25+Lumbermens!E25+'Memorial Service'!E25+NNIC!E25+Reliance!E25+'Standard Life IN'!E25+Time!E25+'Universal Health Care'!E25</f>
        <v>0</v>
      </c>
      <c r="F25" s="1">
        <f>+'AF&amp;L'!F25+'Colorado Health'!F25+'Compass (dbs Meritus)'!F25+'Consumers Choice'!F25+CoOportunity!F25+'Coordinated Hlth'!F25+'Executive Life'!F25+ELNY!F25+'First Natl (Thrnr)'!F25+'Freelancers CO-OP'!F25+HealthyCT!F25+'Land of Lincoln'!F25+'Lincoln Memorial'!F25+Lumbermens!F25+'Memorial Service'!F25+NNIC!F25+Reliance!F25+'Standard Life IN'!F25+Time!F25+'Universal Health Care'!F25</f>
        <v>0</v>
      </c>
      <c r="G25" s="1">
        <f t="shared" si="0"/>
        <v>1598725.5166383225</v>
      </c>
      <c r="H25" s="1">
        <f>+'AF&amp;L'!G25+'Colorado Health'!G25+'Compass (dbs Meritus)'!G25+'Consumers Choice'!G25+CoOportunity!G25+'Coordinated Hlth'!G25+'Executive Life'!G25+ELNY!G25+'First Natl (Thrnr)'!G25+'Freelancers CO-OP'!G25+HealthyCT!G25+'Land of Lincoln'!G25+'Lincoln Memorial'!G25+Lumbermens!G25+'Memorial Service'!G25+NNIC!G25+Reliance!G25+'Standard Life IN'!G25+Time!G25+'Universal Health Care'!G25</f>
        <v>1598725.5166383225</v>
      </c>
      <c r="I25" s="1">
        <f t="shared" si="1"/>
        <v>0</v>
      </c>
      <c r="K25" s="1" t="s">
        <v>336</v>
      </c>
      <c r="L25" s="1">
        <f>Summary!TOTAL_69477</f>
        <v>1163413.6331540332</v>
      </c>
    </row>
    <row r="26" spans="1:12">
      <c r="A26" s="1" t="s">
        <v>45</v>
      </c>
      <c r="B26" s="1">
        <f>+'AF&amp;L'!B26+'Colorado Health'!B26+'Compass (dbs Meritus)'!B26+'Consumers Choice'!B26+CoOportunity!B26+'Coordinated Hlth'!B26+'Executive Life'!B26+ELNY!B26+'First Natl (Thrnr)'!B26+'Freelancers CO-OP'!B26+HealthyCT!B26+'Land of Lincoln'!B26+'Lincoln Memorial'!B26+Lumbermens!B26+'Memorial Service'!B26+NNIC!B26+Reliance!B26+'Standard Life IN'!B26+Time!B26+'Universal Health Care'!B26</f>
        <v>17952491.374940041</v>
      </c>
      <c r="C26" s="1">
        <f>+'AF&amp;L'!C26+'Colorado Health'!C26+'Compass (dbs Meritus)'!C26+'Consumers Choice'!C26+CoOportunity!C26+'Coordinated Hlth'!C26+'Executive Life'!C26+ELNY!C26+'First Natl (Thrnr)'!C26+'Freelancers CO-OP'!C26+HealthyCT!C26+'Land of Lincoln'!C26+'Lincoln Memorial'!C26+Lumbermens!C26+'Memorial Service'!C26+NNIC!C26+Reliance!C26+'Standard Life IN'!C26+Time!C26+'Universal Health Care'!C26</f>
        <v>26101626.601922218</v>
      </c>
      <c r="D26" s="1">
        <f>+'AF&amp;L'!D26+'Colorado Health'!D26+'Compass (dbs Meritus)'!D26+'Consumers Choice'!D26+CoOportunity!D26+'Coordinated Hlth'!D26+'Executive Life'!D26+ELNY!D26+'First Natl (Thrnr)'!D26+'Freelancers CO-OP'!D26+HealthyCT!D26+'Land of Lincoln'!D26+'Lincoln Memorial'!D26+Lumbermens!D26+'Memorial Service'!D26+NNIC!D26+Reliance!D26+'Standard Life IN'!D26+Time!D26+'Universal Health Care'!D26</f>
        <v>1020143.5878005925</v>
      </c>
      <c r="E26" s="1">
        <f>+'AF&amp;L'!E26+'Colorado Health'!E26+'Compass (dbs Meritus)'!E26+'Consumers Choice'!E26+CoOportunity!E26+'Coordinated Hlth'!E26+'Executive Life'!E26+ELNY!E26+'First Natl (Thrnr)'!E26+'Freelancers CO-OP'!E26+HealthyCT!E26+'Land of Lincoln'!E26+'Lincoln Memorial'!E26+Lumbermens!E26+'Memorial Service'!E26+NNIC!E26+Reliance!E26+'Standard Life IN'!E26+Time!E26+'Universal Health Care'!E26</f>
        <v>5664643.8407790139</v>
      </c>
      <c r="F26" s="1">
        <f>+'AF&amp;L'!F26+'Colorado Health'!F26+'Compass (dbs Meritus)'!F26+'Consumers Choice'!F26+CoOportunity!F26+'Coordinated Hlth'!F26+'Executive Life'!F26+ELNY!F26+'First Natl (Thrnr)'!F26+'Freelancers CO-OP'!F26+HealthyCT!F26+'Land of Lincoln'!F26+'Lincoln Memorial'!F26+Lumbermens!F26+'Memorial Service'!F26+NNIC!F26+Reliance!F26+'Standard Life IN'!F26+Time!F26+'Universal Health Care'!F26</f>
        <v>0</v>
      </c>
      <c r="G26" s="1">
        <f t="shared" si="0"/>
        <v>50738905.405441865</v>
      </c>
      <c r="H26" s="1">
        <f>+'AF&amp;L'!G26+'Colorado Health'!G26+'Compass (dbs Meritus)'!G26+'Consumers Choice'!G26+CoOportunity!G26+'Coordinated Hlth'!G26+'Executive Life'!G26+ELNY!G26+'First Natl (Thrnr)'!G26+'Freelancers CO-OP'!G26+HealthyCT!G26+'Land of Lincoln'!G26+'Lincoln Memorial'!G26+Lumbermens!G26+'Memorial Service'!G26+NNIC!G26+Reliance!G26+'Standard Life IN'!G26+Time!G26+'Universal Health Care'!G26</f>
        <v>50738905.405441858</v>
      </c>
      <c r="I26" s="1">
        <f t="shared" si="1"/>
        <v>0</v>
      </c>
      <c r="K26" s="1" t="s">
        <v>341</v>
      </c>
      <c r="L26" s="1">
        <f>Summary!TOTAL_12577</f>
        <v>-1157050.7913558462</v>
      </c>
    </row>
    <row r="27" spans="1:12">
      <c r="A27" s="1" t="s">
        <v>47</v>
      </c>
      <c r="B27" s="1">
        <f>+'AF&amp;L'!B27+'Colorado Health'!B27+'Compass (dbs Meritus)'!B27+'Consumers Choice'!B27+CoOportunity!B27+'Coordinated Hlth'!B27+'Executive Life'!B27+ELNY!B27+'First Natl (Thrnr)'!B27+'Freelancers CO-OP'!B27+HealthyCT!B27+'Land of Lincoln'!B27+'Lincoln Memorial'!B27+Lumbermens!B27+'Memorial Service'!B27+NNIC!B27+Reliance!B27+'Standard Life IN'!B27+Time!B27+'Universal Health Care'!B27</f>
        <v>40500942.443791538</v>
      </c>
      <c r="C27" s="1">
        <f>+'AF&amp;L'!C27+'Colorado Health'!C27+'Compass (dbs Meritus)'!C27+'Consumers Choice'!C27+CoOportunity!C27+'Coordinated Hlth'!C27+'Executive Life'!C27+ELNY!C27+'First Natl (Thrnr)'!C27+'Freelancers CO-OP'!C27+HealthyCT!C27+'Land of Lincoln'!C27+'Lincoln Memorial'!C27+Lumbermens!C27+'Memorial Service'!C27+NNIC!C27+Reliance!C27+'Standard Life IN'!C27+Time!C27+'Universal Health Care'!C27</f>
        <v>41708941.547361344</v>
      </c>
      <c r="D27" s="1">
        <f>+'AF&amp;L'!D27+'Colorado Health'!D27+'Compass (dbs Meritus)'!D27+'Consumers Choice'!D27+CoOportunity!D27+'Coordinated Hlth'!D27+'Executive Life'!D27+ELNY!D27+'First Natl (Thrnr)'!D27+'Freelancers CO-OP'!D27+HealthyCT!D27+'Land of Lincoln'!D27+'Lincoln Memorial'!D27+Lumbermens!D27+'Memorial Service'!D27+NNIC!D27+Reliance!D27+'Standard Life IN'!D27+Time!D27+'Universal Health Care'!D27</f>
        <v>1023949.34374201</v>
      </c>
      <c r="E27" s="1">
        <f>+'AF&amp;L'!E27+'Colorado Health'!E27+'Compass (dbs Meritus)'!E27+'Consumers Choice'!E27+CoOportunity!E27+'Coordinated Hlth'!E27+'Executive Life'!E27+ELNY!E27+'First Natl (Thrnr)'!E27+'Freelancers CO-OP'!E27+HealthyCT!E27+'Land of Lincoln'!E27+'Lincoln Memorial'!E27+Lumbermens!E27+'Memorial Service'!E27+NNIC!E27+Reliance!E27+'Standard Life IN'!E27+Time!E27+'Universal Health Care'!E27</f>
        <v>0</v>
      </c>
      <c r="F27" s="1">
        <f>+'AF&amp;L'!F27+'Colorado Health'!F27+'Compass (dbs Meritus)'!F27+'Consumers Choice'!F27+CoOportunity!F27+'Coordinated Hlth'!F27+'Executive Life'!F27+ELNY!F27+'First Natl (Thrnr)'!F27+'Freelancers CO-OP'!F27+HealthyCT!F27+'Land of Lincoln'!F27+'Lincoln Memorial'!F27+Lumbermens!F27+'Memorial Service'!F27+NNIC!F27+Reliance!F27+'Standard Life IN'!F27+Time!F27+'Universal Health Care'!F27</f>
        <v>0</v>
      </c>
      <c r="G27" s="1">
        <f t="shared" si="0"/>
        <v>83233833.334894896</v>
      </c>
      <c r="H27" s="1">
        <f>+'AF&amp;L'!G27+'Colorado Health'!G27+'Compass (dbs Meritus)'!G27+'Consumers Choice'!G27+CoOportunity!G27+'Coordinated Hlth'!G27+'Executive Life'!G27+ELNY!G27+'First Natl (Thrnr)'!G27+'Freelancers CO-OP'!G27+HealthyCT!G27+'Land of Lincoln'!G27+'Lincoln Memorial'!G27+Lumbermens!G27+'Memorial Service'!G27+NNIC!G27+Reliance!G27+'Standard Life IN'!G27+Time!G27+'Universal Health Care'!G27</f>
        <v>83233833.334894896</v>
      </c>
      <c r="I27" s="1">
        <f t="shared" si="1"/>
        <v>0</v>
      </c>
    </row>
    <row r="28" spans="1:12">
      <c r="A28" s="1" t="s">
        <v>49</v>
      </c>
      <c r="B28" s="1">
        <f>+'AF&amp;L'!B28+'Colorado Health'!B28+'Compass (dbs Meritus)'!B28+'Consumers Choice'!B28+CoOportunity!B28+'Coordinated Hlth'!B28+'Executive Life'!B28+ELNY!B28+'First Natl (Thrnr)'!B28+'Freelancers CO-OP'!B28+HealthyCT!B28+'Land of Lincoln'!B28+'Lincoln Memorial'!B28+Lumbermens!B28+'Memorial Service'!B28+NNIC!B28+Reliance!B28+'Standard Life IN'!B28+Time!B28+'Universal Health Care'!B28</f>
        <v>317443.24522929545</v>
      </c>
      <c r="C28" s="1">
        <f>+'AF&amp;L'!C28+'Colorado Health'!C28+'Compass (dbs Meritus)'!C28+'Consumers Choice'!C28+CoOportunity!C28+'Coordinated Hlth'!C28+'Executive Life'!C28+ELNY!C28+'First Natl (Thrnr)'!C28+'Freelancers CO-OP'!C28+HealthyCT!C28+'Land of Lincoln'!C28+'Lincoln Memorial'!C28+Lumbermens!C28+'Memorial Service'!C28+NNIC!C28+Reliance!C28+'Standard Life IN'!C28+Time!C28+'Universal Health Care'!C28</f>
        <v>12956135.001473496</v>
      </c>
      <c r="D28" s="1">
        <f>+'AF&amp;L'!D28+'Colorado Health'!D28+'Compass (dbs Meritus)'!D28+'Consumers Choice'!D28+CoOportunity!D28+'Coordinated Hlth'!D28+'Executive Life'!D28+ELNY!D28+'First Natl (Thrnr)'!D28+'Freelancers CO-OP'!D28+HealthyCT!D28+'Land of Lincoln'!D28+'Lincoln Memorial'!D28+Lumbermens!D28+'Memorial Service'!D28+NNIC!D28+Reliance!D28+'Standard Life IN'!D28+Time!D28+'Universal Health Care'!D28</f>
        <v>920454.60663373733</v>
      </c>
      <c r="E28" s="1">
        <f>+'AF&amp;L'!E28+'Colorado Health'!E28+'Compass (dbs Meritus)'!E28+'Consumers Choice'!E28+CoOportunity!E28+'Coordinated Hlth'!E28+'Executive Life'!E28+ELNY!E28+'First Natl (Thrnr)'!E28+'Freelancers CO-OP'!E28+HealthyCT!E28+'Land of Lincoln'!E28+'Lincoln Memorial'!E28+Lumbermens!E28+'Memorial Service'!E28+NNIC!E28+Reliance!E28+'Standard Life IN'!E28+Time!E28+'Universal Health Care'!E28</f>
        <v>-55772.305943467538</v>
      </c>
      <c r="F28" s="1">
        <f>+'AF&amp;L'!F28+'Colorado Health'!F28+'Compass (dbs Meritus)'!F28+'Consumers Choice'!F28+CoOportunity!F28+'Coordinated Hlth'!F28+'Executive Life'!F28+ELNY!F28+'First Natl (Thrnr)'!F28+'Freelancers CO-OP'!F28+HealthyCT!F28+'Land of Lincoln'!F28+'Lincoln Memorial'!F28+Lumbermens!F28+'Memorial Service'!F28+NNIC!F28+Reliance!F28+'Standard Life IN'!F28+Time!F28+'Universal Health Care'!F28</f>
        <v>0</v>
      </c>
      <c r="G28" s="1">
        <f t="shared" si="0"/>
        <v>14138260.547393061</v>
      </c>
      <c r="H28" s="1">
        <f>+'AF&amp;L'!G28+'Colorado Health'!G28+'Compass (dbs Meritus)'!G28+'Consumers Choice'!G28+CoOportunity!G28+'Coordinated Hlth'!G28+'Executive Life'!G28+ELNY!G28+'First Natl (Thrnr)'!G28+'Freelancers CO-OP'!G28+HealthyCT!G28+'Land of Lincoln'!G28+'Lincoln Memorial'!G28+Lumbermens!G28+'Memorial Service'!G28+NNIC!G28+Reliance!G28+'Standard Life IN'!G28+Time!G28+'Universal Health Care'!G28</f>
        <v>14138260.547393061</v>
      </c>
      <c r="I28" s="1">
        <f t="shared" si="1"/>
        <v>0</v>
      </c>
      <c r="K28" s="1" t="s">
        <v>8</v>
      </c>
      <c r="L28" s="1">
        <f>SUM(REC_TOTAL)</f>
        <v>4157651341.4033084</v>
      </c>
    </row>
    <row r="29" spans="1:12">
      <c r="A29" s="1" t="s">
        <v>50</v>
      </c>
      <c r="B29" s="1">
        <f>+'AF&amp;L'!B29+'Colorado Health'!B29+'Compass (dbs Meritus)'!B29+'Consumers Choice'!B29+CoOportunity!B29+'Coordinated Hlth'!B29+'Executive Life'!B29+ELNY!B29+'First Natl (Thrnr)'!B29+'Freelancers CO-OP'!B29+HealthyCT!B29+'Land of Lincoln'!B29+'Lincoln Memorial'!B29+Lumbermens!B29+'Memorial Service'!B29+NNIC!B29+Reliance!B29+'Standard Life IN'!B29+Time!B29+'Universal Health Care'!B29</f>
        <v>14075686.693847442</v>
      </c>
      <c r="C29" s="1">
        <f>+'AF&amp;L'!C29+'Colorado Health'!C29+'Compass (dbs Meritus)'!C29+'Consumers Choice'!C29+CoOportunity!C29+'Coordinated Hlth'!C29+'Executive Life'!C29+ELNY!C29+'First Natl (Thrnr)'!C29+'Freelancers CO-OP'!C29+HealthyCT!C29+'Land of Lincoln'!C29+'Lincoln Memorial'!C29+Lumbermens!C29+'Memorial Service'!C29+NNIC!C29+Reliance!C29+'Standard Life IN'!C29+Time!C29+'Universal Health Care'!C29</f>
        <v>38275223.684199534</v>
      </c>
      <c r="D29" s="1">
        <f>+'AF&amp;L'!D29+'Colorado Health'!D29+'Compass (dbs Meritus)'!D29+'Consumers Choice'!D29+CoOportunity!D29+'Coordinated Hlth'!D29+'Executive Life'!D29+ELNY!D29+'First Natl (Thrnr)'!D29+'Freelancers CO-OP'!D29+HealthyCT!D29+'Land of Lincoln'!D29+'Lincoln Memorial'!D29+Lumbermens!D29+'Memorial Service'!D29+NNIC!D29+Reliance!D29+'Standard Life IN'!D29+Time!D29+'Universal Health Care'!D29</f>
        <v>214857.47513643108</v>
      </c>
      <c r="E29" s="1">
        <f>+'AF&amp;L'!E29+'Colorado Health'!E29+'Compass (dbs Meritus)'!E29+'Consumers Choice'!E29+CoOportunity!E29+'Coordinated Hlth'!E29+'Executive Life'!E29+ELNY!E29+'First Natl (Thrnr)'!E29+'Freelancers CO-OP'!E29+HealthyCT!E29+'Land of Lincoln'!E29+'Lincoln Memorial'!E29+Lumbermens!E29+'Memorial Service'!E29+NNIC!E29+Reliance!E29+'Standard Life IN'!E29+Time!E29+'Universal Health Care'!E29</f>
        <v>10450.180798110629</v>
      </c>
      <c r="F29" s="1">
        <f>+'AF&amp;L'!F29+'Colorado Health'!F29+'Compass (dbs Meritus)'!F29+'Consumers Choice'!F29+CoOportunity!F29+'Coordinated Hlth'!F29+'Executive Life'!F29+ELNY!F29+'First Natl (Thrnr)'!F29+'Freelancers CO-OP'!F29+HealthyCT!F29+'Land of Lincoln'!F29+'Lincoln Memorial'!F29+Lumbermens!F29+'Memorial Service'!F29+NNIC!F29+Reliance!F29+'Standard Life IN'!F29+Time!F29+'Universal Health Care'!F29</f>
        <v>0</v>
      </c>
      <c r="G29" s="1">
        <f t="shared" si="0"/>
        <v>52576218.033981517</v>
      </c>
      <c r="H29" s="1">
        <f>+'AF&amp;L'!G29+'Colorado Health'!G29+'Compass (dbs Meritus)'!G29+'Consumers Choice'!G29+CoOportunity!G29+'Coordinated Hlth'!G29+'Executive Life'!G29+ELNY!G29+'First Natl (Thrnr)'!G29+'Freelancers CO-OP'!G29+HealthyCT!G29+'Land of Lincoln'!G29+'Lincoln Memorial'!G29+Lumbermens!G29+'Memorial Service'!G29+NNIC!G29+Reliance!G29+'Standard Life IN'!G29+Time!G29+'Universal Health Care'!G29</f>
        <v>52576218.033981524</v>
      </c>
      <c r="I29" s="1">
        <f t="shared" si="1"/>
        <v>0</v>
      </c>
      <c r="K29" s="1" t="s">
        <v>711</v>
      </c>
      <c r="L29" s="1">
        <f>SUM(TOTAL)</f>
        <v>4157651341.4033089</v>
      </c>
    </row>
    <row r="30" spans="1:12">
      <c r="A30" s="1" t="s">
        <v>51</v>
      </c>
      <c r="B30" s="1">
        <f>+'AF&amp;L'!B30+'Colorado Health'!B30+'Compass (dbs Meritus)'!B30+'Consumers Choice'!B30+CoOportunity!B30+'Coordinated Hlth'!B30+'Executive Life'!B30+ELNY!B30+'First Natl (Thrnr)'!B30+'Freelancers CO-OP'!B30+HealthyCT!B30+'Land of Lincoln'!B30+'Lincoln Memorial'!B30+Lumbermens!B30+'Memorial Service'!B30+NNIC!B30+Reliance!B30+'Standard Life IN'!B30+Time!B30+'Universal Health Care'!B30</f>
        <v>18486800.269318644</v>
      </c>
      <c r="C30" s="1">
        <f>+'AF&amp;L'!C30+'Colorado Health'!C30+'Compass (dbs Meritus)'!C30+'Consumers Choice'!C30+CoOportunity!C30+'Coordinated Hlth'!C30+'Executive Life'!C30+ELNY!C30+'First Natl (Thrnr)'!C30+'Freelancers CO-OP'!C30+HealthyCT!C30+'Land of Lincoln'!C30+'Lincoln Memorial'!C30+Lumbermens!C30+'Memorial Service'!C30+NNIC!C30+Reliance!C30+'Standard Life IN'!C30+Time!C30+'Universal Health Care'!C30</f>
        <v>6616845.8029762255</v>
      </c>
      <c r="D30" s="1">
        <f>+'AF&amp;L'!D30+'Colorado Health'!D30+'Compass (dbs Meritus)'!D30+'Consumers Choice'!D30+CoOportunity!D30+'Coordinated Hlth'!D30+'Executive Life'!D30+ELNY!D30+'First Natl (Thrnr)'!D30+'Freelancers CO-OP'!D30+HealthyCT!D30+'Land of Lincoln'!D30+'Lincoln Memorial'!D30+Lumbermens!D30+'Memorial Service'!D30+NNIC!D30+Reliance!D30+'Standard Life IN'!D30+Time!D30+'Universal Health Care'!D30</f>
        <v>-93234.917700031103</v>
      </c>
      <c r="E30" s="1">
        <f>+'AF&amp;L'!E30+'Colorado Health'!E30+'Compass (dbs Meritus)'!E30+'Consumers Choice'!E30+CoOportunity!E30+'Coordinated Hlth'!E30+'Executive Life'!E30+ELNY!E30+'First Natl (Thrnr)'!E30+'Freelancers CO-OP'!E30+HealthyCT!E30+'Land of Lincoln'!E30+'Lincoln Memorial'!E30+Lumbermens!E30+'Memorial Service'!E30+NNIC!E30+Reliance!E30+'Standard Life IN'!E30+Time!E30+'Universal Health Care'!E30</f>
        <v>94546.214739791438</v>
      </c>
      <c r="F30" s="1">
        <f>+'AF&amp;L'!F30+'Colorado Health'!F30+'Compass (dbs Meritus)'!F30+'Consumers Choice'!F30+CoOportunity!F30+'Coordinated Hlth'!F30+'Executive Life'!F30+ELNY!F30+'First Natl (Thrnr)'!F30+'Freelancers CO-OP'!F30+HealthyCT!F30+'Land of Lincoln'!F30+'Lincoln Memorial'!F30+Lumbermens!F30+'Memorial Service'!F30+NNIC!F30+Reliance!F30+'Standard Life IN'!F30+Time!F30+'Universal Health Care'!F30</f>
        <v>0</v>
      </c>
      <c r="G30" s="1">
        <f t="shared" si="0"/>
        <v>25104957.369334631</v>
      </c>
      <c r="H30" s="1">
        <f>+'AF&amp;L'!G30+'Colorado Health'!G30+'Compass (dbs Meritus)'!G30+'Consumers Choice'!G30+CoOportunity!G30+'Coordinated Hlth'!G30+'Executive Life'!G30+ELNY!G30+'First Natl (Thrnr)'!G30+'Freelancers CO-OP'!G30+HealthyCT!G30+'Land of Lincoln'!G30+'Lincoln Memorial'!G30+Lumbermens!G30+'Memorial Service'!G30+NNIC!G30+Reliance!G30+'Standard Life IN'!G30+Time!G30+'Universal Health Care'!G30</f>
        <v>25104957.369334631</v>
      </c>
      <c r="I30" s="1">
        <f t="shared" si="1"/>
        <v>0</v>
      </c>
      <c r="L30" s="1">
        <f>SUM(TOTAL)-SUM(REC_TOTAL)</f>
        <v>0</v>
      </c>
    </row>
    <row r="31" spans="1:12">
      <c r="A31" s="1" t="s">
        <v>52</v>
      </c>
      <c r="B31" s="1">
        <f>+'AF&amp;L'!B31+'Colorado Health'!B31+'Compass (dbs Meritus)'!B31+'Consumers Choice'!B31+CoOportunity!B31+'Coordinated Hlth'!B31+'Executive Life'!B31+ELNY!B31+'First Natl (Thrnr)'!B31+'Freelancers CO-OP'!B31+HealthyCT!B31+'Land of Lincoln'!B31+'Lincoln Memorial'!B31+Lumbermens!B31+'Memorial Service'!B31+NNIC!B31+Reliance!B31+'Standard Life IN'!B31+Time!B31+'Universal Health Care'!B31</f>
        <v>147933317.69894838</v>
      </c>
      <c r="C31" s="1">
        <f>+'AF&amp;L'!C31+'Colorado Health'!C31+'Compass (dbs Meritus)'!C31+'Consumers Choice'!C31+CoOportunity!C31+'Coordinated Hlth'!C31+'Executive Life'!C31+ELNY!C31+'First Natl (Thrnr)'!C31+'Freelancers CO-OP'!C31+HealthyCT!C31+'Land of Lincoln'!C31+'Lincoln Memorial'!C31+Lumbermens!C31+'Memorial Service'!C31+NNIC!C31+Reliance!C31+'Standard Life IN'!C31+Time!C31+'Universal Health Care'!C31</f>
        <v>25426861.106300902</v>
      </c>
      <c r="D31" s="1">
        <f>+'AF&amp;L'!D31+'Colorado Health'!D31+'Compass (dbs Meritus)'!D31+'Consumers Choice'!D31+CoOportunity!D31+'Coordinated Hlth'!D31+'Executive Life'!D31+ELNY!D31+'First Natl (Thrnr)'!D31+'Freelancers CO-OP'!D31+HealthyCT!D31+'Land of Lincoln'!D31+'Lincoln Memorial'!D31+Lumbermens!D31+'Memorial Service'!D31+NNIC!D31+Reliance!D31+'Standard Life IN'!D31+Time!D31+'Universal Health Care'!D31</f>
        <v>188394.29603447474</v>
      </c>
      <c r="E31" s="1">
        <f>+'AF&amp;L'!E31+'Colorado Health'!E31+'Compass (dbs Meritus)'!E31+'Consumers Choice'!E31+CoOportunity!E31+'Coordinated Hlth'!E31+'Executive Life'!E31+ELNY!E31+'First Natl (Thrnr)'!E31+'Freelancers CO-OP'!E31+HealthyCT!E31+'Land of Lincoln'!E31+'Lincoln Memorial'!E31+Lumbermens!E31+'Memorial Service'!E31+NNIC!E31+Reliance!E31+'Standard Life IN'!E31+Time!E31+'Universal Health Care'!E31</f>
        <v>0</v>
      </c>
      <c r="F31" s="1">
        <f>+'AF&amp;L'!F31+'Colorado Health'!F31+'Compass (dbs Meritus)'!F31+'Consumers Choice'!F31+CoOportunity!F31+'Coordinated Hlth'!F31+'Executive Life'!F31+ELNY!F31+'First Natl (Thrnr)'!F31+'Freelancers CO-OP'!F31+HealthyCT!F31+'Land of Lincoln'!F31+'Lincoln Memorial'!F31+Lumbermens!F31+'Memorial Service'!F31+NNIC!F31+Reliance!F31+'Standard Life IN'!F31+Time!F31+'Universal Health Care'!F31</f>
        <v>0</v>
      </c>
      <c r="G31" s="1">
        <f t="shared" si="0"/>
        <v>173548573.10128376</v>
      </c>
      <c r="H31" s="1">
        <f>+'AF&amp;L'!G31+'Colorado Health'!G31+'Compass (dbs Meritus)'!G31+'Consumers Choice'!G31+CoOportunity!G31+'Coordinated Hlth'!G31+'Executive Life'!G31+ELNY!G31+'First Natl (Thrnr)'!G31+'Freelancers CO-OP'!G31+HealthyCT!G31+'Land of Lincoln'!G31+'Lincoln Memorial'!G31+Lumbermens!G31+'Memorial Service'!G31+NNIC!G31+Reliance!G31+'Standard Life IN'!G31+Time!G31+'Universal Health Care'!G31</f>
        <v>173548573.10128373</v>
      </c>
      <c r="I31" s="1">
        <f t="shared" si="1"/>
        <v>0</v>
      </c>
    </row>
    <row r="32" spans="1:12">
      <c r="A32" s="1" t="s">
        <v>53</v>
      </c>
      <c r="B32" s="1">
        <f>+'AF&amp;L'!B32+'Colorado Health'!B32+'Compass (dbs Meritus)'!B32+'Consumers Choice'!B32+CoOportunity!B32+'Coordinated Hlth'!B32+'Executive Life'!B32+ELNY!B32+'First Natl (Thrnr)'!B32+'Freelancers CO-OP'!B32+HealthyCT!B32+'Land of Lincoln'!B32+'Lincoln Memorial'!B32+Lumbermens!B32+'Memorial Service'!B32+NNIC!B32+Reliance!B32+'Standard Life IN'!B32+Time!B32+'Universal Health Care'!B32</f>
        <v>3587396.4070751853</v>
      </c>
      <c r="C32" s="1">
        <f>+'AF&amp;L'!C32+'Colorado Health'!C32+'Compass (dbs Meritus)'!C32+'Consumers Choice'!C32+CoOportunity!C32+'Coordinated Hlth'!C32+'Executive Life'!C32+ELNY!C32+'First Natl (Thrnr)'!C32+'Freelancers CO-OP'!C32+HealthyCT!C32+'Land of Lincoln'!C32+'Lincoln Memorial'!C32+Lumbermens!C32+'Memorial Service'!C32+NNIC!C32+Reliance!C32+'Standard Life IN'!C32+Time!C32+'Universal Health Care'!C32</f>
        <v>4376083.5642874716</v>
      </c>
      <c r="D32" s="1">
        <f>+'AF&amp;L'!D32+'Colorado Health'!D32+'Compass (dbs Meritus)'!D32+'Consumers Choice'!D32+CoOportunity!D32+'Coordinated Hlth'!D32+'Executive Life'!D32+ELNY!D32+'First Natl (Thrnr)'!D32+'Freelancers CO-OP'!D32+HealthyCT!D32+'Land of Lincoln'!D32+'Lincoln Memorial'!D32+Lumbermens!D32+'Memorial Service'!D32+NNIC!D32+Reliance!D32+'Standard Life IN'!D32+Time!D32+'Universal Health Care'!D32</f>
        <v>29285.227863592208</v>
      </c>
      <c r="E32" s="1">
        <f>+'AF&amp;L'!E32+'Colorado Health'!E32+'Compass (dbs Meritus)'!E32+'Consumers Choice'!E32+CoOportunity!E32+'Coordinated Hlth'!E32+'Executive Life'!E32+ELNY!E32+'First Natl (Thrnr)'!E32+'Freelancers CO-OP'!E32+HealthyCT!E32+'Land of Lincoln'!E32+'Lincoln Memorial'!E32+Lumbermens!E32+'Memorial Service'!E32+NNIC!E32+Reliance!E32+'Standard Life IN'!E32+Time!E32+'Universal Health Care'!E32</f>
        <v>0</v>
      </c>
      <c r="F32" s="1">
        <f>+'AF&amp;L'!F32+'Colorado Health'!F32+'Compass (dbs Meritus)'!F32+'Consumers Choice'!F32+CoOportunity!F32+'Coordinated Hlth'!F32+'Executive Life'!F32+ELNY!F32+'First Natl (Thrnr)'!F32+'Freelancers CO-OP'!F32+HealthyCT!F32+'Land of Lincoln'!F32+'Lincoln Memorial'!F32+Lumbermens!F32+'Memorial Service'!F32+NNIC!F32+Reliance!F32+'Standard Life IN'!F32+Time!F32+'Universal Health Care'!F32</f>
        <v>0</v>
      </c>
      <c r="G32" s="1">
        <f t="shared" si="0"/>
        <v>7992765.199226249</v>
      </c>
      <c r="H32" s="1">
        <f>+'AF&amp;L'!G32+'Colorado Health'!G32+'Compass (dbs Meritus)'!G32+'Consumers Choice'!G32+CoOportunity!G32+'Coordinated Hlth'!G32+'Executive Life'!G32+ELNY!G32+'First Natl (Thrnr)'!G32+'Freelancers CO-OP'!G32+HealthyCT!G32+'Land of Lincoln'!G32+'Lincoln Memorial'!G32+Lumbermens!G32+'Memorial Service'!G32+NNIC!G32+Reliance!G32+'Standard Life IN'!G32+Time!G32+'Universal Health Care'!G32</f>
        <v>7992765.1992262499</v>
      </c>
      <c r="I32" s="1">
        <f t="shared" si="1"/>
        <v>0</v>
      </c>
    </row>
    <row r="33" spans="1:9">
      <c r="A33" s="1" t="s">
        <v>54</v>
      </c>
      <c r="B33" s="1">
        <f>+'AF&amp;L'!B33+'Colorado Health'!B33+'Compass (dbs Meritus)'!B33+'Consumers Choice'!B33+CoOportunity!B33+'Coordinated Hlth'!B33+'Executive Life'!B33+ELNY!B33+'First Natl (Thrnr)'!B33+'Freelancers CO-OP'!B33+HealthyCT!B33+'Land of Lincoln'!B33+'Lincoln Memorial'!B33+Lumbermens!B33+'Memorial Service'!B33+NNIC!B33+Reliance!B33+'Standard Life IN'!B33+Time!B33+'Universal Health Care'!B33</f>
        <v>12526381.850707727</v>
      </c>
      <c r="C33" s="1">
        <f>+'AF&amp;L'!C33+'Colorado Health'!C33+'Compass (dbs Meritus)'!C33+'Consumers Choice'!C33+CoOportunity!C33+'Coordinated Hlth'!C33+'Executive Life'!C33+ELNY!C33+'First Natl (Thrnr)'!C33+'Freelancers CO-OP'!C33+HealthyCT!C33+'Land of Lincoln'!C33+'Lincoln Memorial'!C33+Lumbermens!C33+'Memorial Service'!C33+NNIC!C33+Reliance!C33+'Standard Life IN'!C33+Time!C33+'Universal Health Care'!C33</f>
        <v>7256164.9719655775</v>
      </c>
      <c r="D33" s="1">
        <f>+'AF&amp;L'!D33+'Colorado Health'!D33+'Compass (dbs Meritus)'!D33+'Consumers Choice'!D33+CoOportunity!D33+'Coordinated Hlth'!D33+'Executive Life'!D33+ELNY!D33+'First Natl (Thrnr)'!D33+'Freelancers CO-OP'!D33+HealthyCT!D33+'Land of Lincoln'!D33+'Lincoln Memorial'!D33+Lumbermens!D33+'Memorial Service'!D33+NNIC!D33+Reliance!D33+'Standard Life IN'!D33+Time!D33+'Universal Health Care'!D33</f>
        <v>19189055.952578288</v>
      </c>
      <c r="E33" s="1">
        <f>+'AF&amp;L'!E33+'Colorado Health'!E33+'Compass (dbs Meritus)'!E33+'Consumers Choice'!E33+CoOportunity!E33+'Coordinated Hlth'!E33+'Executive Life'!E33+ELNY!E33+'First Natl (Thrnr)'!E33+'Freelancers CO-OP'!E33+HealthyCT!E33+'Land of Lincoln'!E33+'Lincoln Memorial'!E33+Lumbermens!E33+'Memorial Service'!E33+NNIC!E33+Reliance!E33+'Standard Life IN'!E33+Time!E33+'Universal Health Care'!E33</f>
        <v>0</v>
      </c>
      <c r="F33" s="1">
        <f>+'AF&amp;L'!F33+'Colorado Health'!F33+'Compass (dbs Meritus)'!F33+'Consumers Choice'!F33+CoOportunity!F33+'Coordinated Hlth'!F33+'Executive Life'!F33+ELNY!F33+'First Natl (Thrnr)'!F33+'Freelancers CO-OP'!F33+HealthyCT!F33+'Land of Lincoln'!F33+'Lincoln Memorial'!F33+Lumbermens!F33+'Memorial Service'!F33+NNIC!F33+Reliance!F33+'Standard Life IN'!F33+Time!F33+'Universal Health Care'!F33</f>
        <v>0</v>
      </c>
      <c r="G33" s="1">
        <f t="shared" si="0"/>
        <v>38971602.775251597</v>
      </c>
      <c r="H33" s="1">
        <f>+'AF&amp;L'!G33+'Colorado Health'!G33+'Compass (dbs Meritus)'!G33+'Consumers Choice'!G33+CoOportunity!G33+'Coordinated Hlth'!G33+'Executive Life'!G33+ELNY!G33+'First Natl (Thrnr)'!G33+'Freelancers CO-OP'!G33+HealthyCT!G33+'Land of Lincoln'!G33+'Lincoln Memorial'!G33+Lumbermens!G33+'Memorial Service'!G33+NNIC!G33+Reliance!G33+'Standard Life IN'!G33+Time!G33+'Universal Health Care'!G33</f>
        <v>38971602.77525159</v>
      </c>
      <c r="I33" s="1">
        <f t="shared" si="1"/>
        <v>0</v>
      </c>
    </row>
    <row r="34" spans="1:9">
      <c r="A34" s="1" t="s">
        <v>55</v>
      </c>
      <c r="B34" s="1">
        <f>+'AF&amp;L'!B34+'Colorado Health'!B34+'Compass (dbs Meritus)'!B34+'Consumers Choice'!B34+CoOportunity!B34+'Coordinated Hlth'!B34+'Executive Life'!B34+ELNY!B34+'First Natl (Thrnr)'!B34+'Freelancers CO-OP'!B34+HealthyCT!B34+'Land of Lincoln'!B34+'Lincoln Memorial'!B34+Lumbermens!B34+'Memorial Service'!B34+NNIC!B34+Reliance!B34+'Standard Life IN'!B34+Time!B34+'Universal Health Care'!B34</f>
        <v>11978269.542201094</v>
      </c>
      <c r="C34" s="1">
        <f>+'AF&amp;L'!C34+'Colorado Health'!C34+'Compass (dbs Meritus)'!C34+'Consumers Choice'!C34+CoOportunity!C34+'Coordinated Hlth'!C34+'Executive Life'!C34+ELNY!C34+'First Natl (Thrnr)'!C34+'Freelancers CO-OP'!C34+HealthyCT!C34+'Land of Lincoln'!C34+'Lincoln Memorial'!C34+Lumbermens!C34+'Memorial Service'!C34+NNIC!C34+Reliance!C34+'Standard Life IN'!C34+Time!C34+'Universal Health Care'!C34</f>
        <v>7249512.9360189326</v>
      </c>
      <c r="D34" s="1">
        <f>+'AF&amp;L'!D34+'Colorado Health'!D34+'Compass (dbs Meritus)'!D34+'Consumers Choice'!D34+CoOportunity!D34+'Coordinated Hlth'!D34+'Executive Life'!D34+ELNY!D34+'First Natl (Thrnr)'!D34+'Freelancers CO-OP'!D34+HealthyCT!D34+'Land of Lincoln'!D34+'Lincoln Memorial'!D34+Lumbermens!D34+'Memorial Service'!D34+NNIC!D34+Reliance!D34+'Standard Life IN'!D34+Time!D34+'Universal Health Care'!D34</f>
        <v>146942.52842054979</v>
      </c>
      <c r="E34" s="1">
        <f>+'AF&amp;L'!E34+'Colorado Health'!E34+'Compass (dbs Meritus)'!E34+'Consumers Choice'!E34+CoOportunity!E34+'Coordinated Hlth'!E34+'Executive Life'!E34+ELNY!E34+'First Natl (Thrnr)'!E34+'Freelancers CO-OP'!E34+HealthyCT!E34+'Land of Lincoln'!E34+'Lincoln Memorial'!E34+Lumbermens!E34+'Memorial Service'!E34+NNIC!E34+Reliance!E34+'Standard Life IN'!E34+Time!E34+'Universal Health Care'!E34</f>
        <v>0</v>
      </c>
      <c r="F34" s="1">
        <f>+'AF&amp;L'!F34+'Colorado Health'!F34+'Compass (dbs Meritus)'!F34+'Consumers Choice'!F34+CoOportunity!F34+'Coordinated Hlth'!F34+'Executive Life'!F34+ELNY!F34+'First Natl (Thrnr)'!F34+'Freelancers CO-OP'!F34+HealthyCT!F34+'Land of Lincoln'!F34+'Lincoln Memorial'!F34+Lumbermens!F34+'Memorial Service'!F34+NNIC!F34+Reliance!F34+'Standard Life IN'!F34+Time!F34+'Universal Health Care'!F34</f>
        <v>0</v>
      </c>
      <c r="G34" s="1">
        <f t="shared" si="0"/>
        <v>19374725.006640576</v>
      </c>
      <c r="H34" s="1">
        <f>+'AF&amp;L'!G34+'Colorado Health'!G34+'Compass (dbs Meritus)'!G34+'Consumers Choice'!G34+CoOportunity!G34+'Coordinated Hlth'!G34+'Executive Life'!G34+ELNY!G34+'First Natl (Thrnr)'!G34+'Freelancers CO-OP'!G34+HealthyCT!G34+'Land of Lincoln'!G34+'Lincoln Memorial'!G34+Lumbermens!G34+'Memorial Service'!G34+NNIC!G34+Reliance!G34+'Standard Life IN'!G34+Time!G34+'Universal Health Care'!G34</f>
        <v>19374725.006640572</v>
      </c>
      <c r="I34" s="1">
        <f t="shared" si="1"/>
        <v>0</v>
      </c>
    </row>
    <row r="35" spans="1:9">
      <c r="A35" s="1" t="s">
        <v>56</v>
      </c>
      <c r="B35" s="1">
        <f>+'AF&amp;L'!B35+'Colorado Health'!B35+'Compass (dbs Meritus)'!B35+'Consumers Choice'!B35+CoOportunity!B35+'Coordinated Hlth'!B35+'Executive Life'!B35+ELNY!B35+'First Natl (Thrnr)'!B35+'Freelancers CO-OP'!B35+HealthyCT!B35+'Land of Lincoln'!B35+'Lincoln Memorial'!B35+Lumbermens!B35+'Memorial Service'!B35+NNIC!B35+Reliance!B35+'Standard Life IN'!B35+Time!B35+'Universal Health Care'!B35</f>
        <v>-158.59999999999991</v>
      </c>
      <c r="C35" s="1">
        <f>+'AF&amp;L'!C35+'Colorado Health'!C35+'Compass (dbs Meritus)'!C35+'Consumers Choice'!C35+CoOportunity!C35+'Coordinated Hlth'!C35+'Executive Life'!C35+ELNY!C35+'First Natl (Thrnr)'!C35+'Freelancers CO-OP'!C35+HealthyCT!C35+'Land of Lincoln'!C35+'Lincoln Memorial'!C35+Lumbermens!C35+'Memorial Service'!C35+NNIC!C35+Reliance!C35+'Standard Life IN'!C35+Time!C35+'Universal Health Care'!C35</f>
        <v>1874843.3152104144</v>
      </c>
      <c r="D35" s="1">
        <f>+'AF&amp;L'!D35+'Colorado Health'!D35+'Compass (dbs Meritus)'!D35+'Consumers Choice'!D35+CoOportunity!D35+'Coordinated Hlth'!D35+'Executive Life'!D35+ELNY!D35+'First Natl (Thrnr)'!D35+'Freelancers CO-OP'!D35+HealthyCT!D35+'Land of Lincoln'!D35+'Lincoln Memorial'!D35+Lumbermens!D35+'Memorial Service'!D35+NNIC!D35+Reliance!D35+'Standard Life IN'!D35+Time!D35+'Universal Health Care'!D35</f>
        <v>451362.92204916861</v>
      </c>
      <c r="E35" s="1">
        <f>+'AF&amp;L'!E35+'Colorado Health'!E35+'Compass (dbs Meritus)'!E35+'Consumers Choice'!E35+CoOportunity!E35+'Coordinated Hlth'!E35+'Executive Life'!E35+ELNY!E35+'First Natl (Thrnr)'!E35+'Freelancers CO-OP'!E35+HealthyCT!E35+'Land of Lincoln'!E35+'Lincoln Memorial'!E35+Lumbermens!E35+'Memorial Service'!E35+NNIC!E35+Reliance!E35+'Standard Life IN'!E35+Time!E35+'Universal Health Care'!E35</f>
        <v>0</v>
      </c>
      <c r="F35" s="1">
        <f>+'AF&amp;L'!F35+'Colorado Health'!F35+'Compass (dbs Meritus)'!F35+'Consumers Choice'!F35+CoOportunity!F35+'Coordinated Hlth'!F35+'Executive Life'!F35+ELNY!F35+'First Natl (Thrnr)'!F35+'Freelancers CO-OP'!F35+HealthyCT!F35+'Land of Lincoln'!F35+'Lincoln Memorial'!F35+Lumbermens!F35+'Memorial Service'!F35+NNIC!F35+Reliance!F35+'Standard Life IN'!F35+Time!F35+'Universal Health Care'!F35</f>
        <v>0</v>
      </c>
      <c r="G35" s="1">
        <f t="shared" si="0"/>
        <v>2326047.637259583</v>
      </c>
      <c r="H35" s="1">
        <f>+'AF&amp;L'!G35+'Colorado Health'!G35+'Compass (dbs Meritus)'!G35+'Consumers Choice'!G35+CoOportunity!G35+'Coordinated Hlth'!G35+'Executive Life'!G35+ELNY!G35+'First Natl (Thrnr)'!G35+'Freelancers CO-OP'!G35+HealthyCT!G35+'Land of Lincoln'!G35+'Lincoln Memorial'!G35+Lumbermens!G35+'Memorial Service'!G35+NNIC!G35+Reliance!G35+'Standard Life IN'!G35+Time!G35+'Universal Health Care'!G35</f>
        <v>2326047.6372595825</v>
      </c>
      <c r="I35" s="1">
        <f t="shared" si="1"/>
        <v>0</v>
      </c>
    </row>
    <row r="36" spans="1:9">
      <c r="A36" s="1" t="s">
        <v>57</v>
      </c>
      <c r="B36" s="1">
        <f>+'AF&amp;L'!B36+'Colorado Health'!B36+'Compass (dbs Meritus)'!B36+'Consumers Choice'!B36+CoOportunity!B36+'Coordinated Hlth'!B36+'Executive Life'!B36+ELNY!B36+'First Natl (Thrnr)'!B36+'Freelancers CO-OP'!B36+HealthyCT!B36+'Land of Lincoln'!B36+'Lincoln Memorial'!B36+Lumbermens!B36+'Memorial Service'!B36+NNIC!B36+Reliance!B36+'Standard Life IN'!B36+Time!B36+'Universal Health Care'!B36</f>
        <v>19879765.220381863</v>
      </c>
      <c r="C36" s="1">
        <f>+'AF&amp;L'!C36+'Colorado Health'!C36+'Compass (dbs Meritus)'!C36+'Consumers Choice'!C36+CoOportunity!C36+'Coordinated Hlth'!C36+'Executive Life'!C36+ELNY!C36+'First Natl (Thrnr)'!C36+'Freelancers CO-OP'!C36+HealthyCT!C36+'Land of Lincoln'!C36+'Lincoln Memorial'!C36+Lumbermens!C36+'Memorial Service'!C36+NNIC!C36+Reliance!C36+'Standard Life IN'!C36+Time!C36+'Universal Health Care'!C36</f>
        <v>106098187.45654826</v>
      </c>
      <c r="D36" s="1">
        <f>+'AF&amp;L'!D36+'Colorado Health'!D36+'Compass (dbs Meritus)'!D36+'Consumers Choice'!D36+CoOportunity!D36+'Coordinated Hlth'!D36+'Executive Life'!D36+ELNY!D36+'First Natl (Thrnr)'!D36+'Freelancers CO-OP'!D36+HealthyCT!D36+'Land of Lincoln'!D36+'Lincoln Memorial'!D36+Lumbermens!D36+'Memorial Service'!D36+NNIC!D36+Reliance!D36+'Standard Life IN'!D36+Time!D36+'Universal Health Care'!D36</f>
        <v>24948237.092258979</v>
      </c>
      <c r="E36" s="1">
        <f>+'AF&amp;L'!E36+'Colorado Health'!E36+'Compass (dbs Meritus)'!E36+'Consumers Choice'!E36+CoOportunity!E36+'Coordinated Hlth'!E36+'Executive Life'!E36+ELNY!E36+'First Natl (Thrnr)'!E36+'Freelancers CO-OP'!E36+HealthyCT!E36+'Land of Lincoln'!E36+'Lincoln Memorial'!E36+Lumbermens!E36+'Memorial Service'!E36+NNIC!E36+Reliance!E36+'Standard Life IN'!E36+Time!E36+'Universal Health Care'!E36</f>
        <v>1127405.6196281591</v>
      </c>
      <c r="F36" s="1">
        <f>+'AF&amp;L'!F36+'Colorado Health'!F36+'Compass (dbs Meritus)'!F36+'Consumers Choice'!F36+CoOportunity!F36+'Coordinated Hlth'!F36+'Executive Life'!F36+ELNY!F36+'First Natl (Thrnr)'!F36+'Freelancers CO-OP'!F36+HealthyCT!F36+'Land of Lincoln'!F36+'Lincoln Memorial'!F36+Lumbermens!F36+'Memorial Service'!F36+NNIC!F36+Reliance!F36+'Standard Life IN'!F36+Time!F36+'Universal Health Care'!F36</f>
        <v>0</v>
      </c>
      <c r="G36" s="1">
        <f t="shared" si="0"/>
        <v>152053595.38881728</v>
      </c>
      <c r="H36" s="1">
        <f>+'AF&amp;L'!G36+'Colorado Health'!G36+'Compass (dbs Meritus)'!G36+'Consumers Choice'!G36+CoOportunity!G36+'Coordinated Hlth'!G36+'Executive Life'!G36+ELNY!G36+'First Natl (Thrnr)'!G36+'Freelancers CO-OP'!G36+HealthyCT!G36+'Land of Lincoln'!G36+'Lincoln Memorial'!G36+Lumbermens!G36+'Memorial Service'!G36+NNIC!G36+Reliance!G36+'Standard Life IN'!G36+Time!G36+'Universal Health Care'!G36</f>
        <v>152053595.38881728</v>
      </c>
      <c r="I36" s="1">
        <f t="shared" si="1"/>
        <v>0</v>
      </c>
    </row>
    <row r="37" spans="1:9">
      <c r="A37" s="1" t="s">
        <v>58</v>
      </c>
      <c r="B37" s="1">
        <f>+'AF&amp;L'!B37+'Colorado Health'!B37+'Compass (dbs Meritus)'!B37+'Consumers Choice'!B37+CoOportunity!B37+'Coordinated Hlth'!B37+'Executive Life'!B37+ELNY!B37+'First Natl (Thrnr)'!B37+'Freelancers CO-OP'!B37+HealthyCT!B37+'Land of Lincoln'!B37+'Lincoln Memorial'!B37+Lumbermens!B37+'Memorial Service'!B37+NNIC!B37+Reliance!B37+'Standard Life IN'!B37+Time!B37+'Universal Health Care'!B37</f>
        <v>4525149.3636963041</v>
      </c>
      <c r="C37" s="1">
        <f>+'AF&amp;L'!C37+'Colorado Health'!C37+'Compass (dbs Meritus)'!C37+'Consumers Choice'!C37+CoOportunity!C37+'Coordinated Hlth'!C37+'Executive Life'!C37+ELNY!C37+'First Natl (Thrnr)'!C37+'Freelancers CO-OP'!C37+HealthyCT!C37+'Land of Lincoln'!C37+'Lincoln Memorial'!C37+Lumbermens!C37+'Memorial Service'!C37+NNIC!C37+Reliance!C37+'Standard Life IN'!C37+Time!C37+'Universal Health Care'!C37</f>
        <v>8239590.6101294514</v>
      </c>
      <c r="D37" s="1">
        <f>+'AF&amp;L'!D37+'Colorado Health'!D37+'Compass (dbs Meritus)'!D37+'Consumers Choice'!D37+CoOportunity!D37+'Coordinated Hlth'!D37+'Executive Life'!D37+ELNY!D37+'First Natl (Thrnr)'!D37+'Freelancers CO-OP'!D37+HealthyCT!D37+'Land of Lincoln'!D37+'Lincoln Memorial'!D37+Lumbermens!D37+'Memorial Service'!D37+NNIC!D37+Reliance!D37+'Standard Life IN'!D37+Time!D37+'Universal Health Care'!D37</f>
        <v>263484.4127805868</v>
      </c>
      <c r="E37" s="1">
        <f>+'AF&amp;L'!E37+'Colorado Health'!E37+'Compass (dbs Meritus)'!E37+'Consumers Choice'!E37+CoOportunity!E37+'Coordinated Hlth'!E37+'Executive Life'!E37+ELNY!E37+'First Natl (Thrnr)'!E37+'Freelancers CO-OP'!E37+HealthyCT!E37+'Land of Lincoln'!E37+'Lincoln Memorial'!E37+Lumbermens!E37+'Memorial Service'!E37+NNIC!E37+Reliance!E37+'Standard Life IN'!E37+Time!E37+'Universal Health Care'!E37</f>
        <v>0</v>
      </c>
      <c r="F37" s="1">
        <f>+'AF&amp;L'!F37+'Colorado Health'!F37+'Compass (dbs Meritus)'!F37+'Consumers Choice'!F37+CoOportunity!F37+'Coordinated Hlth'!F37+'Executive Life'!F37+ELNY!F37+'First Natl (Thrnr)'!F37+'Freelancers CO-OP'!F37+HealthyCT!F37+'Land of Lincoln'!F37+'Lincoln Memorial'!F37+Lumbermens!F37+'Memorial Service'!F37+NNIC!F37+Reliance!F37+'Standard Life IN'!F37+Time!F37+'Universal Health Care'!F37</f>
        <v>0</v>
      </c>
      <c r="G37" s="1">
        <f t="shared" si="0"/>
        <v>13028224.386606343</v>
      </c>
      <c r="H37" s="1">
        <f>+'AF&amp;L'!G37+'Colorado Health'!G37+'Compass (dbs Meritus)'!G37+'Consumers Choice'!G37+CoOportunity!G37+'Coordinated Hlth'!G37+'Executive Life'!G37+ELNY!G37+'First Natl (Thrnr)'!G37+'Freelancers CO-OP'!G37+HealthyCT!G37+'Land of Lincoln'!G37+'Lincoln Memorial'!G37+Lumbermens!G37+'Memorial Service'!G37+NNIC!G37+Reliance!G37+'Standard Life IN'!G37+Time!G37+'Universal Health Care'!G37</f>
        <v>13028224.386606343</v>
      </c>
      <c r="I37" s="1">
        <f t="shared" si="1"/>
        <v>0</v>
      </c>
    </row>
    <row r="38" spans="1:9">
      <c r="A38" s="1" t="s">
        <v>59</v>
      </c>
      <c r="B38" s="1">
        <f>+'AF&amp;L'!B38+'Colorado Health'!B38+'Compass (dbs Meritus)'!B38+'Consumers Choice'!B38+CoOportunity!B38+'Coordinated Hlth'!B38+'Executive Life'!B38+ELNY!B38+'First Natl (Thrnr)'!B38+'Freelancers CO-OP'!B38+HealthyCT!B38+'Land of Lincoln'!B38+'Lincoln Memorial'!B38+Lumbermens!B38+'Memorial Service'!B38+NNIC!B38+Reliance!B38+'Standard Life IN'!B38+Time!B38+'Universal Health Care'!B38</f>
        <v>0</v>
      </c>
      <c r="C38" s="1">
        <f>+'AF&amp;L'!C38+'Colorado Health'!C38+'Compass (dbs Meritus)'!C38+'Consumers Choice'!C38+CoOportunity!C38+'Coordinated Hlth'!C38+'Executive Life'!C38+ELNY!C38+'First Natl (Thrnr)'!C38+'Freelancers CO-OP'!C38+HealthyCT!C38+'Land of Lincoln'!C38+'Lincoln Memorial'!C38+Lumbermens!C38+'Memorial Service'!C38+NNIC!C38+Reliance!C38+'Standard Life IN'!C38+Time!C38+'Universal Health Care'!C38</f>
        <v>537970827.55575466</v>
      </c>
      <c r="D38" s="1">
        <f>+'AF&amp;L'!D38+'Colorado Health'!D38+'Compass (dbs Meritus)'!D38+'Consumers Choice'!D38+CoOportunity!D38+'Coordinated Hlth'!D38+'Executive Life'!D38+ELNY!D38+'First Natl (Thrnr)'!D38+'Freelancers CO-OP'!D38+HealthyCT!D38+'Land of Lincoln'!D38+'Lincoln Memorial'!D38+Lumbermens!D38+'Memorial Service'!D38+NNIC!D38+Reliance!D38+'Standard Life IN'!D38+Time!D38+'Universal Health Care'!D38</f>
        <v>0</v>
      </c>
      <c r="E38" s="1">
        <f>+'AF&amp;L'!E38+'Colorado Health'!E38+'Compass (dbs Meritus)'!E38+'Consumers Choice'!E38+CoOportunity!E38+'Coordinated Hlth'!E38+'Executive Life'!E38+ELNY!E38+'First Natl (Thrnr)'!E38+'Freelancers CO-OP'!E38+HealthyCT!E38+'Land of Lincoln'!E38+'Lincoln Memorial'!E38+Lumbermens!E38+'Memorial Service'!E38+NNIC!E38+Reliance!E38+'Standard Life IN'!E38+Time!E38+'Universal Health Care'!E38</f>
        <v>0</v>
      </c>
      <c r="F38" s="1">
        <f>+'AF&amp;L'!F38+'Colorado Health'!F38+'Compass (dbs Meritus)'!F38+'Consumers Choice'!F38+CoOportunity!F38+'Coordinated Hlth'!F38+'Executive Life'!F38+ELNY!F38+'First Natl (Thrnr)'!F38+'Freelancers CO-OP'!F38+HealthyCT!F38+'Land of Lincoln'!F38+'Lincoln Memorial'!F38+Lumbermens!F38+'Memorial Service'!F38+NNIC!F38+Reliance!F38+'Standard Life IN'!F38+Time!F38+'Universal Health Care'!F38</f>
        <v>0</v>
      </c>
      <c r="G38" s="1">
        <f t="shared" ref="G38:G58" si="2">SUM(B38:F38)</f>
        <v>537970827.55575466</v>
      </c>
      <c r="H38" s="1">
        <f>+'AF&amp;L'!G38+'Colorado Health'!G38+'Compass (dbs Meritus)'!G38+'Consumers Choice'!G38+CoOportunity!G38+'Coordinated Hlth'!G38+'Executive Life'!G38+ELNY!G38+'First Natl (Thrnr)'!G38+'Freelancers CO-OP'!G38+HealthyCT!G38+'Land of Lincoln'!G38+'Lincoln Memorial'!G38+Lumbermens!G38+'Memorial Service'!G38+NNIC!G38+Reliance!G38+'Standard Life IN'!G38+Time!G38+'Universal Health Care'!G38</f>
        <v>537970827.55575466</v>
      </c>
      <c r="I38" s="1">
        <f t="shared" ref="I38:I58" si="3">G38-H38</f>
        <v>0</v>
      </c>
    </row>
    <row r="39" spans="1:9">
      <c r="A39" s="1" t="s">
        <v>60</v>
      </c>
      <c r="B39" s="1">
        <f>+'AF&amp;L'!B39+'Colorado Health'!B39+'Compass (dbs Meritus)'!B39+'Consumers Choice'!B39+CoOportunity!B39+'Coordinated Hlth'!B39+'Executive Life'!B39+ELNY!B39+'First Natl (Thrnr)'!B39+'Freelancers CO-OP'!B39+HealthyCT!B39+'Land of Lincoln'!B39+'Lincoln Memorial'!B39+Lumbermens!B39+'Memorial Service'!B39+NNIC!B39+Reliance!B39+'Standard Life IN'!B39+Time!B39+'Universal Health Care'!B39</f>
        <v>30490369.209894273</v>
      </c>
      <c r="C39" s="1">
        <f>+'AF&amp;L'!C39+'Colorado Health'!C39+'Compass (dbs Meritus)'!C39+'Consumers Choice'!C39+CoOportunity!C39+'Coordinated Hlth'!C39+'Executive Life'!C39+ELNY!C39+'First Natl (Thrnr)'!C39+'Freelancers CO-OP'!C39+HealthyCT!C39+'Land of Lincoln'!C39+'Lincoln Memorial'!C39+Lumbermens!C39+'Memorial Service'!C39+NNIC!C39+Reliance!C39+'Standard Life IN'!C39+Time!C39+'Universal Health Care'!C39</f>
        <v>86966609.308299616</v>
      </c>
      <c r="D39" s="1">
        <f>+'AF&amp;L'!D39+'Colorado Health'!D39+'Compass (dbs Meritus)'!D39+'Consumers Choice'!D39+CoOportunity!D39+'Coordinated Hlth'!D39+'Executive Life'!D39+ELNY!D39+'First Natl (Thrnr)'!D39+'Freelancers CO-OP'!D39+HealthyCT!D39+'Land of Lincoln'!D39+'Lincoln Memorial'!D39+Lumbermens!D39+'Memorial Service'!D39+NNIC!D39+Reliance!D39+'Standard Life IN'!D39+Time!D39+'Universal Health Care'!D39</f>
        <v>628950.415132778</v>
      </c>
      <c r="E39" s="1">
        <f>+'AF&amp;L'!E39+'Colorado Health'!E39+'Compass (dbs Meritus)'!E39+'Consumers Choice'!E39+CoOportunity!E39+'Coordinated Hlth'!E39+'Executive Life'!E39+ELNY!E39+'First Natl (Thrnr)'!E39+'Freelancers CO-OP'!E39+HealthyCT!E39+'Land of Lincoln'!E39+'Lincoln Memorial'!E39+Lumbermens!E39+'Memorial Service'!E39+NNIC!E39+Reliance!E39+'Standard Life IN'!E39+Time!E39+'Universal Health Care'!E39</f>
        <v>0</v>
      </c>
      <c r="F39" s="1">
        <f>+'AF&amp;L'!F39+'Colorado Health'!F39+'Compass (dbs Meritus)'!F39+'Consumers Choice'!F39+CoOportunity!F39+'Coordinated Hlth'!F39+'Executive Life'!F39+ELNY!F39+'First Natl (Thrnr)'!F39+'Freelancers CO-OP'!F39+HealthyCT!F39+'Land of Lincoln'!F39+'Lincoln Memorial'!F39+Lumbermens!F39+'Memorial Service'!F39+NNIC!F39+Reliance!F39+'Standard Life IN'!F39+Time!F39+'Universal Health Care'!F39</f>
        <v>0</v>
      </c>
      <c r="G39" s="1">
        <f t="shared" si="2"/>
        <v>118085928.93332666</v>
      </c>
      <c r="H39" s="1">
        <f>+'AF&amp;L'!G39+'Colorado Health'!G39+'Compass (dbs Meritus)'!G39+'Consumers Choice'!G39+CoOportunity!G39+'Coordinated Hlth'!G39+'Executive Life'!G39+ELNY!G39+'First Natl (Thrnr)'!G39+'Freelancers CO-OP'!G39+HealthyCT!G39+'Land of Lincoln'!G39+'Lincoln Memorial'!G39+Lumbermens!G39+'Memorial Service'!G39+NNIC!G39+Reliance!G39+'Standard Life IN'!G39+Time!G39+'Universal Health Care'!G39</f>
        <v>118085928.93332668</v>
      </c>
      <c r="I39" s="1">
        <f t="shared" si="3"/>
        <v>0</v>
      </c>
    </row>
    <row r="40" spans="1:9">
      <c r="A40" s="1" t="s">
        <v>61</v>
      </c>
      <c r="B40" s="1">
        <f>+'AF&amp;L'!B40+'Colorado Health'!B40+'Compass (dbs Meritus)'!B40+'Consumers Choice'!B40+CoOportunity!B40+'Coordinated Hlth'!B40+'Executive Life'!B40+ELNY!B40+'First Natl (Thrnr)'!B40+'Freelancers CO-OP'!B40+HealthyCT!B40+'Land of Lincoln'!B40+'Lincoln Memorial'!B40+Lumbermens!B40+'Memorial Service'!B40+NNIC!B40+Reliance!B40+'Standard Life IN'!B40+Time!B40+'Universal Health Care'!B40</f>
        <v>3236840.1850505034</v>
      </c>
      <c r="C40" s="1">
        <f>+'AF&amp;L'!C40+'Colorado Health'!C40+'Compass (dbs Meritus)'!C40+'Consumers Choice'!C40+CoOportunity!C40+'Coordinated Hlth'!C40+'Executive Life'!C40+ELNY!C40+'First Natl (Thrnr)'!C40+'Freelancers CO-OP'!C40+HealthyCT!C40+'Land of Lincoln'!C40+'Lincoln Memorial'!C40+Lumbermens!C40+'Memorial Service'!C40+NNIC!C40+Reliance!C40+'Standard Life IN'!C40+Time!C40+'Universal Health Care'!C40</f>
        <v>4915108.0035994863</v>
      </c>
      <c r="D40" s="1">
        <f>+'AF&amp;L'!D40+'Colorado Health'!D40+'Compass (dbs Meritus)'!D40+'Consumers Choice'!D40+CoOportunity!D40+'Coordinated Hlth'!D40+'Executive Life'!D40+ELNY!D40+'First Natl (Thrnr)'!D40+'Freelancers CO-OP'!D40+HealthyCT!D40+'Land of Lincoln'!D40+'Lincoln Memorial'!D40+Lumbermens!D40+'Memorial Service'!D40+NNIC!D40+Reliance!D40+'Standard Life IN'!D40+Time!D40+'Universal Health Care'!D40</f>
        <v>18722.005809840324</v>
      </c>
      <c r="E40" s="1">
        <f>+'AF&amp;L'!E40+'Colorado Health'!E40+'Compass (dbs Meritus)'!E40+'Consumers Choice'!E40+CoOportunity!E40+'Coordinated Hlth'!E40+'Executive Life'!E40+ELNY!E40+'First Natl (Thrnr)'!E40+'Freelancers CO-OP'!E40+HealthyCT!E40+'Land of Lincoln'!E40+'Lincoln Memorial'!E40+Lumbermens!E40+'Memorial Service'!E40+NNIC!E40+Reliance!E40+'Standard Life IN'!E40+Time!E40+'Universal Health Care'!E40</f>
        <v>29128.826466424933</v>
      </c>
      <c r="F40" s="1">
        <f>+'AF&amp;L'!F40+'Colorado Health'!F40+'Compass (dbs Meritus)'!F40+'Consumers Choice'!F40+CoOportunity!F40+'Coordinated Hlth'!F40+'Executive Life'!F40+ELNY!F40+'First Natl (Thrnr)'!F40+'Freelancers CO-OP'!F40+HealthyCT!F40+'Land of Lincoln'!F40+'Lincoln Memorial'!F40+Lumbermens!F40+'Memorial Service'!F40+NNIC!F40+Reliance!F40+'Standard Life IN'!F40+Time!F40+'Universal Health Care'!F40</f>
        <v>0</v>
      </c>
      <c r="G40" s="1">
        <f t="shared" si="2"/>
        <v>8199799.0209262557</v>
      </c>
      <c r="H40" s="1">
        <f>+'AF&amp;L'!G40+'Colorado Health'!G40+'Compass (dbs Meritus)'!G40+'Consumers Choice'!G40+CoOportunity!G40+'Coordinated Hlth'!G40+'Executive Life'!G40+ELNY!G40+'First Natl (Thrnr)'!G40+'Freelancers CO-OP'!G40+HealthyCT!G40+'Land of Lincoln'!G40+'Lincoln Memorial'!G40+Lumbermens!G40+'Memorial Service'!G40+NNIC!G40+Reliance!G40+'Standard Life IN'!G40+Time!G40+'Universal Health Care'!G40</f>
        <v>8199799.0209262548</v>
      </c>
      <c r="I40" s="1">
        <f t="shared" si="3"/>
        <v>0</v>
      </c>
    </row>
    <row r="41" spans="1:9">
      <c r="A41" s="1" t="s">
        <v>62</v>
      </c>
      <c r="B41" s="1">
        <f>+'AF&amp;L'!B41+'Colorado Health'!B41+'Compass (dbs Meritus)'!B41+'Consumers Choice'!B41+CoOportunity!B41+'Coordinated Hlth'!B41+'Executive Life'!B41+ELNY!B41+'First Natl (Thrnr)'!B41+'Freelancers CO-OP'!B41+HealthyCT!B41+'Land of Lincoln'!B41+'Lincoln Memorial'!B41+Lumbermens!B41+'Memorial Service'!B41+NNIC!B41+Reliance!B41+'Standard Life IN'!B41+Time!B41+'Universal Health Care'!B41</f>
        <v>38597094.205054209</v>
      </c>
      <c r="C41" s="1">
        <f>+'AF&amp;L'!C41+'Colorado Health'!C41+'Compass (dbs Meritus)'!C41+'Consumers Choice'!C41+CoOportunity!C41+'Coordinated Hlth'!C41+'Executive Life'!C41+ELNY!C41+'First Natl (Thrnr)'!C41+'Freelancers CO-OP'!C41+HealthyCT!C41+'Land of Lincoln'!C41+'Lincoln Memorial'!C41+Lumbermens!C41+'Memorial Service'!C41+NNIC!C41+Reliance!C41+'Standard Life IN'!C41+Time!C41+'Universal Health Care'!C41</f>
        <v>41639569.574950263</v>
      </c>
      <c r="D41" s="1">
        <f>+'AF&amp;L'!D41+'Colorado Health'!D41+'Compass (dbs Meritus)'!D41+'Consumers Choice'!D41+CoOportunity!D41+'Coordinated Hlth'!D41+'Executive Life'!D41+ELNY!D41+'First Natl (Thrnr)'!D41+'Freelancers CO-OP'!D41+HealthyCT!D41+'Land of Lincoln'!D41+'Lincoln Memorial'!D41+Lumbermens!D41+'Memorial Service'!D41+NNIC!D41+Reliance!D41+'Standard Life IN'!D41+Time!D41+'Universal Health Care'!D41</f>
        <v>9724579.6362964623</v>
      </c>
      <c r="E41" s="1">
        <f>+'AF&amp;L'!E41+'Colorado Health'!E41+'Compass (dbs Meritus)'!E41+'Consumers Choice'!E41+CoOportunity!E41+'Coordinated Hlth'!E41+'Executive Life'!E41+ELNY!E41+'First Natl (Thrnr)'!E41+'Freelancers CO-OP'!E41+HealthyCT!E41+'Land of Lincoln'!E41+'Lincoln Memorial'!E41+Lumbermens!E41+'Memorial Service'!E41+NNIC!E41+Reliance!E41+'Standard Life IN'!E41+Time!E41+'Universal Health Care'!E41</f>
        <v>1844197.6932919954</v>
      </c>
      <c r="F41" s="1">
        <f>+'AF&amp;L'!F41+'Colorado Health'!F41+'Compass (dbs Meritus)'!F41+'Consumers Choice'!F41+CoOportunity!F41+'Coordinated Hlth'!F41+'Executive Life'!F41+ELNY!F41+'First Natl (Thrnr)'!F41+'Freelancers CO-OP'!F41+HealthyCT!F41+'Land of Lincoln'!F41+'Lincoln Memorial'!F41+Lumbermens!F41+'Memorial Service'!F41+NNIC!F41+Reliance!F41+'Standard Life IN'!F41+Time!F41+'Universal Health Care'!F41</f>
        <v>0</v>
      </c>
      <c r="G41" s="1">
        <f t="shared" si="2"/>
        <v>91805441.109592929</v>
      </c>
      <c r="H41" s="1">
        <f>+'AF&amp;L'!G41+'Colorado Health'!G41+'Compass (dbs Meritus)'!G41+'Consumers Choice'!G41+CoOportunity!G41+'Coordinated Hlth'!G41+'Executive Life'!G41+ELNY!G41+'First Natl (Thrnr)'!G41+'Freelancers CO-OP'!G41+HealthyCT!G41+'Land of Lincoln'!G41+'Lincoln Memorial'!G41+Lumbermens!G41+'Memorial Service'!G41+NNIC!G41+Reliance!G41+'Standard Life IN'!G41+Time!G41+'Universal Health Care'!G41</f>
        <v>91805441.109592929</v>
      </c>
      <c r="I41" s="1">
        <f t="shared" si="3"/>
        <v>0</v>
      </c>
    </row>
    <row r="42" spans="1:9">
      <c r="A42" s="1" t="s">
        <v>63</v>
      </c>
      <c r="B42" s="1">
        <f>+'AF&amp;L'!B42+'Colorado Health'!B42+'Compass (dbs Meritus)'!B42+'Consumers Choice'!B42+CoOportunity!B42+'Coordinated Hlth'!B42+'Executive Life'!B42+ELNY!B42+'First Natl (Thrnr)'!B42+'Freelancers CO-OP'!B42+HealthyCT!B42+'Land of Lincoln'!B42+'Lincoln Memorial'!B42+Lumbermens!B42+'Memorial Service'!B42+NNIC!B42+Reliance!B42+'Standard Life IN'!B42+Time!B42+'Universal Health Care'!B42</f>
        <v>20038201.954815816</v>
      </c>
      <c r="C42" s="1">
        <f>+'AF&amp;L'!C42+'Colorado Health'!C42+'Compass (dbs Meritus)'!C42+'Consumers Choice'!C42+CoOportunity!C42+'Coordinated Hlth'!C42+'Executive Life'!C42+ELNY!C42+'First Natl (Thrnr)'!C42+'Freelancers CO-OP'!C42+HealthyCT!C42+'Land of Lincoln'!C42+'Lincoln Memorial'!C42+Lumbermens!C42+'Memorial Service'!C42+NNIC!C42+Reliance!C42+'Standard Life IN'!C42+Time!C42+'Universal Health Care'!C42</f>
        <v>18326313.11614389</v>
      </c>
      <c r="D42" s="1">
        <f>+'AF&amp;L'!D42+'Colorado Health'!D42+'Compass (dbs Meritus)'!D42+'Consumers Choice'!D42+CoOportunity!D42+'Coordinated Hlth'!D42+'Executive Life'!D42+ELNY!D42+'First Natl (Thrnr)'!D42+'Freelancers CO-OP'!D42+HealthyCT!D42+'Land of Lincoln'!D42+'Lincoln Memorial'!D42+Lumbermens!D42+'Memorial Service'!D42+NNIC!D42+Reliance!D42+'Standard Life IN'!D42+Time!D42+'Universal Health Care'!D42</f>
        <v>18052.971311695961</v>
      </c>
      <c r="E42" s="1">
        <f>+'AF&amp;L'!E42+'Colorado Health'!E42+'Compass (dbs Meritus)'!E42+'Consumers Choice'!E42+CoOportunity!E42+'Coordinated Hlth'!E42+'Executive Life'!E42+ELNY!E42+'First Natl (Thrnr)'!E42+'Freelancers CO-OP'!E42+HealthyCT!E42+'Land of Lincoln'!E42+'Lincoln Memorial'!E42+Lumbermens!E42+'Memorial Service'!E42+NNIC!E42+Reliance!E42+'Standard Life IN'!E42+Time!E42+'Universal Health Care'!E42</f>
        <v>0</v>
      </c>
      <c r="F42" s="1">
        <f>+'AF&amp;L'!F42+'Colorado Health'!F42+'Compass (dbs Meritus)'!F42+'Consumers Choice'!F42+CoOportunity!F42+'Coordinated Hlth'!F42+'Executive Life'!F42+ELNY!F42+'First Natl (Thrnr)'!F42+'Freelancers CO-OP'!F42+HealthyCT!F42+'Land of Lincoln'!F42+'Lincoln Memorial'!F42+Lumbermens!F42+'Memorial Service'!F42+NNIC!F42+Reliance!F42+'Standard Life IN'!F42+Time!F42+'Universal Health Care'!F42</f>
        <v>0</v>
      </c>
      <c r="G42" s="1">
        <f t="shared" si="2"/>
        <v>38382568.042271398</v>
      </c>
      <c r="H42" s="1">
        <f>+'AF&amp;L'!G42+'Colorado Health'!G42+'Compass (dbs Meritus)'!G42+'Consumers Choice'!G42+CoOportunity!G42+'Coordinated Hlth'!G42+'Executive Life'!G42+ELNY!G42+'First Natl (Thrnr)'!G42+'Freelancers CO-OP'!G42+HealthyCT!G42+'Land of Lincoln'!G42+'Lincoln Memorial'!G42+Lumbermens!G42+'Memorial Service'!G42+NNIC!G42+Reliance!G42+'Standard Life IN'!G42+Time!G42+'Universal Health Care'!G42</f>
        <v>38382568.042271405</v>
      </c>
      <c r="I42" s="1">
        <f t="shared" si="3"/>
        <v>0</v>
      </c>
    </row>
    <row r="43" spans="1:9">
      <c r="A43" s="1" t="s">
        <v>64</v>
      </c>
      <c r="B43" s="1">
        <f>+'AF&amp;L'!B43+'Colorado Health'!B43+'Compass (dbs Meritus)'!B43+'Consumers Choice'!B43+CoOportunity!B43+'Coordinated Hlth'!B43+'Executive Life'!B43+ELNY!B43+'First Natl (Thrnr)'!B43+'Freelancers CO-OP'!B43+HealthyCT!B43+'Land of Lincoln'!B43+'Lincoln Memorial'!B43+Lumbermens!B43+'Memorial Service'!B43+NNIC!B43+Reliance!B43+'Standard Life IN'!B43+Time!B43+'Universal Health Care'!B43</f>
        <v>15091372.653807102</v>
      </c>
      <c r="C43" s="1">
        <f>+'AF&amp;L'!C43+'Colorado Health'!C43+'Compass (dbs Meritus)'!C43+'Consumers Choice'!C43+CoOportunity!C43+'Coordinated Hlth'!C43+'Executive Life'!C43+ELNY!C43+'First Natl (Thrnr)'!C43+'Freelancers CO-OP'!C43+HealthyCT!C43+'Land of Lincoln'!C43+'Lincoln Memorial'!C43+Lumbermens!C43+'Memorial Service'!C43+NNIC!C43+Reliance!C43+'Standard Life IN'!C43+Time!C43+'Universal Health Care'!C43</f>
        <v>16881489.510889936</v>
      </c>
      <c r="D43" s="1">
        <f>+'AF&amp;L'!D43+'Colorado Health'!D43+'Compass (dbs Meritus)'!D43+'Consumers Choice'!D43+CoOportunity!D43+'Coordinated Hlth'!D43+'Executive Life'!D43+ELNY!D43+'First Natl (Thrnr)'!D43+'Freelancers CO-OP'!D43+HealthyCT!D43+'Land of Lincoln'!D43+'Lincoln Memorial'!D43+Lumbermens!D43+'Memorial Service'!D43+NNIC!D43+Reliance!D43+'Standard Life IN'!D43+Time!D43+'Universal Health Care'!D43</f>
        <v>75357.180475588117</v>
      </c>
      <c r="E43" s="1">
        <f>+'AF&amp;L'!E43+'Colorado Health'!E43+'Compass (dbs Meritus)'!E43+'Consumers Choice'!E43+CoOportunity!E43+'Coordinated Hlth'!E43+'Executive Life'!E43+ELNY!E43+'First Natl (Thrnr)'!E43+'Freelancers CO-OP'!E43+HealthyCT!E43+'Land of Lincoln'!E43+'Lincoln Memorial'!E43+Lumbermens!E43+'Memorial Service'!E43+NNIC!E43+Reliance!E43+'Standard Life IN'!E43+Time!E43+'Universal Health Care'!E43</f>
        <v>0</v>
      </c>
      <c r="F43" s="1">
        <f>+'AF&amp;L'!F43+'Colorado Health'!F43+'Compass (dbs Meritus)'!F43+'Consumers Choice'!F43+CoOportunity!F43+'Coordinated Hlth'!F43+'Executive Life'!F43+ELNY!F43+'First Natl (Thrnr)'!F43+'Freelancers CO-OP'!F43+HealthyCT!F43+'Land of Lincoln'!F43+'Lincoln Memorial'!F43+Lumbermens!F43+'Memorial Service'!F43+NNIC!F43+Reliance!F43+'Standard Life IN'!F43+Time!F43+'Universal Health Care'!F43</f>
        <v>0</v>
      </c>
      <c r="G43" s="1">
        <f t="shared" si="2"/>
        <v>32048219.345172625</v>
      </c>
      <c r="H43" s="1">
        <f>+'AF&amp;L'!G43+'Colorado Health'!G43+'Compass (dbs Meritus)'!G43+'Consumers Choice'!G43+CoOportunity!G43+'Coordinated Hlth'!G43+'Executive Life'!G43+ELNY!G43+'First Natl (Thrnr)'!G43+'Freelancers CO-OP'!G43+HealthyCT!G43+'Land of Lincoln'!G43+'Lincoln Memorial'!G43+Lumbermens!G43+'Memorial Service'!G43+NNIC!G43+Reliance!G43+'Standard Life IN'!G43+Time!G43+'Universal Health Care'!G43</f>
        <v>32048219.345172629</v>
      </c>
      <c r="I43" s="1">
        <f t="shared" si="3"/>
        <v>0</v>
      </c>
    </row>
    <row r="44" spans="1:9">
      <c r="A44" s="1" t="s">
        <v>65</v>
      </c>
      <c r="B44" s="1">
        <f>+'AF&amp;L'!B44+'Colorado Health'!B44+'Compass (dbs Meritus)'!B44+'Consumers Choice'!B44+CoOportunity!B44+'Coordinated Hlth'!B44+'Executive Life'!B44+ELNY!B44+'First Natl (Thrnr)'!B44+'Freelancers CO-OP'!B44+HealthyCT!B44+'Land of Lincoln'!B44+'Lincoln Memorial'!B44+Lumbermens!B44+'Memorial Service'!B44+NNIC!B44+Reliance!B44+'Standard Life IN'!B44+Time!B44+'Universal Health Care'!B44</f>
        <v>46870558.520390771</v>
      </c>
      <c r="C44" s="1">
        <f>+'AF&amp;L'!C44+'Colorado Health'!C44+'Compass (dbs Meritus)'!C44+'Consumers Choice'!C44+CoOportunity!C44+'Coordinated Hlth'!C44+'Executive Life'!C44+ELNY!C44+'First Natl (Thrnr)'!C44+'Freelancers CO-OP'!C44+HealthyCT!C44+'Land of Lincoln'!C44+'Lincoln Memorial'!C44+Lumbermens!C44+'Memorial Service'!C44+NNIC!C44+Reliance!C44+'Standard Life IN'!C44+Time!C44+'Universal Health Care'!C44</f>
        <v>209447241.13749582</v>
      </c>
      <c r="D44" s="1">
        <f>+'AF&amp;L'!D44+'Colorado Health'!D44+'Compass (dbs Meritus)'!D44+'Consumers Choice'!D44+CoOportunity!D44+'Coordinated Hlth'!D44+'Executive Life'!D44+ELNY!D44+'First Natl (Thrnr)'!D44+'Freelancers CO-OP'!D44+HealthyCT!D44+'Land of Lincoln'!D44+'Lincoln Memorial'!D44+Lumbermens!D44+'Memorial Service'!D44+NNIC!D44+Reliance!D44+'Standard Life IN'!D44+Time!D44+'Universal Health Care'!D44</f>
        <v>1843472.8050234669</v>
      </c>
      <c r="E44" s="1">
        <f>+'AF&amp;L'!E44+'Colorado Health'!E44+'Compass (dbs Meritus)'!E44+'Consumers Choice'!E44+CoOportunity!E44+'Coordinated Hlth'!E44+'Executive Life'!E44+ELNY!E44+'First Natl (Thrnr)'!E44+'Freelancers CO-OP'!E44+HealthyCT!E44+'Land of Lincoln'!E44+'Lincoln Memorial'!E44+Lumbermens!E44+'Memorial Service'!E44+NNIC!E44+Reliance!E44+'Standard Life IN'!E44+Time!E44+'Universal Health Care'!E44</f>
        <v>0</v>
      </c>
      <c r="F44" s="1">
        <f>+'AF&amp;L'!F44+'Colorado Health'!F44+'Compass (dbs Meritus)'!F44+'Consumers Choice'!F44+CoOportunity!F44+'Coordinated Hlth'!F44+'Executive Life'!F44+ELNY!F44+'First Natl (Thrnr)'!F44+'Freelancers CO-OP'!F44+HealthyCT!F44+'Land of Lincoln'!F44+'Lincoln Memorial'!F44+Lumbermens!F44+'Memorial Service'!F44+NNIC!F44+Reliance!F44+'Standard Life IN'!F44+Time!F44+'Universal Health Care'!F44</f>
        <v>0</v>
      </c>
      <c r="G44" s="1">
        <f t="shared" si="2"/>
        <v>258161272.46291006</v>
      </c>
      <c r="H44" s="1">
        <f>+'AF&amp;L'!G44+'Colorado Health'!G44+'Compass (dbs Meritus)'!G44+'Consumers Choice'!G44+CoOportunity!G44+'Coordinated Hlth'!G44+'Executive Life'!G44+ELNY!G44+'First Natl (Thrnr)'!G44+'Freelancers CO-OP'!G44+HealthyCT!G44+'Land of Lincoln'!G44+'Lincoln Memorial'!G44+Lumbermens!G44+'Memorial Service'!G44+NNIC!G44+Reliance!G44+'Standard Life IN'!G44+Time!G44+'Universal Health Care'!G44</f>
        <v>258161272.46291003</v>
      </c>
      <c r="I44" s="1">
        <f t="shared" si="3"/>
        <v>0</v>
      </c>
    </row>
    <row r="45" spans="1:9">
      <c r="A45" s="1" t="s">
        <v>66</v>
      </c>
      <c r="B45" s="1">
        <f>+'AF&amp;L'!B45+'Colorado Health'!B45+'Compass (dbs Meritus)'!B45+'Consumers Choice'!B45+CoOportunity!B45+'Coordinated Hlth'!B45+'Executive Life'!B45+ELNY!B45+'First Natl (Thrnr)'!B45+'Freelancers CO-OP'!B45+HealthyCT!B45+'Land of Lincoln'!B45+'Lincoln Memorial'!B45+Lumbermens!B45+'Memorial Service'!B45+NNIC!B45+Reliance!B45+'Standard Life IN'!B45+Time!B45+'Universal Health Care'!B45</f>
        <v>557702.07338675496</v>
      </c>
      <c r="C45" s="1">
        <f>+'AF&amp;L'!C45+'Colorado Health'!C45+'Compass (dbs Meritus)'!C45+'Consumers Choice'!C45+CoOportunity!C45+'Coordinated Hlth'!C45+'Executive Life'!C45+ELNY!C45+'First Natl (Thrnr)'!C45+'Freelancers CO-OP'!C45+HealthyCT!C45+'Land of Lincoln'!C45+'Lincoln Memorial'!C45+Lumbermens!C45+'Memorial Service'!C45+NNIC!C45+Reliance!C45+'Standard Life IN'!C45+Time!C45+'Universal Health Care'!C45</f>
        <v>484604.25455554324</v>
      </c>
      <c r="D45" s="1">
        <f>+'AF&amp;L'!D45+'Colorado Health'!D45+'Compass (dbs Meritus)'!D45+'Consumers Choice'!D45+CoOportunity!D45+'Coordinated Hlth'!D45+'Executive Life'!D45+ELNY!D45+'First Natl (Thrnr)'!D45+'Freelancers CO-OP'!D45+HealthyCT!D45+'Land of Lincoln'!D45+'Lincoln Memorial'!D45+Lumbermens!D45+'Memorial Service'!D45+NNIC!D45+Reliance!D45+'Standard Life IN'!D45+Time!D45+'Universal Health Care'!D45</f>
        <v>0</v>
      </c>
      <c r="E45" s="1">
        <f>+'AF&amp;L'!E45+'Colorado Health'!E45+'Compass (dbs Meritus)'!E45+'Consumers Choice'!E45+CoOportunity!E45+'Coordinated Hlth'!E45+'Executive Life'!E45+ELNY!E45+'First Natl (Thrnr)'!E45+'Freelancers CO-OP'!E45+HealthyCT!E45+'Land of Lincoln'!E45+'Lincoln Memorial'!E45+Lumbermens!E45+'Memorial Service'!E45+NNIC!E45+Reliance!E45+'Standard Life IN'!E45+Time!E45+'Universal Health Care'!E45</f>
        <v>0</v>
      </c>
      <c r="F45" s="1">
        <f>+'AF&amp;L'!F45+'Colorado Health'!F45+'Compass (dbs Meritus)'!F45+'Consumers Choice'!F45+CoOportunity!F45+'Coordinated Hlth'!F45+'Executive Life'!F45+ELNY!F45+'First Natl (Thrnr)'!F45+'Freelancers CO-OP'!F45+HealthyCT!F45+'Land of Lincoln'!F45+'Lincoln Memorial'!F45+Lumbermens!F45+'Memorial Service'!F45+NNIC!F45+Reliance!F45+'Standard Life IN'!F45+Time!F45+'Universal Health Care'!F45</f>
        <v>0</v>
      </c>
      <c r="G45" s="1">
        <f t="shared" si="2"/>
        <v>1042306.3279422983</v>
      </c>
      <c r="H45" s="1">
        <f>+'AF&amp;L'!G45+'Colorado Health'!G45+'Compass (dbs Meritus)'!G45+'Consumers Choice'!G45+CoOportunity!G45+'Coordinated Hlth'!G45+'Executive Life'!G45+ELNY!G45+'First Natl (Thrnr)'!G45+'Freelancers CO-OP'!G45+HealthyCT!G45+'Land of Lincoln'!G45+'Lincoln Memorial'!G45+Lumbermens!G45+'Memorial Service'!G45+NNIC!G45+Reliance!G45+'Standard Life IN'!G45+Time!G45+'Universal Health Care'!G45</f>
        <v>1042306.3279422983</v>
      </c>
      <c r="I45" s="1">
        <f t="shared" si="3"/>
        <v>0</v>
      </c>
    </row>
    <row r="46" spans="1:9">
      <c r="A46" s="1" t="s">
        <v>67</v>
      </c>
      <c r="B46" s="1">
        <f>+'AF&amp;L'!B46+'Colorado Health'!B46+'Compass (dbs Meritus)'!B46+'Consumers Choice'!B46+CoOportunity!B46+'Coordinated Hlth'!B46+'Executive Life'!B46+ELNY!B46+'First Natl (Thrnr)'!B46+'Freelancers CO-OP'!B46+HealthyCT!B46+'Land of Lincoln'!B46+'Lincoln Memorial'!B46+Lumbermens!B46+'Memorial Service'!B46+NNIC!B46+Reliance!B46+'Standard Life IN'!B46+Time!B46+'Universal Health Care'!B46</f>
        <v>3133635.8099814919</v>
      </c>
      <c r="C46" s="1">
        <f>+'AF&amp;L'!C46+'Colorado Health'!C46+'Compass (dbs Meritus)'!C46+'Consumers Choice'!C46+CoOportunity!C46+'Coordinated Hlth'!C46+'Executive Life'!C46+ELNY!C46+'First Natl (Thrnr)'!C46+'Freelancers CO-OP'!C46+HealthyCT!C46+'Land of Lincoln'!C46+'Lincoln Memorial'!C46+Lumbermens!C46+'Memorial Service'!C46+NNIC!C46+Reliance!C46+'Standard Life IN'!C46+Time!C46+'Universal Health Care'!C46</f>
        <v>25941035.654163871</v>
      </c>
      <c r="D46" s="1">
        <f>+'AF&amp;L'!D46+'Colorado Health'!D46+'Compass (dbs Meritus)'!D46+'Consumers Choice'!D46+CoOportunity!D46+'Coordinated Hlth'!D46+'Executive Life'!D46+ELNY!D46+'First Natl (Thrnr)'!D46+'Freelancers CO-OP'!D46+HealthyCT!D46+'Land of Lincoln'!D46+'Lincoln Memorial'!D46+Lumbermens!D46+'Memorial Service'!D46+NNIC!D46+Reliance!D46+'Standard Life IN'!D46+Time!D46+'Universal Health Care'!D46</f>
        <v>62380.034077263175</v>
      </c>
      <c r="E46" s="1">
        <f>+'AF&amp;L'!E46+'Colorado Health'!E46+'Compass (dbs Meritus)'!E46+'Consumers Choice'!E46+CoOportunity!E46+'Coordinated Hlth'!E46+'Executive Life'!E46+ELNY!E46+'First Natl (Thrnr)'!E46+'Freelancers CO-OP'!E46+HealthyCT!E46+'Land of Lincoln'!E46+'Lincoln Memorial'!E46+Lumbermens!E46+'Memorial Service'!E46+NNIC!E46+Reliance!E46+'Standard Life IN'!E46+Time!E46+'Universal Health Care'!E46</f>
        <v>0</v>
      </c>
      <c r="F46" s="1">
        <f>+'AF&amp;L'!F46+'Colorado Health'!F46+'Compass (dbs Meritus)'!F46+'Consumers Choice'!F46+CoOportunity!F46+'Coordinated Hlth'!F46+'Executive Life'!F46+ELNY!F46+'First Natl (Thrnr)'!F46+'Freelancers CO-OP'!F46+HealthyCT!F46+'Land of Lincoln'!F46+'Lincoln Memorial'!F46+Lumbermens!F46+'Memorial Service'!F46+NNIC!F46+Reliance!F46+'Standard Life IN'!F46+Time!F46+'Universal Health Care'!F46</f>
        <v>0</v>
      </c>
      <c r="G46" s="1">
        <f t="shared" si="2"/>
        <v>29137051.498222627</v>
      </c>
      <c r="H46" s="1">
        <f>+'AF&amp;L'!G46+'Colorado Health'!G46+'Compass (dbs Meritus)'!G46+'Consumers Choice'!G46+CoOportunity!G46+'Coordinated Hlth'!G46+'Executive Life'!G46+ELNY!G46+'First Natl (Thrnr)'!G46+'Freelancers CO-OP'!G46+HealthyCT!G46+'Land of Lincoln'!G46+'Lincoln Memorial'!G46+Lumbermens!G46+'Memorial Service'!G46+NNIC!G46+Reliance!G46+'Standard Life IN'!G46+Time!G46+'Universal Health Care'!G46</f>
        <v>29137051.498222627</v>
      </c>
      <c r="I46" s="1">
        <f t="shared" si="3"/>
        <v>0</v>
      </c>
    </row>
    <row r="47" spans="1:9">
      <c r="A47" s="1" t="s">
        <v>68</v>
      </c>
      <c r="B47" s="1">
        <f>+'AF&amp;L'!B47+'Colorado Health'!B47+'Compass (dbs Meritus)'!B47+'Consumers Choice'!B47+CoOportunity!B47+'Coordinated Hlth'!B47+'Executive Life'!B47+ELNY!B47+'First Natl (Thrnr)'!B47+'Freelancers CO-OP'!B47+HealthyCT!B47+'Land of Lincoln'!B47+'Lincoln Memorial'!B47+Lumbermens!B47+'Memorial Service'!B47+NNIC!B47+Reliance!B47+'Standard Life IN'!B47+Time!B47+'Universal Health Care'!B47</f>
        <v>16346733.402721103</v>
      </c>
      <c r="C47" s="1">
        <f>+'AF&amp;L'!C47+'Colorado Health'!C47+'Compass (dbs Meritus)'!C47+'Consumers Choice'!C47+CoOportunity!C47+'Coordinated Hlth'!C47+'Executive Life'!C47+ELNY!C47+'First Natl (Thrnr)'!C47+'Freelancers CO-OP'!C47+HealthyCT!C47+'Land of Lincoln'!C47+'Lincoln Memorial'!C47+Lumbermens!C47+'Memorial Service'!C47+NNIC!C47+Reliance!C47+'Standard Life IN'!C47+Time!C47+'Universal Health Care'!C47</f>
        <v>22511973.780471206</v>
      </c>
      <c r="D47" s="1">
        <f>+'AF&amp;L'!D47+'Colorado Health'!D47+'Compass (dbs Meritus)'!D47+'Consumers Choice'!D47+CoOportunity!D47+'Coordinated Hlth'!D47+'Executive Life'!D47+ELNY!D47+'First Natl (Thrnr)'!D47+'Freelancers CO-OP'!D47+HealthyCT!D47+'Land of Lincoln'!D47+'Lincoln Memorial'!D47+Lumbermens!D47+'Memorial Service'!D47+NNIC!D47+Reliance!D47+'Standard Life IN'!D47+Time!D47+'Universal Health Care'!D47</f>
        <v>35210465.912553906</v>
      </c>
      <c r="E47" s="1">
        <f>+'AF&amp;L'!E47+'Colorado Health'!E47+'Compass (dbs Meritus)'!E47+'Consumers Choice'!E47+CoOportunity!E47+'Coordinated Hlth'!E47+'Executive Life'!E47+ELNY!E47+'First Natl (Thrnr)'!E47+'Freelancers CO-OP'!E47+HealthyCT!E47+'Land of Lincoln'!E47+'Lincoln Memorial'!E47+Lumbermens!E47+'Memorial Service'!E47+NNIC!E47+Reliance!E47+'Standard Life IN'!E47+Time!E47+'Universal Health Care'!E47</f>
        <v>0</v>
      </c>
      <c r="F47" s="1">
        <f>+'AF&amp;L'!F47+'Colorado Health'!F47+'Compass (dbs Meritus)'!F47+'Consumers Choice'!F47+CoOportunity!F47+'Coordinated Hlth'!F47+'Executive Life'!F47+ELNY!F47+'First Natl (Thrnr)'!F47+'Freelancers CO-OP'!F47+HealthyCT!F47+'Land of Lincoln'!F47+'Lincoln Memorial'!F47+Lumbermens!F47+'Memorial Service'!F47+NNIC!F47+Reliance!F47+'Standard Life IN'!F47+Time!F47+'Universal Health Care'!F47</f>
        <v>0</v>
      </c>
      <c r="G47" s="1">
        <f t="shared" si="2"/>
        <v>74069173.095746219</v>
      </c>
      <c r="H47" s="1">
        <f>+'AF&amp;L'!G47+'Colorado Health'!G47+'Compass (dbs Meritus)'!G47+'Consumers Choice'!G47+CoOportunity!G47+'Coordinated Hlth'!G47+'Executive Life'!G47+ELNY!G47+'First Natl (Thrnr)'!G47+'Freelancers CO-OP'!G47+HealthyCT!G47+'Land of Lincoln'!G47+'Lincoln Memorial'!G47+Lumbermens!G47+'Memorial Service'!G47+NNIC!G47+Reliance!G47+'Standard Life IN'!G47+Time!G47+'Universal Health Care'!G47</f>
        <v>74069173.095746204</v>
      </c>
      <c r="I47" s="1">
        <f t="shared" si="3"/>
        <v>0</v>
      </c>
    </row>
    <row r="48" spans="1:9">
      <c r="A48" s="1" t="s">
        <v>69</v>
      </c>
      <c r="B48" s="1">
        <f>+'AF&amp;L'!B48+'Colorado Health'!B48+'Compass (dbs Meritus)'!B48+'Consumers Choice'!B48+CoOportunity!B48+'Coordinated Hlth'!B48+'Executive Life'!B48+ELNY!B48+'First Natl (Thrnr)'!B48+'Freelancers CO-OP'!B48+HealthyCT!B48+'Land of Lincoln'!B48+'Lincoln Memorial'!B48+Lumbermens!B48+'Memorial Service'!B48+NNIC!B48+Reliance!B48+'Standard Life IN'!B48+Time!B48+'Universal Health Care'!B48</f>
        <v>6627116.9186770897</v>
      </c>
      <c r="C48" s="1">
        <f>+'AF&amp;L'!C48+'Colorado Health'!C48+'Compass (dbs Meritus)'!C48+'Consumers Choice'!C48+CoOportunity!C48+'Coordinated Hlth'!C48+'Executive Life'!C48+ELNY!C48+'First Natl (Thrnr)'!C48+'Freelancers CO-OP'!C48+HealthyCT!C48+'Land of Lincoln'!C48+'Lincoln Memorial'!C48+Lumbermens!C48+'Memorial Service'!C48+NNIC!C48+Reliance!C48+'Standard Life IN'!C48+Time!C48+'Universal Health Care'!C48</f>
        <v>3586465.0539004793</v>
      </c>
      <c r="D48" s="1">
        <f>+'AF&amp;L'!D48+'Colorado Health'!D48+'Compass (dbs Meritus)'!D48+'Consumers Choice'!D48+CoOportunity!D48+'Coordinated Hlth'!D48+'Executive Life'!D48+ELNY!D48+'First Natl (Thrnr)'!D48+'Freelancers CO-OP'!D48+HealthyCT!D48+'Land of Lincoln'!D48+'Lincoln Memorial'!D48+Lumbermens!D48+'Memorial Service'!D48+NNIC!D48+Reliance!D48+'Standard Life IN'!D48+Time!D48+'Universal Health Care'!D48</f>
        <v>8301.592261074562</v>
      </c>
      <c r="E48" s="1">
        <f>+'AF&amp;L'!E48+'Colorado Health'!E48+'Compass (dbs Meritus)'!E48+'Consumers Choice'!E48+CoOportunity!E48+'Coordinated Hlth'!E48+'Executive Life'!E48+ELNY!E48+'First Natl (Thrnr)'!E48+'Freelancers CO-OP'!E48+HealthyCT!E48+'Land of Lincoln'!E48+'Lincoln Memorial'!E48+Lumbermens!E48+'Memorial Service'!E48+NNIC!E48+Reliance!E48+'Standard Life IN'!E48+Time!E48+'Universal Health Care'!E48</f>
        <v>0</v>
      </c>
      <c r="F48" s="1">
        <f>+'AF&amp;L'!F48+'Colorado Health'!F48+'Compass (dbs Meritus)'!F48+'Consumers Choice'!F48+CoOportunity!F48+'Coordinated Hlth'!F48+'Executive Life'!F48+ELNY!F48+'First Natl (Thrnr)'!F48+'Freelancers CO-OP'!F48+HealthyCT!F48+'Land of Lincoln'!F48+'Lincoln Memorial'!F48+Lumbermens!F48+'Memorial Service'!F48+NNIC!F48+Reliance!F48+'Standard Life IN'!F48+Time!F48+'Universal Health Care'!F48</f>
        <v>0</v>
      </c>
      <c r="G48" s="1">
        <f t="shared" si="2"/>
        <v>10221883.564838642</v>
      </c>
      <c r="H48" s="1">
        <f>+'AF&amp;L'!G48+'Colorado Health'!G48+'Compass (dbs Meritus)'!G48+'Consumers Choice'!G48+CoOportunity!G48+'Coordinated Hlth'!G48+'Executive Life'!G48+ELNY!G48+'First Natl (Thrnr)'!G48+'Freelancers CO-OP'!G48+HealthyCT!G48+'Land of Lincoln'!G48+'Lincoln Memorial'!G48+Lumbermens!G48+'Memorial Service'!G48+NNIC!G48+Reliance!G48+'Standard Life IN'!G48+Time!G48+'Universal Health Care'!G48</f>
        <v>10221883.564838644</v>
      </c>
      <c r="I48" s="1">
        <f t="shared" si="3"/>
        <v>0</v>
      </c>
    </row>
    <row r="49" spans="1:9">
      <c r="A49" s="1" t="s">
        <v>70</v>
      </c>
      <c r="B49" s="1">
        <f>+'AF&amp;L'!B49+'Colorado Health'!B49+'Compass (dbs Meritus)'!B49+'Consumers Choice'!B49+CoOportunity!B49+'Coordinated Hlth'!B49+'Executive Life'!B49+ELNY!B49+'First Natl (Thrnr)'!B49+'Freelancers CO-OP'!B49+HealthyCT!B49+'Land of Lincoln'!B49+'Lincoln Memorial'!B49+Lumbermens!B49+'Memorial Service'!B49+NNIC!B49+Reliance!B49+'Standard Life IN'!B49+Time!B49+'Universal Health Care'!B49</f>
        <v>27554952.788646724</v>
      </c>
      <c r="C49" s="1">
        <f>+'AF&amp;L'!C49+'Colorado Health'!C49+'Compass (dbs Meritus)'!C49+'Consumers Choice'!C49+CoOportunity!C49+'Coordinated Hlth'!C49+'Executive Life'!C49+ELNY!C49+'First Natl (Thrnr)'!C49+'Freelancers CO-OP'!C49+HealthyCT!C49+'Land of Lincoln'!C49+'Lincoln Memorial'!C49+Lumbermens!C49+'Memorial Service'!C49+NNIC!C49+Reliance!C49+'Standard Life IN'!C49+Time!C49+'Universal Health Care'!C49</f>
        <v>17185998.366239805</v>
      </c>
      <c r="D49" s="1">
        <f>+'AF&amp;L'!D49+'Colorado Health'!D49+'Compass (dbs Meritus)'!D49+'Consumers Choice'!D49+CoOportunity!D49+'Coordinated Hlth'!D49+'Executive Life'!D49+ELNY!D49+'First Natl (Thrnr)'!D49+'Freelancers CO-OP'!D49+HealthyCT!D49+'Land of Lincoln'!D49+'Lincoln Memorial'!D49+Lumbermens!D49+'Memorial Service'!D49+NNIC!D49+Reliance!D49+'Standard Life IN'!D49+Time!D49+'Universal Health Care'!D49</f>
        <v>113684.4504394243</v>
      </c>
      <c r="E49" s="1">
        <f>+'AF&amp;L'!E49+'Colorado Health'!E49+'Compass (dbs Meritus)'!E49+'Consumers Choice'!E49+CoOportunity!E49+'Coordinated Hlth'!E49+'Executive Life'!E49+ELNY!E49+'First Natl (Thrnr)'!E49+'Freelancers CO-OP'!E49+HealthyCT!E49+'Land of Lincoln'!E49+'Lincoln Memorial'!E49+Lumbermens!E49+'Memorial Service'!E49+NNIC!E49+Reliance!E49+'Standard Life IN'!E49+Time!E49+'Universal Health Care'!E49</f>
        <v>0</v>
      </c>
      <c r="F49" s="1">
        <f>+'AF&amp;L'!F49+'Colorado Health'!F49+'Compass (dbs Meritus)'!F49+'Consumers Choice'!F49+CoOportunity!F49+'Coordinated Hlth'!F49+'Executive Life'!F49+ELNY!F49+'First Natl (Thrnr)'!F49+'Freelancers CO-OP'!F49+HealthyCT!F49+'Land of Lincoln'!F49+'Lincoln Memorial'!F49+Lumbermens!F49+'Memorial Service'!F49+NNIC!F49+Reliance!F49+'Standard Life IN'!F49+Time!F49+'Universal Health Care'!F49</f>
        <v>0</v>
      </c>
      <c r="G49" s="1">
        <f t="shared" si="2"/>
        <v>44854635.605325952</v>
      </c>
      <c r="H49" s="1">
        <f>+'AF&amp;L'!G49+'Colorado Health'!G49+'Compass (dbs Meritus)'!G49+'Consumers Choice'!G49+CoOportunity!G49+'Coordinated Hlth'!G49+'Executive Life'!G49+ELNY!G49+'First Natl (Thrnr)'!G49+'Freelancers CO-OP'!G49+HealthyCT!G49+'Land of Lincoln'!G49+'Lincoln Memorial'!G49+Lumbermens!G49+'Memorial Service'!G49+NNIC!G49+Reliance!G49+'Standard Life IN'!G49+Time!G49+'Universal Health Care'!G49</f>
        <v>44854635.605325937</v>
      </c>
      <c r="I49" s="1">
        <f t="shared" si="3"/>
        <v>0</v>
      </c>
    </row>
    <row r="50" spans="1:9">
      <c r="A50" s="1" t="s">
        <v>71</v>
      </c>
      <c r="B50" s="1">
        <f>+'AF&amp;L'!B50+'Colorado Health'!B50+'Compass (dbs Meritus)'!B50+'Consumers Choice'!B50+CoOportunity!B50+'Coordinated Hlth'!B50+'Executive Life'!B50+ELNY!B50+'First Natl (Thrnr)'!B50+'Freelancers CO-OP'!B50+HealthyCT!B50+'Land of Lincoln'!B50+'Lincoln Memorial'!B50+Lumbermens!B50+'Memorial Service'!B50+NNIC!B50+Reliance!B50+'Standard Life IN'!B50+Time!B50+'Universal Health Care'!B50</f>
        <v>172836971.11757532</v>
      </c>
      <c r="C50" s="1">
        <f>+'AF&amp;L'!C50+'Colorado Health'!C50+'Compass (dbs Meritus)'!C50+'Consumers Choice'!C50+CoOportunity!C50+'Coordinated Hlth'!C50+'Executive Life'!C50+ELNY!C50+'First Natl (Thrnr)'!C50+'Freelancers CO-OP'!C50+HealthyCT!C50+'Land of Lincoln'!C50+'Lincoln Memorial'!C50+Lumbermens!C50+'Memorial Service'!C50+NNIC!C50+Reliance!C50+'Standard Life IN'!C50+Time!C50+'Universal Health Care'!C50</f>
        <v>130912114.58784781</v>
      </c>
      <c r="D50" s="1">
        <f>+'AF&amp;L'!D50+'Colorado Health'!D50+'Compass (dbs Meritus)'!D50+'Consumers Choice'!D50+CoOportunity!D50+'Coordinated Hlth'!D50+'Executive Life'!D50+ELNY!D50+'First Natl (Thrnr)'!D50+'Freelancers CO-OP'!D50+HealthyCT!D50+'Land of Lincoln'!D50+'Lincoln Memorial'!D50+Lumbermens!D50+'Memorial Service'!D50+NNIC!D50+Reliance!D50+'Standard Life IN'!D50+Time!D50+'Universal Health Care'!D50+59861</f>
        <v>1146487.2843546686</v>
      </c>
      <c r="E50" s="1">
        <f>+'AF&amp;L'!E50+'Colorado Health'!E50+'Compass (dbs Meritus)'!E50+'Consumers Choice'!E50+CoOportunity!E50+'Coordinated Hlth'!E50+'Executive Life'!E50+ELNY!E50+'First Natl (Thrnr)'!E50+'Freelancers CO-OP'!E50+HealthyCT!E50+'Land of Lincoln'!E50+'Lincoln Memorial'!E50+Lumbermens!E50+'Memorial Service'!E50+NNIC!E50+Reliance!E50+'Standard Life IN'!E50+Time!E50+'Universal Health Care'!E50</f>
        <v>11697197.143039787</v>
      </c>
      <c r="F50" s="1">
        <f>+'AF&amp;L'!F50+'Colorado Health'!F50+'Compass (dbs Meritus)'!F50+'Consumers Choice'!F50+CoOportunity!F50+'Coordinated Hlth'!F50+'Executive Life'!F50+ELNY!F50+'First Natl (Thrnr)'!F50+'Freelancers CO-OP'!F50+HealthyCT!F50+'Land of Lincoln'!F50+'Lincoln Memorial'!F50+Lumbermens!F50+'Memorial Service'!F50+NNIC!F50+Reliance!F50+'Standard Life IN'!F50+Time!F50+'Universal Health Care'!F50</f>
        <v>0</v>
      </c>
      <c r="G50" s="1">
        <f t="shared" si="2"/>
        <v>316592770.13281757</v>
      </c>
      <c r="H50" s="1">
        <f>+'AF&amp;L'!G50+'Colorado Health'!G50+'Compass (dbs Meritus)'!G50+'Consumers Choice'!G50+CoOportunity!G50+'Coordinated Hlth'!G50+'Executive Life'!G50+ELNY!G50+'First Natl (Thrnr)'!G50+'Freelancers CO-OP'!G50+HealthyCT!G50+'Land of Lincoln'!G50+'Lincoln Memorial'!G50+Lumbermens!G50+'Memorial Service'!G50+NNIC!G50+Reliance!G50+'Standard Life IN'!G50+Time!G50+'Universal Health Care'!G50+59861</f>
        <v>316592770.13281751</v>
      </c>
      <c r="I50" s="1">
        <f t="shared" si="3"/>
        <v>0</v>
      </c>
    </row>
    <row r="51" spans="1:9">
      <c r="A51" s="1" t="s">
        <v>72</v>
      </c>
      <c r="B51" s="1">
        <f>+'AF&amp;L'!B51+'Colorado Health'!B51+'Compass (dbs Meritus)'!B51+'Consumers Choice'!B51+CoOportunity!B51+'Coordinated Hlth'!B51+'Executive Life'!B51+ELNY!B51+'First Natl (Thrnr)'!B51+'Freelancers CO-OP'!B51+HealthyCT!B51+'Land of Lincoln'!B51+'Lincoln Memorial'!B51+Lumbermens!B51+'Memorial Service'!B51+NNIC!B51+Reliance!B51+'Standard Life IN'!B51+Time!B51+'Universal Health Care'!B51</f>
        <v>8394998.7716255356</v>
      </c>
      <c r="C51" s="1">
        <f>+'AF&amp;L'!C51+'Colorado Health'!C51+'Compass (dbs Meritus)'!C51+'Consumers Choice'!C51+CoOportunity!C51+'Coordinated Hlth'!C51+'Executive Life'!C51+ELNY!C51+'First Natl (Thrnr)'!C51+'Freelancers CO-OP'!C51+HealthyCT!C51+'Land of Lincoln'!C51+'Lincoln Memorial'!C51+Lumbermens!C51+'Memorial Service'!C51+NNIC!C51+Reliance!C51+'Standard Life IN'!C51+Time!C51+'Universal Health Care'!C51</f>
        <v>7442544.7487868005</v>
      </c>
      <c r="D51" s="1">
        <f>+'AF&amp;L'!D51+'Colorado Health'!D51+'Compass (dbs Meritus)'!D51+'Consumers Choice'!D51+CoOportunity!D51+'Coordinated Hlth'!D51+'Executive Life'!D51+ELNY!D51+'First Natl (Thrnr)'!D51+'Freelancers CO-OP'!D51+HealthyCT!D51+'Land of Lincoln'!D51+'Lincoln Memorial'!D51+Lumbermens!D51+'Memorial Service'!D51+NNIC!D51+Reliance!D51+'Standard Life IN'!D51+Time!D51+'Universal Health Care'!D51</f>
        <v>34403.028754675535</v>
      </c>
      <c r="E51" s="1">
        <f>+'AF&amp;L'!E51+'Colorado Health'!E51+'Compass (dbs Meritus)'!E51+'Consumers Choice'!E51+CoOportunity!E51+'Coordinated Hlth'!E51+'Executive Life'!E51+ELNY!E51+'First Natl (Thrnr)'!E51+'Freelancers CO-OP'!E51+HealthyCT!E51+'Land of Lincoln'!E51+'Lincoln Memorial'!E51+Lumbermens!E51+'Memorial Service'!E51+NNIC!E51+Reliance!E51+'Standard Life IN'!E51+Time!E51+'Universal Health Care'!E51</f>
        <v>243648.69323040295</v>
      </c>
      <c r="F51" s="1">
        <f>+'AF&amp;L'!F51+'Colorado Health'!F51+'Compass (dbs Meritus)'!F51+'Consumers Choice'!F51+CoOportunity!F51+'Coordinated Hlth'!F51+'Executive Life'!F51+ELNY!F51+'First Natl (Thrnr)'!F51+'Freelancers CO-OP'!F51+HealthyCT!F51+'Land of Lincoln'!F51+'Lincoln Memorial'!F51+Lumbermens!F51+'Memorial Service'!F51+NNIC!F51+Reliance!F51+'Standard Life IN'!F51+Time!F51+'Universal Health Care'!F51</f>
        <v>0</v>
      </c>
      <c r="G51" s="1">
        <f t="shared" si="2"/>
        <v>16115595.242397416</v>
      </c>
      <c r="H51" s="1">
        <f>+'AF&amp;L'!G51+'Colorado Health'!G51+'Compass (dbs Meritus)'!G51+'Consumers Choice'!G51+CoOportunity!G51+'Coordinated Hlth'!G51+'Executive Life'!G51+ELNY!G51+'First Natl (Thrnr)'!G51+'Freelancers CO-OP'!G51+HealthyCT!G51+'Land of Lincoln'!G51+'Lincoln Memorial'!G51+Lumbermens!G51+'Memorial Service'!G51+NNIC!G51+Reliance!G51+'Standard Life IN'!G51+Time!G51+'Universal Health Care'!G51</f>
        <v>16115595.242397416</v>
      </c>
      <c r="I51" s="1">
        <f t="shared" si="3"/>
        <v>0</v>
      </c>
    </row>
    <row r="52" spans="1:9">
      <c r="A52" s="1" t="s">
        <v>73</v>
      </c>
      <c r="B52" s="1">
        <f>+'AF&amp;L'!B52+'Colorado Health'!B52+'Compass (dbs Meritus)'!B52+'Consumers Choice'!B52+CoOportunity!B52+'Coordinated Hlth'!B52+'Executive Life'!B52+ELNY!B52+'First Natl (Thrnr)'!B52+'Freelancers CO-OP'!B52+HealthyCT!B52+'Land of Lincoln'!B52+'Lincoln Memorial'!B52+Lumbermens!B52+'Memorial Service'!B52+NNIC!B52+Reliance!B52+'Standard Life IN'!B52+Time!B52+'Universal Health Care'!B52</f>
        <v>1998.3532123820883</v>
      </c>
      <c r="C52" s="1">
        <f>+'AF&amp;L'!C52+'Colorado Health'!C52+'Compass (dbs Meritus)'!C52+'Consumers Choice'!C52+CoOportunity!C52+'Coordinated Hlth'!C52+'Executive Life'!C52+ELNY!C52+'First Natl (Thrnr)'!C52+'Freelancers CO-OP'!C52+HealthyCT!C52+'Land of Lincoln'!C52+'Lincoln Memorial'!C52+Lumbermens!C52+'Memorial Service'!C52+NNIC!C52+Reliance!C52+'Standard Life IN'!C52+Time!C52+'Universal Health Care'!C52</f>
        <v>961098.90011794667</v>
      </c>
      <c r="D52" s="1">
        <f>+'AF&amp;L'!D52+'Colorado Health'!D52+'Compass (dbs Meritus)'!D52+'Consumers Choice'!D52+CoOportunity!D52+'Coordinated Hlth'!D52+'Executive Life'!D52+ELNY!D52+'First Natl (Thrnr)'!D52+'Freelancers CO-OP'!D52+HealthyCT!D52+'Land of Lincoln'!D52+'Lincoln Memorial'!D52+Lumbermens!D52+'Memorial Service'!D52+NNIC!D52+Reliance!D52+'Standard Life IN'!D52+Time!D52+'Universal Health Care'!D52</f>
        <v>7604.8558637212254</v>
      </c>
      <c r="E52" s="1">
        <f>+'AF&amp;L'!E52+'Colorado Health'!E52+'Compass (dbs Meritus)'!E52+'Consumers Choice'!E52+CoOportunity!E52+'Coordinated Hlth'!E52+'Executive Life'!E52+ELNY!E52+'First Natl (Thrnr)'!E52+'Freelancers CO-OP'!E52+HealthyCT!E52+'Land of Lincoln'!E52+'Lincoln Memorial'!E52+Lumbermens!E52+'Memorial Service'!E52+NNIC!E52+Reliance!E52+'Standard Life IN'!E52+Time!E52+'Universal Health Care'!E52</f>
        <v>0</v>
      </c>
      <c r="F52" s="1">
        <f>+'AF&amp;L'!F52+'Colorado Health'!F52+'Compass (dbs Meritus)'!F52+'Consumers Choice'!F52+CoOportunity!F52+'Coordinated Hlth'!F52+'Executive Life'!F52+ELNY!F52+'First Natl (Thrnr)'!F52+'Freelancers CO-OP'!F52+HealthyCT!F52+'Land of Lincoln'!F52+'Lincoln Memorial'!F52+Lumbermens!F52+'Memorial Service'!F52+NNIC!F52+Reliance!F52+'Standard Life IN'!F52+Time!F52+'Universal Health Care'!F52</f>
        <v>0</v>
      </c>
      <c r="G52" s="1">
        <f t="shared" si="2"/>
        <v>970702.10919404996</v>
      </c>
      <c r="H52" s="1">
        <f>+'AF&amp;L'!G52+'Colorado Health'!G52+'Compass (dbs Meritus)'!G52+'Consumers Choice'!G52+CoOportunity!G52+'Coordinated Hlth'!G52+'Executive Life'!G52+ELNY!G52+'First Natl (Thrnr)'!G52+'Freelancers CO-OP'!G52+HealthyCT!G52+'Land of Lincoln'!G52+'Lincoln Memorial'!G52+Lumbermens!G52+'Memorial Service'!G52+NNIC!G52+Reliance!G52+'Standard Life IN'!G52+Time!G52+'Universal Health Care'!G52</f>
        <v>970702.10919405008</v>
      </c>
      <c r="I52" s="1">
        <f t="shared" si="3"/>
        <v>0</v>
      </c>
    </row>
    <row r="53" spans="1:9">
      <c r="A53" s="1" t="s">
        <v>74</v>
      </c>
      <c r="B53" s="1">
        <f>+'AF&amp;L'!B53+'Colorado Health'!B53+'Compass (dbs Meritus)'!B53+'Consumers Choice'!B53+CoOportunity!B53+'Coordinated Hlth'!B53+'Executive Life'!B53+ELNY!B53+'First Natl (Thrnr)'!B53+'Freelancers CO-OP'!B53+HealthyCT!B53+'Land of Lincoln'!B53+'Lincoln Memorial'!B53+Lumbermens!B53+'Memorial Service'!B53+NNIC!B53+Reliance!B53+'Standard Life IN'!B53+Time!B53+'Universal Health Care'!B53</f>
        <v>10137024.834902588</v>
      </c>
      <c r="C53" s="1">
        <f>+'AF&amp;L'!C53+'Colorado Health'!C53+'Compass (dbs Meritus)'!C53+'Consumers Choice'!C53+CoOportunity!C53+'Coordinated Hlth'!C53+'Executive Life'!C53+ELNY!C53+'First Natl (Thrnr)'!C53+'Freelancers CO-OP'!C53+HealthyCT!C53+'Land of Lincoln'!C53+'Lincoln Memorial'!C53+Lumbermens!C53+'Memorial Service'!C53+NNIC!C53+Reliance!C53+'Standard Life IN'!C53+Time!C53+'Universal Health Care'!C53</f>
        <v>22243710.557665605</v>
      </c>
      <c r="D53" s="1">
        <f>+'AF&amp;L'!D53+'Colorado Health'!D53+'Compass (dbs Meritus)'!D53+'Consumers Choice'!D53+CoOportunity!D53+'Coordinated Hlth'!D53+'Executive Life'!D53+ELNY!D53+'First Natl (Thrnr)'!D53+'Freelancers CO-OP'!D53+HealthyCT!D53+'Land of Lincoln'!D53+'Lincoln Memorial'!D53+Lumbermens!D53+'Memorial Service'!D53+NNIC!D53+Reliance!D53+'Standard Life IN'!D53+Time!D53+'Universal Health Care'!D53</f>
        <v>349946.30079629575</v>
      </c>
      <c r="E53" s="1">
        <f>+'AF&amp;L'!E53+'Colorado Health'!E53+'Compass (dbs Meritus)'!E53+'Consumers Choice'!E53+CoOportunity!E53+'Coordinated Hlth'!E53+'Executive Life'!E53+ELNY!E53+'First Natl (Thrnr)'!E53+'Freelancers CO-OP'!E53+HealthyCT!E53+'Land of Lincoln'!E53+'Lincoln Memorial'!E53+Lumbermens!E53+'Memorial Service'!E53+NNIC!E53+Reliance!E53+'Standard Life IN'!E53+Time!E53+'Universal Health Care'!E53</f>
        <v>0</v>
      </c>
      <c r="F53" s="1">
        <f>+'AF&amp;L'!F53+'Colorado Health'!F53+'Compass (dbs Meritus)'!F53+'Consumers Choice'!F53+CoOportunity!F53+'Coordinated Hlth'!F53+'Executive Life'!F53+ELNY!F53+'First Natl (Thrnr)'!F53+'Freelancers CO-OP'!F53+HealthyCT!F53+'Land of Lincoln'!F53+'Lincoln Memorial'!F53+Lumbermens!F53+'Memorial Service'!F53+NNIC!F53+Reliance!F53+'Standard Life IN'!F53+Time!F53+'Universal Health Care'!F53</f>
        <v>0</v>
      </c>
      <c r="G53" s="1">
        <f t="shared" si="2"/>
        <v>32730681.69336449</v>
      </c>
      <c r="H53" s="1">
        <f>+'AF&amp;L'!G53+'Colorado Health'!G53+'Compass (dbs Meritus)'!G53+'Consumers Choice'!G53+CoOportunity!G53+'Coordinated Hlth'!G53+'Executive Life'!G53+ELNY!G53+'First Natl (Thrnr)'!G53+'Freelancers CO-OP'!G53+HealthyCT!G53+'Land of Lincoln'!G53+'Lincoln Memorial'!G53+Lumbermens!G53+'Memorial Service'!G53+NNIC!G53+Reliance!G53+'Standard Life IN'!G53+Time!G53+'Universal Health Care'!G53</f>
        <v>32730681.69336449</v>
      </c>
      <c r="I53" s="1">
        <f t="shared" si="3"/>
        <v>0</v>
      </c>
    </row>
    <row r="54" spans="1:9">
      <c r="A54" s="1" t="s">
        <v>75</v>
      </c>
      <c r="B54" s="1">
        <f>+'AF&amp;L'!B54+'Colorado Health'!B54+'Compass (dbs Meritus)'!B54+'Consumers Choice'!B54+CoOportunity!B54+'Coordinated Hlth'!B54+'Executive Life'!B54+ELNY!B54+'First Natl (Thrnr)'!B54+'Freelancers CO-OP'!B54+HealthyCT!B54+'Land of Lincoln'!B54+'Lincoln Memorial'!B54+Lumbermens!B54+'Memorial Service'!B54+NNIC!B54+Reliance!B54+'Standard Life IN'!B54+Time!B54+'Universal Health Care'!B54</f>
        <v>33214592.754967783</v>
      </c>
      <c r="C54" s="1">
        <f>+'AF&amp;L'!C54+'Colorado Health'!C54+'Compass (dbs Meritus)'!C54+'Consumers Choice'!C54+CoOportunity!C54+'Coordinated Hlth'!C54+'Executive Life'!C54+ELNY!C54+'First Natl (Thrnr)'!C54+'Freelancers CO-OP'!C54+HealthyCT!C54+'Land of Lincoln'!C54+'Lincoln Memorial'!C54+Lumbermens!C54+'Memorial Service'!C54+NNIC!C54+Reliance!C54+'Standard Life IN'!C54+Time!C54+'Universal Health Care'!C54</f>
        <v>63244901.553111359</v>
      </c>
      <c r="D54" s="1">
        <f>+'AF&amp;L'!D54+'Colorado Health'!D54+'Compass (dbs Meritus)'!D54+'Consumers Choice'!D54+CoOportunity!D54+'Coordinated Hlth'!D54+'Executive Life'!D54+ELNY!D54+'First Natl (Thrnr)'!D54+'Freelancers CO-OP'!D54+HealthyCT!D54+'Land of Lincoln'!D54+'Lincoln Memorial'!D54+Lumbermens!D54+'Memorial Service'!D54+NNIC!D54+Reliance!D54+'Standard Life IN'!D54+Time!D54+'Universal Health Care'!D54</f>
        <v>611494.08024480753</v>
      </c>
      <c r="E54" s="1">
        <f>+'AF&amp;L'!E54+'Colorado Health'!E54+'Compass (dbs Meritus)'!E54+'Consumers Choice'!E54+CoOportunity!E54+'Coordinated Hlth'!E54+'Executive Life'!E54+ELNY!E54+'First Natl (Thrnr)'!E54+'Freelancers CO-OP'!E54+HealthyCT!E54+'Land of Lincoln'!E54+'Lincoln Memorial'!E54+Lumbermens!E54+'Memorial Service'!E54+NNIC!E54+Reliance!E54+'Standard Life IN'!E54+Time!E54+'Universal Health Care'!E54</f>
        <v>2199548.2391114472</v>
      </c>
      <c r="F54" s="1">
        <f>+'AF&amp;L'!F54+'Colorado Health'!F54+'Compass (dbs Meritus)'!F54+'Consumers Choice'!F54+CoOportunity!F54+'Coordinated Hlth'!F54+'Executive Life'!F54+ELNY!F54+'First Natl (Thrnr)'!F54+'Freelancers CO-OP'!F54+HealthyCT!F54+'Land of Lincoln'!F54+'Lincoln Memorial'!F54+Lumbermens!F54+'Memorial Service'!F54+NNIC!F54+Reliance!F54+'Standard Life IN'!F54+Time!F54+'Universal Health Care'!F54</f>
        <v>0</v>
      </c>
      <c r="G54" s="1">
        <f t="shared" si="2"/>
        <v>99270536.627435401</v>
      </c>
      <c r="H54" s="1">
        <f>+'AF&amp;L'!G54+'Colorado Health'!G54+'Compass (dbs Meritus)'!G54+'Consumers Choice'!G54+CoOportunity!G54+'Coordinated Hlth'!G54+'Executive Life'!G54+ELNY!G54+'First Natl (Thrnr)'!G54+'Freelancers CO-OP'!G54+HealthyCT!G54+'Land of Lincoln'!G54+'Lincoln Memorial'!G54+Lumbermens!G54+'Memorial Service'!G54+NNIC!G54+Reliance!G54+'Standard Life IN'!G54+Time!G54+'Universal Health Care'!G54</f>
        <v>99270536.627435401</v>
      </c>
      <c r="I54" s="1">
        <f t="shared" si="3"/>
        <v>0</v>
      </c>
    </row>
    <row r="55" spans="1:9">
      <c r="A55" s="1" t="s">
        <v>76</v>
      </c>
      <c r="B55" s="1">
        <f>+'AF&amp;L'!B55+'Colorado Health'!B55+'Compass (dbs Meritus)'!B55+'Consumers Choice'!B55+CoOportunity!B55+'Coordinated Hlth'!B55+'Executive Life'!B55+ELNY!B55+'First Natl (Thrnr)'!B55+'Freelancers CO-OP'!B55+HealthyCT!B55+'Land of Lincoln'!B55+'Lincoln Memorial'!B55+Lumbermens!B55+'Memorial Service'!B55+NNIC!B55+Reliance!B55+'Standard Life IN'!B55+Time!B55+'Universal Health Care'!B55</f>
        <v>1826334.8879615183</v>
      </c>
      <c r="C55" s="1">
        <f>+'AF&amp;L'!C55+'Colorado Health'!C55+'Compass (dbs Meritus)'!C55+'Consumers Choice'!C55+CoOportunity!C55+'Coordinated Hlth'!C55+'Executive Life'!C55+ELNY!C55+'First Natl (Thrnr)'!C55+'Freelancers CO-OP'!C55+HealthyCT!C55+'Land of Lincoln'!C55+'Lincoln Memorial'!C55+Lumbermens!C55+'Memorial Service'!C55+NNIC!C55+Reliance!C55+'Standard Life IN'!C55+Time!C55+'Universal Health Care'!C55</f>
        <v>5538333.7484900197</v>
      </c>
      <c r="D55" s="1">
        <f>+'AF&amp;L'!D55+'Colorado Health'!D55+'Compass (dbs Meritus)'!D55+'Consumers Choice'!D55+CoOportunity!D55+'Coordinated Hlth'!D55+'Executive Life'!D55+ELNY!D55+'First Natl (Thrnr)'!D55+'Freelancers CO-OP'!D55+HealthyCT!D55+'Land of Lincoln'!D55+'Lincoln Memorial'!D55+Lumbermens!D55+'Memorial Service'!D55+NNIC!D55+Reliance!D55+'Standard Life IN'!D55+Time!D55+'Universal Health Care'!D55</f>
        <v>63727.53742697242</v>
      </c>
      <c r="E55" s="1">
        <f>+'AF&amp;L'!E55+'Colorado Health'!E55+'Compass (dbs Meritus)'!E55+'Consumers Choice'!E55+CoOportunity!E55+'Coordinated Hlth'!E55+'Executive Life'!E55+ELNY!E55+'First Natl (Thrnr)'!E55+'Freelancers CO-OP'!E55+HealthyCT!E55+'Land of Lincoln'!E55+'Lincoln Memorial'!E55+Lumbermens!E55+'Memorial Service'!E55+NNIC!E55+Reliance!E55+'Standard Life IN'!E55+Time!E55+'Universal Health Care'!E55</f>
        <v>0</v>
      </c>
      <c r="F55" s="1">
        <f>+'AF&amp;L'!F55+'Colorado Health'!F55+'Compass (dbs Meritus)'!F55+'Consumers Choice'!F55+CoOportunity!F55+'Coordinated Hlth'!F55+'Executive Life'!F55+ELNY!F55+'First Natl (Thrnr)'!F55+'Freelancers CO-OP'!F55+HealthyCT!F55+'Land of Lincoln'!F55+'Lincoln Memorial'!F55+Lumbermens!F55+'Memorial Service'!F55+NNIC!F55+Reliance!F55+'Standard Life IN'!F55+Time!F55+'Universal Health Care'!F55</f>
        <v>0</v>
      </c>
      <c r="G55" s="1">
        <f t="shared" si="2"/>
        <v>7428396.1738785105</v>
      </c>
      <c r="H55" s="1">
        <f>+'AF&amp;L'!G55+'Colorado Health'!G55+'Compass (dbs Meritus)'!G55+'Consumers Choice'!G55+CoOportunity!G55+'Coordinated Hlth'!G55+'Executive Life'!G55+ELNY!G55+'First Natl (Thrnr)'!G55+'Freelancers CO-OP'!G55+HealthyCT!G55+'Land of Lincoln'!G55+'Lincoln Memorial'!G55+Lumbermens!G55+'Memorial Service'!G55+NNIC!G55+Reliance!G55+'Standard Life IN'!G55+Time!G55+'Universal Health Care'!G55</f>
        <v>7428396.1738785105</v>
      </c>
      <c r="I55" s="1">
        <f t="shared" si="3"/>
        <v>0</v>
      </c>
    </row>
    <row r="56" spans="1:9">
      <c r="A56" s="1" t="s">
        <v>77</v>
      </c>
      <c r="B56" s="1">
        <f>+'AF&amp;L'!B56+'Colorado Health'!B56+'Compass (dbs Meritus)'!B56+'Consumers Choice'!B56+CoOportunity!B56+'Coordinated Hlth'!B56+'Executive Life'!B56+ELNY!B56+'First Natl (Thrnr)'!B56+'Freelancers CO-OP'!B56+HealthyCT!B56+'Land of Lincoln'!B56+'Lincoln Memorial'!B56+Lumbermens!B56+'Memorial Service'!B56+NNIC!B56+Reliance!B56+'Standard Life IN'!B56+Time!B56+'Universal Health Care'!B56</f>
        <v>14337659.507908409</v>
      </c>
      <c r="C56" s="1">
        <f>+'AF&amp;L'!C56+'Colorado Health'!C56+'Compass (dbs Meritus)'!C56+'Consumers Choice'!C56+CoOportunity!C56+'Coordinated Hlth'!C56+'Executive Life'!C56+ELNY!C56+'First Natl (Thrnr)'!C56+'Freelancers CO-OP'!C56+HealthyCT!C56+'Land of Lincoln'!C56+'Lincoln Memorial'!C56+Lumbermens!C56+'Memorial Service'!C56+NNIC!C56+Reliance!C56+'Standard Life IN'!C56+Time!C56+'Universal Health Care'!C56</f>
        <v>49544687.465530559</v>
      </c>
      <c r="D56" s="1">
        <f>+'AF&amp;L'!D56+'Colorado Health'!D56+'Compass (dbs Meritus)'!D56+'Consumers Choice'!D56+CoOportunity!D56+'Coordinated Hlth'!D56+'Executive Life'!D56+ELNY!D56+'First Natl (Thrnr)'!D56+'Freelancers CO-OP'!D56+HealthyCT!D56+'Land of Lincoln'!D56+'Lincoln Memorial'!D56+Lumbermens!D56+'Memorial Service'!D56+NNIC!D56+Reliance!D56+'Standard Life IN'!D56+Time!D56+'Universal Health Care'!D56</f>
        <v>58976.53</v>
      </c>
      <c r="E56" s="1">
        <f>+'AF&amp;L'!E56+'Colorado Health'!E56+'Compass (dbs Meritus)'!E56+'Consumers Choice'!E56+CoOportunity!E56+'Coordinated Hlth'!E56+'Executive Life'!E56+ELNY!E56+'First Natl (Thrnr)'!E56+'Freelancers CO-OP'!E56+HealthyCT!E56+'Land of Lincoln'!E56+'Lincoln Memorial'!E56+Lumbermens!E56+'Memorial Service'!E56+NNIC!E56+Reliance!E56+'Standard Life IN'!E56+Time!E56+'Universal Health Care'!E56</f>
        <v>80338.343980072328</v>
      </c>
      <c r="F56" s="1">
        <f>+'AF&amp;L'!F56+'Colorado Health'!F56+'Compass (dbs Meritus)'!F56+'Consumers Choice'!F56+CoOportunity!F56+'Coordinated Hlth'!F56+'Executive Life'!F56+ELNY!F56+'First Natl (Thrnr)'!F56+'Freelancers CO-OP'!F56+HealthyCT!F56+'Land of Lincoln'!F56+'Lincoln Memorial'!F56+Lumbermens!F56+'Memorial Service'!F56+NNIC!F56+Reliance!F56+'Standard Life IN'!F56+Time!F56+'Universal Health Care'!F56</f>
        <v>0</v>
      </c>
      <c r="G56" s="1">
        <f t="shared" si="2"/>
        <v>64021661.847419046</v>
      </c>
      <c r="H56" s="1">
        <f>+'AF&amp;L'!G56+'Colorado Health'!G56+'Compass (dbs Meritus)'!G56+'Consumers Choice'!G56+CoOportunity!G56+'Coordinated Hlth'!G56+'Executive Life'!G56+ELNY!G56+'First Natl (Thrnr)'!G56+'Freelancers CO-OP'!G56+HealthyCT!G56+'Land of Lincoln'!G56+'Lincoln Memorial'!G56+Lumbermens!G56+'Memorial Service'!G56+NNIC!G56+Reliance!G56+'Standard Life IN'!G56+Time!G56+'Universal Health Care'!G56</f>
        <v>64021661.847419038</v>
      </c>
      <c r="I56" s="1">
        <f t="shared" si="3"/>
        <v>0</v>
      </c>
    </row>
    <row r="57" spans="1:9">
      <c r="A57" s="1" t="s">
        <v>78</v>
      </c>
      <c r="B57" s="1">
        <f>+'AF&amp;L'!B57+'Colorado Health'!B57+'Compass (dbs Meritus)'!B57+'Consumers Choice'!B57+CoOportunity!B57+'Coordinated Hlth'!B57+'Executive Life'!B57+ELNY!B57+'First Natl (Thrnr)'!B57+'Freelancers CO-OP'!B57+HealthyCT!B57+'Land of Lincoln'!B57+'Lincoln Memorial'!B57+Lumbermens!B57+'Memorial Service'!B57+NNIC!B57+Reliance!B57+'Standard Life IN'!B57+Time!B57+'Universal Health Care'!B57</f>
        <v>2939102.5809973534</v>
      </c>
      <c r="C57" s="1">
        <f>+'AF&amp;L'!C57+'Colorado Health'!C57+'Compass (dbs Meritus)'!C57+'Consumers Choice'!C57+CoOportunity!C57+'Coordinated Hlth'!C57+'Executive Life'!C57+ELNY!C57+'First Natl (Thrnr)'!C57+'Freelancers CO-OP'!C57+HealthyCT!C57+'Land of Lincoln'!C57+'Lincoln Memorial'!C57+Lumbermens!C57+'Memorial Service'!C57+NNIC!C57+Reliance!C57+'Standard Life IN'!C57+Time!C57+'Universal Health Care'!C57</f>
        <v>3844125.1988781625</v>
      </c>
      <c r="D57" s="1">
        <f>+'AF&amp;L'!D57+'Colorado Health'!D57+'Compass (dbs Meritus)'!D57+'Consumers Choice'!D57+CoOportunity!D57+'Coordinated Hlth'!D57+'Executive Life'!D57+ELNY!D57+'First Natl (Thrnr)'!D57+'Freelancers CO-OP'!D57+HealthyCT!D57+'Land of Lincoln'!D57+'Lincoln Memorial'!D57+Lumbermens!D57+'Memorial Service'!D57+NNIC!D57+Reliance!D57+'Standard Life IN'!D57+Time!D57+'Universal Health Care'!D57</f>
        <v>113840.35409696214</v>
      </c>
      <c r="E57" s="1">
        <f>+'AF&amp;L'!E57+'Colorado Health'!E57+'Compass (dbs Meritus)'!E57+'Consumers Choice'!E57+CoOportunity!E57+'Coordinated Hlth'!E57+'Executive Life'!E57+ELNY!E57+'First Natl (Thrnr)'!E57+'Freelancers CO-OP'!E57+HealthyCT!E57+'Land of Lincoln'!E57+'Lincoln Memorial'!E57+Lumbermens!E57+'Memorial Service'!E57+NNIC!E57+Reliance!E57+'Standard Life IN'!E57+Time!E57+'Universal Health Care'!E57</f>
        <v>0</v>
      </c>
      <c r="F57" s="1">
        <f>+'AF&amp;L'!F57+'Colorado Health'!F57+'Compass (dbs Meritus)'!F57+'Consumers Choice'!F57+CoOportunity!F57+'Coordinated Hlth'!F57+'Executive Life'!F57+ELNY!F57+'First Natl (Thrnr)'!F57+'Freelancers CO-OP'!F57+HealthyCT!F57+'Land of Lincoln'!F57+'Lincoln Memorial'!F57+Lumbermens!F57+'Memorial Service'!F57+NNIC!F57+Reliance!F57+'Standard Life IN'!F57+Time!F57+'Universal Health Care'!F57</f>
        <v>0</v>
      </c>
      <c r="G57" s="1">
        <f t="shared" si="2"/>
        <v>6897068.1339724781</v>
      </c>
      <c r="H57" s="1">
        <f>+'AF&amp;L'!G57+'Colorado Health'!G57+'Compass (dbs Meritus)'!G57+'Consumers Choice'!G57+CoOportunity!G57+'Coordinated Hlth'!G57+'Executive Life'!G57+ELNY!G57+'First Natl (Thrnr)'!G57+'Freelancers CO-OP'!G57+HealthyCT!G57+'Land of Lincoln'!G57+'Lincoln Memorial'!G57+Lumbermens!G57+'Memorial Service'!G57+NNIC!G57+Reliance!G57+'Standard Life IN'!G57+Time!G57+'Universal Health Care'!G57</f>
        <v>6897068.1339724772</v>
      </c>
      <c r="I57" s="1">
        <f t="shared" si="3"/>
        <v>0</v>
      </c>
    </row>
    <row r="58" spans="1:9">
      <c r="A58" s="1" t="s">
        <v>79</v>
      </c>
      <c r="B58" s="1">
        <f>+'AF&amp;L'!B58+'Colorado Health'!B58+'Compass (dbs Meritus)'!B58+'Consumers Choice'!B58+CoOportunity!B58+'Coordinated Hlth'!B58+'Executive Life'!B58+ELNY!B58+'First Natl (Thrnr)'!B58+'Freelancers CO-OP'!B58+HealthyCT!B58+'Land of Lincoln'!B58+'Lincoln Memorial'!B58+Lumbermens!B58+'Memorial Service'!B58+NNIC!B58+Reliance!B58+'Standard Life IN'!B58+Time!B58+'Universal Health Care'!B58</f>
        <v>0</v>
      </c>
      <c r="C58" s="1">
        <f>+'AF&amp;L'!C58+'Colorado Health'!C58+'Compass (dbs Meritus)'!C58+'Consumers Choice'!C58+CoOportunity!C58+'Coordinated Hlth'!C58+'Executive Life'!C58+ELNY!C58+'First Natl (Thrnr)'!C58+'Freelancers CO-OP'!C58+HealthyCT!C58+'Land of Lincoln'!C58+'Lincoln Memorial'!C58+Lumbermens!C58+'Memorial Service'!C58+NNIC!C58+Reliance!C58+'Standard Life IN'!C58+Time!C58+'Universal Health Care'!C58</f>
        <v>0</v>
      </c>
      <c r="D58" s="1">
        <f>+'AF&amp;L'!D58+'Colorado Health'!D58+'Compass (dbs Meritus)'!D58+'Consumers Choice'!D58+CoOportunity!D58+'Coordinated Hlth'!D58+'Executive Life'!D58+ELNY!D58+'First Natl (Thrnr)'!D58+'Freelancers CO-OP'!D58+HealthyCT!D58+'Land of Lincoln'!D58+'Lincoln Memorial'!D58+Lumbermens!D58+'Memorial Service'!D58+NNIC!D58+Reliance!D58+'Standard Life IN'!D58+Time!D58+'Universal Health Care'!D58</f>
        <v>0</v>
      </c>
      <c r="E58" s="1">
        <f>+'AF&amp;L'!E58+'Colorado Health'!E58+'Compass (dbs Meritus)'!E58+'Consumers Choice'!E58+CoOportunity!E58+'Coordinated Hlth'!E58+'Executive Life'!E58+ELNY!E58+'First Natl (Thrnr)'!E58+'Freelancers CO-OP'!E58+HealthyCT!E58+'Land of Lincoln'!E58+'Lincoln Memorial'!E58+Lumbermens!E58+'Memorial Service'!E58+NNIC!E58+Reliance!E58+'Standard Life IN'!E58+Time!E58+'Universal Health Care'!E58</f>
        <v>0</v>
      </c>
      <c r="F58" s="1">
        <f>+'AF&amp;L'!F58+'Colorado Health'!F58+'Compass (dbs Meritus)'!F58+'Consumers Choice'!F58+CoOportunity!F58+'Coordinated Hlth'!F58+'Executive Life'!F58+ELNY!F58+'First Natl (Thrnr)'!F58+'Freelancers CO-OP'!F58+HealthyCT!F58+'Land of Lincoln'!F58+'Lincoln Memorial'!F58+Lumbermens!F58+'Memorial Service'!F58+NNIC!F58+Reliance!F58+'Standard Life IN'!F58+Time!F58+'Universal Health Care'!F58</f>
        <v>0</v>
      </c>
      <c r="G58" s="1">
        <f t="shared" si="2"/>
        <v>0</v>
      </c>
      <c r="H58" s="1">
        <f>+'AF&amp;L'!G58+'Colorado Health'!G58+'Compass (dbs Meritus)'!G58+'Consumers Choice'!G58+CoOportunity!G58+'Coordinated Hlth'!G58+'Executive Life'!G58+ELNY!G58+'First Natl (Thrnr)'!G58+'Freelancers CO-OP'!G58+HealthyCT!G58+'Land of Lincoln'!G58+'Lincoln Memorial'!G58+Lumbermens!G58+'Memorial Service'!G58+NNIC!G58+Reliance!G58+'Standard Life IN'!G58+Time!G58+'Universal Health Care'!G58</f>
        <v>0</v>
      </c>
      <c r="I58" s="1">
        <f t="shared" si="3"/>
        <v>0</v>
      </c>
    </row>
    <row r="61" spans="1:9">
      <c r="A61" s="1" t="s">
        <v>8</v>
      </c>
      <c r="B61" s="1">
        <f>SUM(LIFE)</f>
        <v>1433553127.3287916</v>
      </c>
      <c r="C61" s="1">
        <f>SUM(ALLOCATED)</f>
        <v>2478831756.7276516</v>
      </c>
      <c r="D61" s="1">
        <f>SUM(HEALTH)</f>
        <v>213382494.60980409</v>
      </c>
      <c r="E61" s="1">
        <f>SUM(UNALLOCATED)</f>
        <v>31883962.737060916</v>
      </c>
      <c r="F61" s="1">
        <f>SUM(LTC)</f>
        <v>0</v>
      </c>
      <c r="G61" s="1">
        <f>SUM(TOTAL)</f>
        <v>4157651341.4033089</v>
      </c>
      <c r="H61" s="1">
        <f>SUM(TOTAL_CROSSCHECK)</f>
        <v>4157651341.4033084</v>
      </c>
      <c r="I61" s="1">
        <f>SUM(RECON)</f>
        <v>0</v>
      </c>
    </row>
  </sheetData>
  <mergeCells count="1">
    <mergeCell ref="A1:G1"/>
  </mergeCells>
  <pageMargins left="0" right="0" top="0" bottom="0" header="0" footer="0"/>
  <pageSetup scale="66" orientation="landscape"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pageSetUpPr fitToPage="1"/>
  </sheetPr>
  <dimension ref="A1:L68"/>
  <sheetViews>
    <sheetView zoomScale="75" workbookViewId="0">
      <selection sqref="A1:G1"/>
    </sheetView>
  </sheetViews>
  <sheetFormatPr defaultColWidth="9.109375" defaultRowHeight="14.4"/>
  <cols>
    <col min="1" max="1" width="20" style="1" customWidth="1"/>
    <col min="2" max="8" width="15" style="1" customWidth="1"/>
    <col min="9" max="9" width="5" style="1" customWidth="1"/>
    <col min="10" max="10" width="9.109375" style="1" customWidth="1"/>
    <col min="11" max="11" width="40" style="1" customWidth="1"/>
    <col min="12" max="12" width="15" style="1" customWidth="1"/>
    <col min="13" max="13" width="9.109375" style="1" customWidth="1"/>
    <col min="14" max="16384" width="9.109375" style="1"/>
  </cols>
  <sheetData>
    <row r="1" spans="1:12">
      <c r="A1" s="100" t="s">
        <v>714</v>
      </c>
      <c r="B1" s="100"/>
      <c r="C1" s="100"/>
      <c r="D1" s="100"/>
      <c r="E1" s="100"/>
      <c r="F1" s="100"/>
      <c r="G1" s="100"/>
    </row>
    <row r="3" spans="1:12">
      <c r="B3" s="3"/>
      <c r="C3" s="3" t="s">
        <v>708</v>
      </c>
      <c r="D3" s="3"/>
      <c r="E3" s="3" t="s">
        <v>709</v>
      </c>
      <c r="F3" s="3"/>
      <c r="G3" s="3"/>
    </row>
    <row r="4" spans="1:12">
      <c r="B4" s="3" t="s">
        <v>3</v>
      </c>
      <c r="C4" s="3" t="s">
        <v>710</v>
      </c>
      <c r="D4" s="3" t="s">
        <v>5</v>
      </c>
      <c r="E4" s="3" t="s">
        <v>710</v>
      </c>
      <c r="F4" s="3" t="s">
        <v>7</v>
      </c>
      <c r="G4" s="3" t="s">
        <v>8</v>
      </c>
    </row>
    <row r="6" spans="1:12">
      <c r="A6" s="1" t="s">
        <v>11</v>
      </c>
      <c r="B6" s="1">
        <f>+'Alabama Life'!B6+'American Chambers'!B6+'American Educators'!B6+'American Integrity'!B6+'Amer Life Asr'!B6+'American Medical'!B6+'Amer Std Life Acc'!B6+AmerWstrn!B6+'AMS Life'!B6+'Andrew Jackson'!B6+'Bankers Commercial'!B6+Benicorp!B6+Centennial!B6+'Coastal States'!B6+'Confed Life (CLIC)'!B6+'Consolidated National'!B6+'Consumers Mutual'!B6+'Consumers United'!B6+'Corporate Life'!B6+'Diamond Benefits'!B6+'EBL Life'!B6+'Family Guaranty'!B6+'Fidelity Bankers'!B6+'First Natl'!B6+'Franklin American'!B6+'Franklin Protective'!B6+'George Washington'!B6+'Golden State'!B6+'Guarantee Security'!B6+Imerica!B6+'Inter-American'!B6+'International Fin'!B6+'Investment Life of America'!B6+'Investors Equity'!B6+'Kentucky Central'!B6+Legion!B6+'London Pac'!B6+'Medical Savings'!B6+'Midwest Life'!B6+'Mutual Benefit'!B6+'Mutual Security'!B6+'National Affiliated'!B6+'Natl American'!B6+'National Heritage'!B6+'New Jersey Life'!B6+'Old Colony Life'!B6+'Old Faithful'!B6+'Pacific Standard'!B6+'Red Rock'!B6+SeeChange!B6+'States General'!B6+Statesman!B6+'Summit National'!B6+Supreme!B6+Underwriters!B6+Unison!B6+'United Republic'!B6+Universe!B6+Villanova!B6</f>
        <v>5228591.6800111365</v>
      </c>
      <c r="C6" s="1">
        <f>+'Alabama Life'!C6+'American Chambers'!C6+'American Educators'!C6+'American Integrity'!C6+'Amer Life Asr'!C6+'American Medical'!C6+'Amer Std Life Acc'!C6+AmerWstrn!C6+'AMS Life'!C6+'Andrew Jackson'!C6+'Bankers Commercial'!C6+Benicorp!C6+Centennial!C6+'Coastal States'!C6+'Confed Life (CLIC)'!C6+'Consolidated National'!C6+'Consumers Mutual'!C6+'Consumers United'!C6+'Corporate Life'!C6+'Diamond Benefits'!C6+'EBL Life'!C6+'Family Guaranty'!C6+'Fidelity Bankers'!C6+'First Natl'!C6+'Franklin American'!C6+'Franklin Protective'!C6+'George Washington'!C6+'Golden State'!C6+'Guarantee Security'!C6+Imerica!C6+'Inter-American'!C6+'International Fin'!C6+'Investment Life of America'!C6+'Investors Equity'!C6+'Kentucky Central'!C6+Legion!C6+'London Pac'!C6+'Medical Savings'!C6+'Midwest Life'!C6+'Mutual Benefit'!C6+'Mutual Security'!C6+'National Affiliated'!C6+'Natl American'!C6+'National Heritage'!C6+'New Jersey Life'!C6+'Old Colony Life'!C6+'Old Faithful'!C6+'Pacific Standard'!C6+'Red Rock'!C6+SeeChange!C6+'States General'!C6+Statesman!C6+'Summit National'!C6+Supreme!C6+Underwriters!C6+Unison!C6+'United Republic'!C6+Universe!C6+Villanova!C6</f>
        <v>9096975.390312057</v>
      </c>
      <c r="D6" s="1">
        <f>+'Alabama Life'!D6+'American Chambers'!D6+'American Educators'!D6+'American Integrity'!D6+'Amer Life Asr'!D6+'American Medical'!D6+'Amer Std Life Acc'!D6+AmerWstrn!D6+'AMS Life'!D6+'Andrew Jackson'!D6+'Bankers Commercial'!D6+Benicorp!D6+Centennial!D6+'Coastal States'!D6+'Confed Life (CLIC)'!D6+'Consolidated National'!D6+'Consumers Mutual'!D6+'Consumers United'!D6+'Corporate Life'!D6+'Diamond Benefits'!D6+'EBL Life'!D6+'Family Guaranty'!D6+'Fidelity Bankers'!D6+'First Natl'!D6+'Franklin American'!D6+'Franklin Protective'!D6+'George Washington'!D6+'Golden State'!D6+'Guarantee Security'!D6+Imerica!D6+'Inter-American'!D6+'International Fin'!D6+'Investment Life of America'!D6+'Investors Equity'!D6+'Kentucky Central'!D6+Legion!D6+'London Pac'!D6+'Medical Savings'!D6+'Midwest Life'!D6+'Mutual Benefit'!D6+'Mutual Security'!D6+'National Affiliated'!D6+'Natl American'!D6+'National Heritage'!D6+'New Jersey Life'!D6+'Old Colony Life'!D6+'Old Faithful'!D6+'Pacific Standard'!D6+'Red Rock'!D6+SeeChange!D6+'States General'!D6+Statesman!D6+'Summit National'!D6+Supreme!D6+Underwriters!D6+Unison!D6+'United Republic'!D6+Universe!D6+Villanova!D6</f>
        <v>1821021.1405656873</v>
      </c>
      <c r="E6" s="1">
        <f>+'Alabama Life'!E6+'American Chambers'!E6+'American Educators'!E6+'American Integrity'!E6+'Amer Life Asr'!E6+'American Medical'!E6+'Amer Std Life Acc'!E6+AmerWstrn!E6+'AMS Life'!E6+'Andrew Jackson'!E6+'Bankers Commercial'!E6+Benicorp!E6+Centennial!E6+'Coastal States'!E6+'Confed Life (CLIC)'!E6+'Consolidated National'!E6+'Consumers Mutual'!E6+'Consumers United'!E6+'Corporate Life'!E6+'Diamond Benefits'!E6+'EBL Life'!E6+'Family Guaranty'!E6+'Fidelity Bankers'!E6+'First Natl'!E6+'Franklin American'!E6+'Franklin Protective'!E6+'George Washington'!E6+'Golden State'!E6+'Guarantee Security'!E6+Imerica!E6+'Inter-American'!E6+'International Fin'!E6+'Investment Life of America'!E6+'Investors Equity'!E6+'Kentucky Central'!E6+Legion!E6+'London Pac'!E6+'Medical Savings'!E6+'Midwest Life'!E6+'Mutual Benefit'!E6+'Mutual Security'!E6+'National Affiliated'!E6+'Natl American'!E6+'National Heritage'!E6+'New Jersey Life'!E6+'Old Colony Life'!E6+'Old Faithful'!E6+'Pacific Standard'!E6+'Red Rock'!E6+SeeChange!E6+'States General'!E6+Statesman!E6+'Summit National'!E6+Supreme!E6+Underwriters!E6+Unison!E6+'United Republic'!E6+Universe!E6+Villanova!E6</f>
        <v>0</v>
      </c>
      <c r="F6" s="1">
        <f>+'Alabama Life'!F6+'American Chambers'!F6+'American Educators'!F6+'American Integrity'!F6+'Amer Life Asr'!F6+'American Medical'!F6+'Amer Std Life Acc'!F6+AmerWstrn!F6+'AMS Life'!F6+'Andrew Jackson'!F6+'Bankers Commercial'!F6+Benicorp!F6+Centennial!F6+'Coastal States'!F6+'Confed Life (CLIC)'!F6+'Consolidated National'!F6+'Consumers Mutual'!F6+'Consumers United'!F6+'Corporate Life'!F6+'Diamond Benefits'!F6+'EBL Life'!F6+'Family Guaranty'!F6+'Fidelity Bankers'!F6+'First Natl'!F6+'Franklin American'!F6+'Franklin Protective'!F6+'George Washington'!F6+'Golden State'!F6+'Guarantee Security'!F6+Imerica!F6+'Inter-American'!F6+'International Fin'!F6+'Investment Life of America'!F6+'Investors Equity'!F6+'Kentucky Central'!F6+Legion!F6+'London Pac'!F6+'Medical Savings'!F6+'Midwest Life'!F6+'Mutual Benefit'!F6+'Mutual Security'!F6+'National Affiliated'!F6+'Natl American'!F6+'National Heritage'!F6+'New Jersey Life'!F6+'Old Colony Life'!F6+'Old Faithful'!F6+'Pacific Standard'!F6+'Red Rock'!F6+SeeChange!F6+'States General'!F6+Statesman!F6+'Summit National'!F6+Supreme!F6+Underwriters!F6+Unison!F6+'United Republic'!F6+Universe!F6+Villanova!F6</f>
        <v>0</v>
      </c>
      <c r="G6" s="1">
        <f t="shared" ref="G6:G37" si="0">SUM(B6:F6)</f>
        <v>16146588.210888881</v>
      </c>
      <c r="H6" s="1">
        <f>+'Alabama Life'!G6+'American Chambers'!G6+'American Educators'!G6+'American Integrity'!G6+'Amer Life Asr'!G6+'American Medical'!G6+'Amer Std Life Acc'!G6+AmerWstrn!G6+'AMS Life'!G6+'Andrew Jackson'!G6+'Bankers Commercial'!G6+Benicorp!G6+Centennial!G6+'Coastal States'!G6+'Confed Life (CLIC)'!G6+'Consolidated National'!G6+'Consumers Mutual'!G6+'Consumers United'!G6+'Corporate Life'!G6+'Diamond Benefits'!G6+'EBL Life'!G6+'Family Guaranty'!G6+'Fidelity Bankers'!G6+'First Natl'!G6+'Franklin American'!G6+'Franklin Protective'!G6+'George Washington'!G6+'Golden State'!G6+'Guarantee Security'!G6+Imerica!G6+'Inter-American'!G6+'International Fin'!G6+'Investment Life of America'!G6+'Investors Equity'!G6+'Kentucky Central'!G6+Legion!G6+'London Pac'!G6+'Medical Savings'!G6+'Midwest Life'!G6+'Mutual Benefit'!G6+'Mutual Security'!G6+'National Affiliated'!G6+'Natl American'!G6+'National Heritage'!G6+'New Jersey Life'!G6+'Old Colony Life'!G6+'Old Faithful'!G6+'Pacific Standard'!G6+'Red Rock'!G6+SeeChange!G6+'States General'!G6+Statesman!G6+'Summit National'!G6+Supreme!G6+Underwriters!G6+Unison!G6+'United Republic'!G6+Universe!G6+Villanova!G6</f>
        <v>16146588.210888883</v>
      </c>
      <c r="I6" s="1">
        <f t="shared" ref="I6:I37" si="1">G6-H6</f>
        <v>0</v>
      </c>
      <c r="K6" s="1" t="s">
        <v>348</v>
      </c>
      <c r="L6" s="1">
        <f>Summary!TOTAL_98825</f>
        <v>3318532.7600000002</v>
      </c>
    </row>
    <row r="7" spans="1:12">
      <c r="A7" s="1" t="s">
        <v>12</v>
      </c>
      <c r="B7" s="1">
        <f>+'Alabama Life'!B7+'American Chambers'!B7+'American Educators'!B7+'American Integrity'!B7+'Amer Life Asr'!B7+'American Medical'!B7+'Amer Std Life Acc'!B7+AmerWstrn!B7+'AMS Life'!B7+'Andrew Jackson'!B7+'Bankers Commercial'!B7+Benicorp!B7+Centennial!B7+'Coastal States'!B7+'Confed Life (CLIC)'!B7+'Consolidated National'!B7+'Consumers Mutual'!B7+'Consumers United'!B7+'Corporate Life'!B7+'Diamond Benefits'!B7+'EBL Life'!B7+'Family Guaranty'!B7+'Fidelity Bankers'!B7+'First Natl'!B7+'Franklin American'!B7+'Franklin Protective'!B7+'George Washington'!B7+'Golden State'!B7+'Guarantee Security'!B7+Imerica!B7+'Inter-American'!B7+'International Fin'!B7+'Investment Life of America'!B7+'Investors Equity'!B7+'Kentucky Central'!B7+Legion!B7+'London Pac'!B7+'Medical Savings'!B7+'Midwest Life'!B7+'Mutual Benefit'!B7+'Mutual Security'!B7+'National Affiliated'!B7+'Natl American'!B7+'National Heritage'!B7+'New Jersey Life'!B7+'Old Colony Life'!B7+'Old Faithful'!B7+'Pacific Standard'!B7+'Red Rock'!B7+SeeChange!B7+'States General'!B7+Statesman!B7+'Summit National'!B7+Supreme!B7+Underwriters!B7+Unison!B7+'United Republic'!B7+Universe!B7+Villanova!B7</f>
        <v>131433.68866481315</v>
      </c>
      <c r="C7" s="1">
        <f>+'Alabama Life'!C7+'American Chambers'!C7+'American Educators'!C7+'American Integrity'!C7+'Amer Life Asr'!C7+'American Medical'!C7+'Amer Std Life Acc'!C7+AmerWstrn!C7+'AMS Life'!C7+'Andrew Jackson'!C7+'Bankers Commercial'!C7+Benicorp!C7+Centennial!C7+'Coastal States'!C7+'Confed Life (CLIC)'!C7+'Consolidated National'!C7+'Consumers Mutual'!C7+'Consumers United'!C7+'Corporate Life'!C7+'Diamond Benefits'!C7+'EBL Life'!C7+'Family Guaranty'!C7+'Fidelity Bankers'!C7+'First Natl'!C7+'Franklin American'!C7+'Franklin Protective'!C7+'George Washington'!C7+'Golden State'!C7+'Guarantee Security'!C7+Imerica!C7+'Inter-American'!C7+'International Fin'!C7+'Investment Life of America'!C7+'Investors Equity'!C7+'Kentucky Central'!C7+Legion!C7+'London Pac'!C7+'Medical Savings'!C7+'Midwest Life'!C7+'Mutual Benefit'!C7+'Mutual Security'!C7+'National Affiliated'!C7+'Natl American'!C7+'National Heritage'!C7+'New Jersey Life'!C7+'Old Colony Life'!C7+'Old Faithful'!C7+'Pacific Standard'!C7+'Red Rock'!C7+SeeChange!C7+'States General'!C7+Statesman!C7+'Summit National'!C7+Supreme!C7+Underwriters!C7+Unison!C7+'United Republic'!C7+Universe!C7+Villanova!C7</f>
        <v>281644.83166244125</v>
      </c>
      <c r="D7" s="1">
        <f>+'Alabama Life'!D7+'American Chambers'!D7+'American Educators'!D7+'American Integrity'!D7+'Amer Life Asr'!D7+'American Medical'!D7+'Amer Std Life Acc'!D7+AmerWstrn!D7+'AMS Life'!D7+'Andrew Jackson'!D7+'Bankers Commercial'!D7+Benicorp!D7+Centennial!D7+'Coastal States'!D7+'Confed Life (CLIC)'!D7+'Consolidated National'!D7+'Consumers Mutual'!D7+'Consumers United'!D7+'Corporate Life'!D7+'Diamond Benefits'!D7+'EBL Life'!D7+'Family Guaranty'!D7+'Fidelity Bankers'!D7+'First Natl'!D7+'Franklin American'!D7+'Franklin Protective'!D7+'George Washington'!D7+'Golden State'!D7+'Guarantee Security'!D7+Imerica!D7+'Inter-American'!D7+'International Fin'!D7+'Investment Life of America'!D7+'Investors Equity'!D7+'Kentucky Central'!D7+Legion!D7+'London Pac'!D7+'Medical Savings'!D7+'Midwest Life'!D7+'Mutual Benefit'!D7+'Mutual Security'!D7+'National Affiliated'!D7+'Natl American'!D7+'National Heritage'!D7+'New Jersey Life'!D7+'Old Colony Life'!D7+'Old Faithful'!D7+'Pacific Standard'!D7+'Red Rock'!D7+SeeChange!D7+'States General'!D7+Statesman!D7+'Summit National'!D7+Supreme!D7+Underwriters!D7+Unison!D7+'United Republic'!D7+Universe!D7+Villanova!D7</f>
        <v>40453.793357462891</v>
      </c>
      <c r="E7" s="1">
        <f>+'Alabama Life'!E7+'American Chambers'!E7+'American Educators'!E7+'American Integrity'!E7+'Amer Life Asr'!E7+'American Medical'!E7+'Amer Std Life Acc'!E7+AmerWstrn!E7+'AMS Life'!E7+'Andrew Jackson'!E7+'Bankers Commercial'!E7+Benicorp!E7+Centennial!E7+'Coastal States'!E7+'Confed Life (CLIC)'!E7+'Consolidated National'!E7+'Consumers Mutual'!E7+'Consumers United'!E7+'Corporate Life'!E7+'Diamond Benefits'!E7+'EBL Life'!E7+'Family Guaranty'!E7+'Fidelity Bankers'!E7+'First Natl'!E7+'Franklin American'!E7+'Franklin Protective'!E7+'George Washington'!E7+'Golden State'!E7+'Guarantee Security'!E7+Imerica!E7+'Inter-American'!E7+'International Fin'!E7+'Investment Life of America'!E7+'Investors Equity'!E7+'Kentucky Central'!E7+Legion!E7+'London Pac'!E7+'Medical Savings'!E7+'Midwest Life'!E7+'Mutual Benefit'!E7+'Mutual Security'!E7+'National Affiliated'!E7+'Natl American'!E7+'National Heritage'!E7+'New Jersey Life'!E7+'Old Colony Life'!E7+'Old Faithful'!E7+'Pacific Standard'!E7+'Red Rock'!E7+SeeChange!E7+'States General'!E7+Statesman!E7+'Summit National'!E7+Supreme!E7+Underwriters!E7+Unison!E7+'United Republic'!E7+Universe!E7+Villanova!E7</f>
        <v>-526.53156057171236</v>
      </c>
      <c r="F7" s="1">
        <f>+'Alabama Life'!F7+'American Chambers'!F7+'American Educators'!F7+'American Integrity'!F7+'Amer Life Asr'!F7+'American Medical'!F7+'Amer Std Life Acc'!F7+AmerWstrn!F7+'AMS Life'!F7+'Andrew Jackson'!F7+'Bankers Commercial'!F7+Benicorp!F7+Centennial!F7+'Coastal States'!F7+'Confed Life (CLIC)'!F7+'Consolidated National'!F7+'Consumers Mutual'!F7+'Consumers United'!F7+'Corporate Life'!F7+'Diamond Benefits'!F7+'EBL Life'!F7+'Family Guaranty'!F7+'Fidelity Bankers'!F7+'First Natl'!F7+'Franklin American'!F7+'Franklin Protective'!F7+'George Washington'!F7+'Golden State'!F7+'Guarantee Security'!F7+Imerica!F7+'Inter-American'!F7+'International Fin'!F7+'Investment Life of America'!F7+'Investors Equity'!F7+'Kentucky Central'!F7+Legion!F7+'London Pac'!F7+'Medical Savings'!F7+'Midwest Life'!F7+'Mutual Benefit'!F7+'Mutual Security'!F7+'National Affiliated'!F7+'Natl American'!F7+'National Heritage'!F7+'New Jersey Life'!F7+'Old Colony Life'!F7+'Old Faithful'!F7+'Pacific Standard'!F7+'Red Rock'!F7+SeeChange!F7+'States General'!F7+Statesman!F7+'Summit National'!F7+Supreme!F7+Underwriters!F7+Unison!F7+'United Republic'!F7+Universe!F7+Villanova!F7</f>
        <v>0</v>
      </c>
      <c r="G7" s="1">
        <f t="shared" si="0"/>
        <v>453005.78212414565</v>
      </c>
      <c r="H7" s="1">
        <f>+'Alabama Life'!G7+'American Chambers'!G7+'American Educators'!G7+'American Integrity'!G7+'Amer Life Asr'!G7+'American Medical'!G7+'Amer Std Life Acc'!G7+AmerWstrn!G7+'AMS Life'!G7+'Andrew Jackson'!G7+'Bankers Commercial'!G7+Benicorp!G7+Centennial!G7+'Coastal States'!G7+'Confed Life (CLIC)'!G7+'Consolidated National'!G7+'Consumers Mutual'!G7+'Consumers United'!G7+'Corporate Life'!G7+'Diamond Benefits'!G7+'EBL Life'!G7+'Family Guaranty'!G7+'Fidelity Bankers'!G7+'First Natl'!G7+'Franklin American'!G7+'Franklin Protective'!G7+'George Washington'!G7+'Golden State'!G7+'Guarantee Security'!G7+Imerica!G7+'Inter-American'!G7+'International Fin'!G7+'Investment Life of America'!G7+'Investors Equity'!G7+'Kentucky Central'!G7+Legion!G7+'London Pac'!G7+'Medical Savings'!G7+'Midwest Life'!G7+'Mutual Benefit'!G7+'Mutual Security'!G7+'National Affiliated'!G7+'Natl American'!G7+'National Heritage'!G7+'New Jersey Life'!G7+'Old Colony Life'!G7+'Old Faithful'!G7+'Pacific Standard'!G7+'Red Rock'!G7+SeeChange!G7+'States General'!G7+Statesman!G7+'Summit National'!G7+Supreme!G7+Underwriters!G7+Unison!G7+'United Republic'!G7+Universe!G7+Villanova!G7</f>
        <v>453005.78212414554</v>
      </c>
      <c r="I7" s="1">
        <f t="shared" si="1"/>
        <v>0</v>
      </c>
      <c r="K7" s="1" t="s">
        <v>354</v>
      </c>
      <c r="L7" s="1">
        <f>Summary!TOTAL_75914</f>
        <v>26432414.784079995</v>
      </c>
    </row>
    <row r="8" spans="1:12">
      <c r="A8" s="1" t="s">
        <v>13</v>
      </c>
      <c r="B8" s="1">
        <f>+'Alabama Life'!B8+'American Chambers'!B8+'American Educators'!B8+'American Integrity'!B8+'Amer Life Asr'!B8+'American Medical'!B8+'Amer Std Life Acc'!B8+AmerWstrn!B8+'AMS Life'!B8+'Andrew Jackson'!B8+'Bankers Commercial'!B8+Benicorp!B8+Centennial!B8+'Coastal States'!B8+'Confed Life (CLIC)'!B8+'Consolidated National'!B8+'Consumers Mutual'!B8+'Consumers United'!B8+'Corporate Life'!B8+'Diamond Benefits'!B8+'EBL Life'!B8+'Family Guaranty'!B8+'Fidelity Bankers'!B8+'First Natl'!B8+'Franklin American'!B8+'Franklin Protective'!B8+'George Washington'!B8+'Golden State'!B8+'Guarantee Security'!B8+Imerica!B8+'Inter-American'!B8+'International Fin'!B8+'Investment Life of America'!B8+'Investors Equity'!B8+'Kentucky Central'!B8+Legion!B8+'London Pac'!B8+'Medical Savings'!B8+'Midwest Life'!B8+'Mutual Benefit'!B8+'Mutual Security'!B8+'National Affiliated'!B8+'Natl American'!B8+'National Heritage'!B8+'New Jersey Life'!B8+'Old Colony Life'!B8+'Old Faithful'!B8+'Pacific Standard'!B8+'Red Rock'!B8+SeeChange!B8+'States General'!B8+Statesman!B8+'Summit National'!B8+Supreme!B8+Underwriters!B8+Unison!B8+'United Republic'!B8+Universe!B8+Villanova!B8</f>
        <v>4560131.5292433659</v>
      </c>
      <c r="C8" s="1">
        <f>+'Alabama Life'!C8+'American Chambers'!C8+'American Educators'!C8+'American Integrity'!C8+'Amer Life Asr'!C8+'American Medical'!C8+'Amer Std Life Acc'!C8+AmerWstrn!C8+'AMS Life'!C8+'Andrew Jackson'!C8+'Bankers Commercial'!C8+Benicorp!C8+Centennial!C8+'Coastal States'!C8+'Confed Life (CLIC)'!C8+'Consolidated National'!C8+'Consumers Mutual'!C8+'Consumers United'!C8+'Corporate Life'!C8+'Diamond Benefits'!C8+'EBL Life'!C8+'Family Guaranty'!C8+'Fidelity Bankers'!C8+'First Natl'!C8+'Franklin American'!C8+'Franklin Protective'!C8+'George Washington'!C8+'Golden State'!C8+'Guarantee Security'!C8+Imerica!C8+'Inter-American'!C8+'International Fin'!C8+'Investment Life of America'!C8+'Investors Equity'!C8+'Kentucky Central'!C8+Legion!C8+'London Pac'!C8+'Medical Savings'!C8+'Midwest Life'!C8+'Mutual Benefit'!C8+'Mutual Security'!C8+'National Affiliated'!C8+'Natl American'!C8+'National Heritage'!C8+'New Jersey Life'!C8+'Old Colony Life'!C8+'Old Faithful'!C8+'Pacific Standard'!C8+'Red Rock'!C8+SeeChange!C8+'States General'!C8+Statesman!C8+'Summit National'!C8+Supreme!C8+Underwriters!C8+Unison!C8+'United Republic'!C8+Universe!C8+Villanova!C8</f>
        <v>14820024.700104868</v>
      </c>
      <c r="D8" s="1">
        <f>+'Alabama Life'!D8+'American Chambers'!D8+'American Educators'!D8+'American Integrity'!D8+'Amer Life Asr'!D8+'American Medical'!D8+'Amer Std Life Acc'!D8+AmerWstrn!D8+'AMS Life'!D8+'Andrew Jackson'!D8+'Bankers Commercial'!D8+Benicorp!D8+Centennial!D8+'Coastal States'!D8+'Confed Life (CLIC)'!D8+'Consolidated National'!D8+'Consumers Mutual'!D8+'Consumers United'!D8+'Corporate Life'!D8+'Diamond Benefits'!D8+'EBL Life'!D8+'Family Guaranty'!D8+'Fidelity Bankers'!D8+'First Natl'!D8+'Franklin American'!D8+'Franklin Protective'!D8+'George Washington'!D8+'Golden State'!D8+'Guarantee Security'!D8+Imerica!D8+'Inter-American'!D8+'International Fin'!D8+'Investment Life of America'!D8+'Investors Equity'!D8+'Kentucky Central'!D8+Legion!D8+'London Pac'!D8+'Medical Savings'!D8+'Midwest Life'!D8+'Mutual Benefit'!D8+'Mutual Security'!D8+'National Affiliated'!D8+'Natl American'!D8+'National Heritage'!D8+'New Jersey Life'!D8+'Old Colony Life'!D8+'Old Faithful'!D8+'Pacific Standard'!D8+'Red Rock'!D8+SeeChange!D8+'States General'!D8+Statesman!D8+'Summit National'!D8+Supreme!D8+Underwriters!D8+Unison!D8+'United Republic'!D8+Universe!D8+Villanova!D8</f>
        <v>2245769.9319725493</v>
      </c>
      <c r="E8" s="1">
        <f>+'Alabama Life'!E8+'American Chambers'!E8+'American Educators'!E8+'American Integrity'!E8+'Amer Life Asr'!E8+'American Medical'!E8+'Amer Std Life Acc'!E8+AmerWstrn!E8+'AMS Life'!E8+'Andrew Jackson'!E8+'Bankers Commercial'!E8+Benicorp!E8+Centennial!E8+'Coastal States'!E8+'Confed Life (CLIC)'!E8+'Consolidated National'!E8+'Consumers Mutual'!E8+'Consumers United'!E8+'Corporate Life'!E8+'Diamond Benefits'!E8+'EBL Life'!E8+'Family Guaranty'!E8+'Fidelity Bankers'!E8+'First Natl'!E8+'Franklin American'!E8+'Franklin Protective'!E8+'George Washington'!E8+'Golden State'!E8+'Guarantee Security'!E8+Imerica!E8+'Inter-American'!E8+'International Fin'!E8+'Investment Life of America'!E8+'Investors Equity'!E8+'Kentucky Central'!E8+Legion!E8+'London Pac'!E8+'Medical Savings'!E8+'Midwest Life'!E8+'Mutual Benefit'!E8+'Mutual Security'!E8+'National Affiliated'!E8+'Natl American'!E8+'National Heritage'!E8+'New Jersey Life'!E8+'Old Colony Life'!E8+'Old Faithful'!E8+'Pacific Standard'!E8+'Red Rock'!E8+SeeChange!E8+'States General'!E8+Statesman!E8+'Summit National'!E8+Supreme!E8+Underwriters!E8+Unison!E8+'United Republic'!E8+Universe!E8+Villanova!E8</f>
        <v>0</v>
      </c>
      <c r="F8" s="1">
        <f>+'Alabama Life'!F8+'American Chambers'!F8+'American Educators'!F8+'American Integrity'!F8+'Amer Life Asr'!F8+'American Medical'!F8+'Amer Std Life Acc'!F8+AmerWstrn!F8+'AMS Life'!F8+'Andrew Jackson'!F8+'Bankers Commercial'!F8+Benicorp!F8+Centennial!F8+'Coastal States'!F8+'Confed Life (CLIC)'!F8+'Consolidated National'!F8+'Consumers Mutual'!F8+'Consumers United'!F8+'Corporate Life'!F8+'Diamond Benefits'!F8+'EBL Life'!F8+'Family Guaranty'!F8+'Fidelity Bankers'!F8+'First Natl'!F8+'Franklin American'!F8+'Franklin Protective'!F8+'George Washington'!F8+'Golden State'!F8+'Guarantee Security'!F8+Imerica!F8+'Inter-American'!F8+'International Fin'!F8+'Investment Life of America'!F8+'Investors Equity'!F8+'Kentucky Central'!F8+Legion!F8+'London Pac'!F8+'Medical Savings'!F8+'Midwest Life'!F8+'Mutual Benefit'!F8+'Mutual Security'!F8+'National Affiliated'!F8+'Natl American'!F8+'National Heritage'!F8+'New Jersey Life'!F8+'Old Colony Life'!F8+'Old Faithful'!F8+'Pacific Standard'!F8+'Red Rock'!F8+SeeChange!F8+'States General'!F8+Statesman!F8+'Summit National'!F8+Supreme!F8+Underwriters!F8+Unison!F8+'United Republic'!F8+Universe!F8+Villanova!F8</f>
        <v>0</v>
      </c>
      <c r="G8" s="1">
        <f t="shared" si="0"/>
        <v>21625926.161320783</v>
      </c>
      <c r="H8" s="1">
        <f>+'Alabama Life'!G8+'American Chambers'!G8+'American Educators'!G8+'American Integrity'!G8+'Amer Life Asr'!G8+'American Medical'!G8+'Amer Std Life Acc'!G8+AmerWstrn!G8+'AMS Life'!G8+'Andrew Jackson'!G8+'Bankers Commercial'!G8+Benicorp!G8+Centennial!G8+'Coastal States'!G8+'Confed Life (CLIC)'!G8+'Consolidated National'!G8+'Consumers Mutual'!G8+'Consumers United'!G8+'Corporate Life'!G8+'Diamond Benefits'!G8+'EBL Life'!G8+'Family Guaranty'!G8+'Fidelity Bankers'!G8+'First Natl'!G8+'Franklin American'!G8+'Franklin Protective'!G8+'George Washington'!G8+'Golden State'!G8+'Guarantee Security'!G8+Imerica!G8+'Inter-American'!G8+'International Fin'!G8+'Investment Life of America'!G8+'Investors Equity'!G8+'Kentucky Central'!G8+Legion!G8+'London Pac'!G8+'Medical Savings'!G8+'Midwest Life'!G8+'Mutual Benefit'!G8+'Mutual Security'!G8+'National Affiliated'!G8+'Natl American'!G8+'National Heritage'!G8+'New Jersey Life'!G8+'Old Colony Life'!G8+'Old Faithful'!G8+'Pacific Standard'!G8+'Red Rock'!G8+SeeChange!G8+'States General'!G8+Statesman!G8+'Summit National'!G8+Supreme!G8+Underwriters!G8+Unison!G8+'United Republic'!G8+Universe!G8+Villanova!G8</f>
        <v>21625926.161320776</v>
      </c>
      <c r="I8" s="1">
        <f t="shared" si="1"/>
        <v>0</v>
      </c>
      <c r="K8" s="1" t="s">
        <v>360</v>
      </c>
      <c r="L8" s="1">
        <f>Summary!TOTAL_60356</f>
        <v>4929655.2699999996</v>
      </c>
    </row>
    <row r="9" spans="1:12">
      <c r="A9" s="1" t="s">
        <v>15</v>
      </c>
      <c r="B9" s="1">
        <f>+'Alabama Life'!B9+'American Chambers'!B9+'American Educators'!B9+'American Integrity'!B9+'Amer Life Asr'!B9+'American Medical'!B9+'Amer Std Life Acc'!B9+AmerWstrn!B9+'AMS Life'!B9+'Andrew Jackson'!B9+'Bankers Commercial'!B9+Benicorp!B9+Centennial!B9+'Coastal States'!B9+'Confed Life (CLIC)'!B9+'Consolidated National'!B9+'Consumers Mutual'!B9+'Consumers United'!B9+'Corporate Life'!B9+'Diamond Benefits'!B9+'EBL Life'!B9+'Family Guaranty'!B9+'Fidelity Bankers'!B9+'First Natl'!B9+'Franklin American'!B9+'Franklin Protective'!B9+'George Washington'!B9+'Golden State'!B9+'Guarantee Security'!B9+Imerica!B9+'Inter-American'!B9+'International Fin'!B9+'Investment Life of America'!B9+'Investors Equity'!B9+'Kentucky Central'!B9+Legion!B9+'London Pac'!B9+'Medical Savings'!B9+'Midwest Life'!B9+'Mutual Benefit'!B9+'Mutual Security'!B9+'National Affiliated'!B9+'Natl American'!B9+'National Heritage'!B9+'New Jersey Life'!B9+'Old Colony Life'!B9+'Old Faithful'!B9+'Pacific Standard'!B9+'Red Rock'!B9+SeeChange!B9+'States General'!B9+Statesman!B9+'Summit National'!B9+Supreme!B9+Underwriters!B9+Unison!B9+'United Republic'!B9+Universe!B9+Villanova!B9</f>
        <v>2156594.3874010476</v>
      </c>
      <c r="C9" s="1">
        <f>+'Alabama Life'!C9+'American Chambers'!C9+'American Educators'!C9+'American Integrity'!C9+'Amer Life Asr'!C9+'American Medical'!C9+'Amer Std Life Acc'!C9+AmerWstrn!C9+'AMS Life'!C9+'Andrew Jackson'!C9+'Bankers Commercial'!C9+Benicorp!C9+Centennial!C9+'Coastal States'!C9+'Confed Life (CLIC)'!C9+'Consolidated National'!C9+'Consumers Mutual'!C9+'Consumers United'!C9+'Corporate Life'!C9+'Diamond Benefits'!C9+'EBL Life'!C9+'Family Guaranty'!C9+'Fidelity Bankers'!C9+'First Natl'!C9+'Franklin American'!C9+'Franklin Protective'!C9+'George Washington'!C9+'Golden State'!C9+'Guarantee Security'!C9+Imerica!C9+'Inter-American'!C9+'International Fin'!C9+'Investment Life of America'!C9+'Investors Equity'!C9+'Kentucky Central'!C9+Legion!C9+'London Pac'!C9+'Medical Savings'!C9+'Midwest Life'!C9+'Mutual Benefit'!C9+'Mutual Security'!C9+'National Affiliated'!C9+'Natl American'!C9+'National Heritage'!C9+'New Jersey Life'!C9+'Old Colony Life'!C9+'Old Faithful'!C9+'Pacific Standard'!C9+'Red Rock'!C9+SeeChange!C9+'States General'!C9+Statesman!C9+'Summit National'!C9+Supreme!C9+Underwriters!C9+Unison!C9+'United Republic'!C9+Universe!C9+Villanova!C9</f>
        <v>2230373.8965083743</v>
      </c>
      <c r="D9" s="1">
        <f>+'Alabama Life'!D9+'American Chambers'!D9+'American Educators'!D9+'American Integrity'!D9+'Amer Life Asr'!D9+'American Medical'!D9+'Amer Std Life Acc'!D9+AmerWstrn!D9+'AMS Life'!D9+'Andrew Jackson'!D9+'Bankers Commercial'!D9+Benicorp!D9+Centennial!D9+'Coastal States'!D9+'Confed Life (CLIC)'!D9+'Consolidated National'!D9+'Consumers Mutual'!D9+'Consumers United'!D9+'Corporate Life'!D9+'Diamond Benefits'!D9+'EBL Life'!D9+'Family Guaranty'!D9+'Fidelity Bankers'!D9+'First Natl'!D9+'Franklin American'!D9+'Franklin Protective'!D9+'George Washington'!D9+'Golden State'!D9+'Guarantee Security'!D9+Imerica!D9+'Inter-American'!D9+'International Fin'!D9+'Investment Life of America'!D9+'Investors Equity'!D9+'Kentucky Central'!D9+Legion!D9+'London Pac'!D9+'Medical Savings'!D9+'Midwest Life'!D9+'Mutual Benefit'!D9+'Mutual Security'!D9+'National Affiliated'!D9+'Natl American'!D9+'National Heritage'!D9+'New Jersey Life'!D9+'Old Colony Life'!D9+'Old Faithful'!D9+'Pacific Standard'!D9+'Red Rock'!D9+SeeChange!D9+'States General'!D9+Statesman!D9+'Summit National'!D9+Supreme!D9+Underwriters!D9+Unison!D9+'United Republic'!D9+Universe!D9+Villanova!D9</f>
        <v>3255488.3484150204</v>
      </c>
      <c r="E9" s="1">
        <f>+'Alabama Life'!E9+'American Chambers'!E9+'American Educators'!E9+'American Integrity'!E9+'Amer Life Asr'!E9+'American Medical'!E9+'Amer Std Life Acc'!E9+AmerWstrn!E9+'AMS Life'!E9+'Andrew Jackson'!E9+'Bankers Commercial'!E9+Benicorp!E9+Centennial!E9+'Coastal States'!E9+'Confed Life (CLIC)'!E9+'Consolidated National'!E9+'Consumers Mutual'!E9+'Consumers United'!E9+'Corporate Life'!E9+'Diamond Benefits'!E9+'EBL Life'!E9+'Family Guaranty'!E9+'Fidelity Bankers'!E9+'First Natl'!E9+'Franklin American'!E9+'Franklin Protective'!E9+'George Washington'!E9+'Golden State'!E9+'Guarantee Security'!E9+Imerica!E9+'Inter-American'!E9+'International Fin'!E9+'Investment Life of America'!E9+'Investors Equity'!E9+'Kentucky Central'!E9+Legion!E9+'London Pac'!E9+'Medical Savings'!E9+'Midwest Life'!E9+'Mutual Benefit'!E9+'Mutual Security'!E9+'National Affiliated'!E9+'Natl American'!E9+'National Heritage'!E9+'New Jersey Life'!E9+'Old Colony Life'!E9+'Old Faithful'!E9+'Pacific Standard'!E9+'Red Rock'!E9+SeeChange!E9+'States General'!E9+Statesman!E9+'Summit National'!E9+Supreme!E9+Underwriters!E9+Unison!E9+'United Republic'!E9+Universe!E9+Villanova!E9</f>
        <v>-10.375436133361319</v>
      </c>
      <c r="F9" s="1">
        <f>+'Alabama Life'!F9+'American Chambers'!F9+'American Educators'!F9+'American Integrity'!F9+'Amer Life Asr'!F9+'American Medical'!F9+'Amer Std Life Acc'!F9+AmerWstrn!F9+'AMS Life'!F9+'Andrew Jackson'!F9+'Bankers Commercial'!F9+Benicorp!F9+Centennial!F9+'Coastal States'!F9+'Confed Life (CLIC)'!F9+'Consolidated National'!F9+'Consumers Mutual'!F9+'Consumers United'!F9+'Corporate Life'!F9+'Diamond Benefits'!F9+'EBL Life'!F9+'Family Guaranty'!F9+'Fidelity Bankers'!F9+'First Natl'!F9+'Franklin American'!F9+'Franklin Protective'!F9+'George Washington'!F9+'Golden State'!F9+'Guarantee Security'!F9+Imerica!F9+'Inter-American'!F9+'International Fin'!F9+'Investment Life of America'!F9+'Investors Equity'!F9+'Kentucky Central'!F9+Legion!F9+'London Pac'!F9+'Medical Savings'!F9+'Midwest Life'!F9+'Mutual Benefit'!F9+'Mutual Security'!F9+'National Affiliated'!F9+'Natl American'!F9+'National Heritage'!F9+'New Jersey Life'!F9+'Old Colony Life'!F9+'Old Faithful'!F9+'Pacific Standard'!F9+'Red Rock'!F9+SeeChange!F9+'States General'!F9+Statesman!F9+'Summit National'!F9+Supreme!F9+Underwriters!F9+Unison!F9+'United Republic'!F9+Universe!F9+Villanova!F9</f>
        <v>0</v>
      </c>
      <c r="G9" s="1">
        <f t="shared" si="0"/>
        <v>7642446.2568883086</v>
      </c>
      <c r="H9" s="1">
        <f>+'Alabama Life'!G9+'American Chambers'!G9+'American Educators'!G9+'American Integrity'!G9+'Amer Life Asr'!G9+'American Medical'!G9+'Amer Std Life Acc'!G9+AmerWstrn!G9+'AMS Life'!G9+'Andrew Jackson'!G9+'Bankers Commercial'!G9+Benicorp!G9+Centennial!G9+'Coastal States'!G9+'Confed Life (CLIC)'!G9+'Consolidated National'!G9+'Consumers Mutual'!G9+'Consumers United'!G9+'Corporate Life'!G9+'Diamond Benefits'!G9+'EBL Life'!G9+'Family Guaranty'!G9+'Fidelity Bankers'!G9+'First Natl'!G9+'Franklin American'!G9+'Franklin Protective'!G9+'George Washington'!G9+'Golden State'!G9+'Guarantee Security'!G9+Imerica!G9+'Inter-American'!G9+'International Fin'!G9+'Investment Life of America'!G9+'Investors Equity'!G9+'Kentucky Central'!G9+Legion!G9+'London Pac'!G9+'Medical Savings'!G9+'Midwest Life'!G9+'Mutual Benefit'!G9+'Mutual Security'!G9+'National Affiliated'!G9+'Natl American'!G9+'National Heritage'!G9+'New Jersey Life'!G9+'Old Colony Life'!G9+'Old Faithful'!G9+'Pacific Standard'!G9+'Red Rock'!G9+SeeChange!G9+'States General'!G9+Statesman!G9+'Summit National'!G9+Supreme!G9+Underwriters!G9+Unison!G9+'United Republic'!G9+Universe!G9+Villanova!G9</f>
        <v>7642446.2568883095</v>
      </c>
      <c r="I9" s="1">
        <f t="shared" si="1"/>
        <v>0</v>
      </c>
      <c r="K9" s="1" t="s">
        <v>365</v>
      </c>
      <c r="L9" s="1">
        <f>Summary!TOTAL_10197</f>
        <v>34222634.49000001</v>
      </c>
    </row>
    <row r="10" spans="1:12">
      <c r="A10" s="1" t="s">
        <v>16</v>
      </c>
      <c r="B10" s="1">
        <f>+'Alabama Life'!B10+'American Chambers'!B10+'American Educators'!B10+'American Integrity'!B10+'Amer Life Asr'!B10+'American Medical'!B10+'Amer Std Life Acc'!B10+AmerWstrn!B10+'AMS Life'!B10+'Andrew Jackson'!B10+'Bankers Commercial'!B10+Benicorp!B10+Centennial!B10+'Coastal States'!B10+'Confed Life (CLIC)'!B10+'Consolidated National'!B10+'Consumers Mutual'!B10+'Consumers United'!B10+'Corporate Life'!B10+'Diamond Benefits'!B10+'EBL Life'!B10+'Family Guaranty'!B10+'Fidelity Bankers'!B10+'First Natl'!B10+'Franklin American'!B10+'Franklin Protective'!B10+'George Washington'!B10+'Golden State'!B10+'Guarantee Security'!B10+Imerica!B10+'Inter-American'!B10+'International Fin'!B10+'Investment Life of America'!B10+'Investors Equity'!B10+'Kentucky Central'!B10+Legion!B10+'London Pac'!B10+'Medical Savings'!B10+'Midwest Life'!B10+'Mutual Benefit'!B10+'Mutual Security'!B10+'National Affiliated'!B10+'Natl American'!B10+'National Heritage'!B10+'New Jersey Life'!B10+'Old Colony Life'!B10+'Old Faithful'!B10+'Pacific Standard'!B10+'Red Rock'!B10+SeeChange!B10+'States General'!B10+Statesman!B10+'Summit National'!B10+Supreme!B10+Underwriters!B10+Unison!B10+'United Republic'!B10+Universe!B10+Villanova!B10</f>
        <v>18724050.3509642</v>
      </c>
      <c r="C10" s="1">
        <f>+'Alabama Life'!C10+'American Chambers'!C10+'American Educators'!C10+'American Integrity'!C10+'Amer Life Asr'!C10+'American Medical'!C10+'Amer Std Life Acc'!C10+AmerWstrn!C10+'AMS Life'!C10+'Andrew Jackson'!C10+'Bankers Commercial'!C10+Benicorp!C10+Centennial!C10+'Coastal States'!C10+'Confed Life (CLIC)'!C10+'Consolidated National'!C10+'Consumers Mutual'!C10+'Consumers United'!C10+'Corporate Life'!C10+'Diamond Benefits'!C10+'EBL Life'!C10+'Family Guaranty'!C10+'Fidelity Bankers'!C10+'First Natl'!C10+'Franklin American'!C10+'Franklin Protective'!C10+'George Washington'!C10+'Golden State'!C10+'Guarantee Security'!C10+Imerica!C10+'Inter-American'!C10+'International Fin'!C10+'Investment Life of America'!C10+'Investors Equity'!C10+'Kentucky Central'!C10+Legion!C10+'London Pac'!C10+'Medical Savings'!C10+'Midwest Life'!C10+'Mutual Benefit'!C10+'Mutual Security'!C10+'National Affiliated'!C10+'Natl American'!C10+'National Heritage'!C10+'New Jersey Life'!C10+'Old Colony Life'!C10+'Old Faithful'!C10+'Pacific Standard'!C10+'Red Rock'!C10+SeeChange!C10+'States General'!C10+Statesman!C10+'Summit National'!C10+Supreme!C10+Underwriters!C10+Unison!C10+'United Republic'!C10+Universe!C10+Villanova!C10</f>
        <v>20471615.987984084</v>
      </c>
      <c r="D10" s="1">
        <f>+'Alabama Life'!D10+'American Chambers'!D10+'American Educators'!D10+'American Integrity'!D10+'Amer Life Asr'!D10+'American Medical'!D10+'Amer Std Life Acc'!D10+AmerWstrn!D10+'AMS Life'!D10+'Andrew Jackson'!D10+'Bankers Commercial'!D10+Benicorp!D10+Centennial!D10+'Coastal States'!D10+'Confed Life (CLIC)'!D10+'Consolidated National'!D10+'Consumers Mutual'!D10+'Consumers United'!D10+'Corporate Life'!D10+'Diamond Benefits'!D10+'EBL Life'!D10+'Family Guaranty'!D10+'Fidelity Bankers'!D10+'First Natl'!D10+'Franklin American'!D10+'Franklin Protective'!D10+'George Washington'!D10+'Golden State'!D10+'Guarantee Security'!D10+Imerica!D10+'Inter-American'!D10+'International Fin'!D10+'Investment Life of America'!D10+'Investors Equity'!D10+'Kentucky Central'!D10+Legion!D10+'London Pac'!D10+'Medical Savings'!D10+'Midwest Life'!D10+'Mutual Benefit'!D10+'Mutual Security'!D10+'National Affiliated'!D10+'Natl American'!D10+'National Heritage'!D10+'New Jersey Life'!D10+'Old Colony Life'!D10+'Old Faithful'!D10+'Pacific Standard'!D10+'Red Rock'!D10+SeeChange!D10+'States General'!D10+Statesman!D10+'Summit National'!D10+Supreme!D10+Underwriters!D10+Unison!D10+'United Republic'!D10+Universe!D10+Villanova!D10</f>
        <v>20412791.208488613</v>
      </c>
      <c r="E10" s="1">
        <f>+'Alabama Life'!E10+'American Chambers'!E10+'American Educators'!E10+'American Integrity'!E10+'Amer Life Asr'!E10+'American Medical'!E10+'Amer Std Life Acc'!E10+AmerWstrn!E10+'AMS Life'!E10+'Andrew Jackson'!E10+'Bankers Commercial'!E10+Benicorp!E10+Centennial!E10+'Coastal States'!E10+'Confed Life (CLIC)'!E10+'Consolidated National'!E10+'Consumers Mutual'!E10+'Consumers United'!E10+'Corporate Life'!E10+'Diamond Benefits'!E10+'EBL Life'!E10+'Family Guaranty'!E10+'Fidelity Bankers'!E10+'First Natl'!E10+'Franklin American'!E10+'Franklin Protective'!E10+'George Washington'!E10+'Golden State'!E10+'Guarantee Security'!E10+Imerica!E10+'Inter-American'!E10+'International Fin'!E10+'Investment Life of America'!E10+'Investors Equity'!E10+'Kentucky Central'!E10+Legion!E10+'London Pac'!E10+'Medical Savings'!E10+'Midwest Life'!E10+'Mutual Benefit'!E10+'Mutual Security'!E10+'National Affiliated'!E10+'Natl American'!E10+'National Heritage'!E10+'New Jersey Life'!E10+'Old Colony Life'!E10+'Old Faithful'!E10+'Pacific Standard'!E10+'Red Rock'!E10+SeeChange!E10+'States General'!E10+Statesman!E10+'Summit National'!E10+Supreme!E10+Underwriters!E10+Unison!E10+'United Republic'!E10+Universe!E10+Villanova!E10</f>
        <v>0</v>
      </c>
      <c r="F10" s="1">
        <f>+'Alabama Life'!F10+'American Chambers'!F10+'American Educators'!F10+'American Integrity'!F10+'Amer Life Asr'!F10+'American Medical'!F10+'Amer Std Life Acc'!F10+AmerWstrn!F10+'AMS Life'!F10+'Andrew Jackson'!F10+'Bankers Commercial'!F10+Benicorp!F10+Centennial!F10+'Coastal States'!F10+'Confed Life (CLIC)'!F10+'Consolidated National'!F10+'Consumers Mutual'!F10+'Consumers United'!F10+'Corporate Life'!F10+'Diamond Benefits'!F10+'EBL Life'!F10+'Family Guaranty'!F10+'Fidelity Bankers'!F10+'First Natl'!F10+'Franklin American'!F10+'Franklin Protective'!F10+'George Washington'!F10+'Golden State'!F10+'Guarantee Security'!F10+Imerica!F10+'Inter-American'!F10+'International Fin'!F10+'Investment Life of America'!F10+'Investors Equity'!F10+'Kentucky Central'!F10+Legion!F10+'London Pac'!F10+'Medical Savings'!F10+'Midwest Life'!F10+'Mutual Benefit'!F10+'Mutual Security'!F10+'National Affiliated'!F10+'Natl American'!F10+'National Heritage'!F10+'New Jersey Life'!F10+'Old Colony Life'!F10+'Old Faithful'!F10+'Pacific Standard'!F10+'Red Rock'!F10+SeeChange!F10+'States General'!F10+Statesman!F10+'Summit National'!F10+Supreme!F10+Underwriters!F10+Unison!F10+'United Republic'!F10+Universe!F10+Villanova!F10</f>
        <v>0</v>
      </c>
      <c r="G10" s="1">
        <f t="shared" si="0"/>
        <v>59608457.547436893</v>
      </c>
      <c r="H10" s="1">
        <f>+'Alabama Life'!G10+'American Chambers'!G10+'American Educators'!G10+'American Integrity'!G10+'Amer Life Asr'!G10+'American Medical'!G10+'Amer Std Life Acc'!G10+AmerWstrn!G10+'AMS Life'!G10+'Andrew Jackson'!G10+'Bankers Commercial'!G10+Benicorp!G10+Centennial!G10+'Coastal States'!G10+'Confed Life (CLIC)'!G10+'Consolidated National'!G10+'Consumers Mutual'!G10+'Consumers United'!G10+'Corporate Life'!G10+'Diamond Benefits'!G10+'EBL Life'!G10+'Family Guaranty'!G10+'Fidelity Bankers'!G10+'First Natl'!G10+'Franklin American'!G10+'Franklin Protective'!G10+'George Washington'!G10+'Golden State'!G10+'Guarantee Security'!G10+Imerica!G10+'Inter-American'!G10+'International Fin'!G10+'Investment Life of America'!G10+'Investors Equity'!G10+'Kentucky Central'!G10+Legion!G10+'London Pac'!G10+'Medical Savings'!G10+'Midwest Life'!G10+'Mutual Benefit'!G10+'Mutual Security'!G10+'National Affiliated'!G10+'Natl American'!G10+'National Heritage'!G10+'New Jersey Life'!G10+'Old Colony Life'!G10+'Old Faithful'!G10+'Pacific Standard'!G10+'Red Rock'!G10+SeeChange!G10+'States General'!G10+Statesman!G10+'Summit National'!G10+Supreme!G10+Underwriters!G10+Unison!G10+'United Republic'!G10+Universe!G10+Villanova!G10</f>
        <v>59608457.547436908</v>
      </c>
      <c r="I10" s="1">
        <f t="shared" si="1"/>
        <v>0</v>
      </c>
      <c r="K10" s="1" t="s">
        <v>370</v>
      </c>
      <c r="L10" s="1">
        <f>Summary!TOTAL_88161</f>
        <v>5385941.5099999998</v>
      </c>
    </row>
    <row r="11" spans="1:12">
      <c r="A11" s="1" t="s">
        <v>18</v>
      </c>
      <c r="B11" s="1">
        <f>+'Alabama Life'!B11+'American Chambers'!B11+'American Educators'!B11+'American Integrity'!B11+'Amer Life Asr'!B11+'American Medical'!B11+'Amer Std Life Acc'!B11+AmerWstrn!B11+'AMS Life'!B11+'Andrew Jackson'!B11+'Bankers Commercial'!B11+Benicorp!B11+Centennial!B11+'Coastal States'!B11+'Confed Life (CLIC)'!B11+'Consolidated National'!B11+'Consumers Mutual'!B11+'Consumers United'!B11+'Corporate Life'!B11+'Diamond Benefits'!B11+'EBL Life'!B11+'Family Guaranty'!B11+'Fidelity Bankers'!B11+'First Natl'!B11+'Franklin American'!B11+'Franklin Protective'!B11+'George Washington'!B11+'Golden State'!B11+'Guarantee Security'!B11+Imerica!B11+'Inter-American'!B11+'International Fin'!B11+'Investment Life of America'!B11+'Investors Equity'!B11+'Kentucky Central'!B11+Legion!B11+'London Pac'!B11+'Medical Savings'!B11+'Midwest Life'!B11+'Mutual Benefit'!B11+'Mutual Security'!B11+'National Affiliated'!B11+'Natl American'!B11+'National Heritage'!B11+'New Jersey Life'!B11+'Old Colony Life'!B11+'Old Faithful'!B11+'Pacific Standard'!B11+'Red Rock'!B11+SeeChange!B11+'States General'!B11+Statesman!B11+'Summit National'!B11+Supreme!B11+Underwriters!B11+Unison!B11+'United Republic'!B11+Universe!B11+Villanova!B11</f>
        <v>471897.91454914241</v>
      </c>
      <c r="C11" s="1">
        <f>+'Alabama Life'!C11+'American Chambers'!C11+'American Educators'!C11+'American Integrity'!C11+'Amer Life Asr'!C11+'American Medical'!C11+'Amer Std Life Acc'!C11+AmerWstrn!C11+'AMS Life'!C11+'Andrew Jackson'!C11+'Bankers Commercial'!C11+Benicorp!C11+Centennial!C11+'Coastal States'!C11+'Confed Life (CLIC)'!C11+'Consolidated National'!C11+'Consumers Mutual'!C11+'Consumers United'!C11+'Corporate Life'!C11+'Diamond Benefits'!C11+'EBL Life'!C11+'Family Guaranty'!C11+'Fidelity Bankers'!C11+'First Natl'!C11+'Franklin American'!C11+'Franklin Protective'!C11+'George Washington'!C11+'Golden State'!C11+'Guarantee Security'!C11+Imerica!C11+'Inter-American'!C11+'International Fin'!C11+'Investment Life of America'!C11+'Investors Equity'!C11+'Kentucky Central'!C11+Legion!C11+'London Pac'!C11+'Medical Savings'!C11+'Midwest Life'!C11+'Mutual Benefit'!C11+'Mutual Security'!C11+'National Affiliated'!C11+'Natl American'!C11+'National Heritage'!C11+'New Jersey Life'!C11+'Old Colony Life'!C11+'Old Faithful'!C11+'Pacific Standard'!C11+'Red Rock'!C11+SeeChange!C11+'States General'!C11+Statesman!C11+'Summit National'!C11+Supreme!C11+Underwriters!C11+Unison!C11+'United Republic'!C11+Universe!C11+Villanova!C11</f>
        <v>7584188.5109681925</v>
      </c>
      <c r="D11" s="1">
        <f>+'Alabama Life'!D11+'American Chambers'!D11+'American Educators'!D11+'American Integrity'!D11+'Amer Life Asr'!D11+'American Medical'!D11+'Amer Std Life Acc'!D11+AmerWstrn!D11+'AMS Life'!D11+'Andrew Jackson'!D11+'Bankers Commercial'!D11+Benicorp!D11+Centennial!D11+'Coastal States'!D11+'Confed Life (CLIC)'!D11+'Consolidated National'!D11+'Consumers Mutual'!D11+'Consumers United'!D11+'Corporate Life'!D11+'Diamond Benefits'!D11+'EBL Life'!D11+'Family Guaranty'!D11+'Fidelity Bankers'!D11+'First Natl'!D11+'Franklin American'!D11+'Franklin Protective'!D11+'George Washington'!D11+'Golden State'!D11+'Guarantee Security'!D11+Imerica!D11+'Inter-American'!D11+'International Fin'!D11+'Investment Life of America'!D11+'Investors Equity'!D11+'Kentucky Central'!D11+Legion!D11+'London Pac'!D11+'Medical Savings'!D11+'Midwest Life'!D11+'Mutual Benefit'!D11+'Mutual Security'!D11+'National Affiliated'!D11+'Natl American'!D11+'National Heritage'!D11+'New Jersey Life'!D11+'Old Colony Life'!D11+'Old Faithful'!D11+'Pacific Standard'!D11+'Red Rock'!D11+SeeChange!D11+'States General'!D11+Statesman!D11+'Summit National'!D11+Supreme!D11+Underwriters!D11+Unison!D11+'United Republic'!D11+Universe!D11+Villanova!D11</f>
        <v>7213627.6705935588</v>
      </c>
      <c r="E11" s="1">
        <f>+'Alabama Life'!E11+'American Chambers'!E11+'American Educators'!E11+'American Integrity'!E11+'Amer Life Asr'!E11+'American Medical'!E11+'Amer Std Life Acc'!E11+AmerWstrn!E11+'AMS Life'!E11+'Andrew Jackson'!E11+'Bankers Commercial'!E11+Benicorp!E11+Centennial!E11+'Coastal States'!E11+'Confed Life (CLIC)'!E11+'Consolidated National'!E11+'Consumers Mutual'!E11+'Consumers United'!E11+'Corporate Life'!E11+'Diamond Benefits'!E11+'EBL Life'!E11+'Family Guaranty'!E11+'Fidelity Bankers'!E11+'First Natl'!E11+'Franklin American'!E11+'Franklin Protective'!E11+'George Washington'!E11+'Golden State'!E11+'Guarantee Security'!E11+Imerica!E11+'Inter-American'!E11+'International Fin'!E11+'Investment Life of America'!E11+'Investors Equity'!E11+'Kentucky Central'!E11+Legion!E11+'London Pac'!E11+'Medical Savings'!E11+'Midwest Life'!E11+'Mutual Benefit'!E11+'Mutual Security'!E11+'National Affiliated'!E11+'Natl American'!E11+'National Heritage'!E11+'New Jersey Life'!E11+'Old Colony Life'!E11+'Old Faithful'!E11+'Pacific Standard'!E11+'Red Rock'!E11+SeeChange!E11+'States General'!E11+Statesman!E11+'Summit National'!E11+Supreme!E11+Underwriters!E11+Unison!E11+'United Republic'!E11+Universe!E11+Villanova!E11</f>
        <v>0</v>
      </c>
      <c r="F11" s="1">
        <f>+'Alabama Life'!F11+'American Chambers'!F11+'American Educators'!F11+'American Integrity'!F11+'Amer Life Asr'!F11+'American Medical'!F11+'Amer Std Life Acc'!F11+AmerWstrn!F11+'AMS Life'!F11+'Andrew Jackson'!F11+'Bankers Commercial'!F11+Benicorp!F11+Centennial!F11+'Coastal States'!F11+'Confed Life (CLIC)'!F11+'Consolidated National'!F11+'Consumers Mutual'!F11+'Consumers United'!F11+'Corporate Life'!F11+'Diamond Benefits'!F11+'EBL Life'!F11+'Family Guaranty'!F11+'Fidelity Bankers'!F11+'First Natl'!F11+'Franklin American'!F11+'Franklin Protective'!F11+'George Washington'!F11+'Golden State'!F11+'Guarantee Security'!F11+Imerica!F11+'Inter-American'!F11+'International Fin'!F11+'Investment Life of America'!F11+'Investors Equity'!F11+'Kentucky Central'!F11+Legion!F11+'London Pac'!F11+'Medical Savings'!F11+'Midwest Life'!F11+'Mutual Benefit'!F11+'Mutual Security'!F11+'National Affiliated'!F11+'Natl American'!F11+'National Heritage'!F11+'New Jersey Life'!F11+'Old Colony Life'!F11+'Old Faithful'!F11+'Pacific Standard'!F11+'Red Rock'!F11+SeeChange!F11+'States General'!F11+Statesman!F11+'Summit National'!F11+Supreme!F11+Underwriters!F11+Unison!F11+'United Republic'!F11+Universe!F11+Villanova!F11</f>
        <v>0</v>
      </c>
      <c r="G11" s="1">
        <f t="shared" si="0"/>
        <v>15269714.096110893</v>
      </c>
      <c r="H11" s="1">
        <f>+'Alabama Life'!G11+'American Chambers'!G11+'American Educators'!G11+'American Integrity'!G11+'Amer Life Asr'!G11+'American Medical'!G11+'Amer Std Life Acc'!G11+AmerWstrn!G11+'AMS Life'!G11+'Andrew Jackson'!G11+'Bankers Commercial'!G11+Benicorp!G11+Centennial!G11+'Coastal States'!G11+'Confed Life (CLIC)'!G11+'Consolidated National'!G11+'Consumers Mutual'!G11+'Consumers United'!G11+'Corporate Life'!G11+'Diamond Benefits'!G11+'EBL Life'!G11+'Family Guaranty'!G11+'Fidelity Bankers'!G11+'First Natl'!G11+'Franklin American'!G11+'Franklin Protective'!G11+'George Washington'!G11+'Golden State'!G11+'Guarantee Security'!G11+Imerica!G11+'Inter-American'!G11+'International Fin'!G11+'Investment Life of America'!G11+'Investors Equity'!G11+'Kentucky Central'!G11+Legion!G11+'London Pac'!G11+'Medical Savings'!G11+'Midwest Life'!G11+'Mutual Benefit'!G11+'Mutual Security'!G11+'National Affiliated'!G11+'Natl American'!G11+'National Heritage'!G11+'New Jersey Life'!G11+'Old Colony Life'!G11+'Old Faithful'!G11+'Pacific Standard'!G11+'Red Rock'!G11+SeeChange!G11+'States General'!G11+Statesman!G11+'Summit National'!G11+Supreme!G11+Underwriters!G11+Unison!G11+'United Republic'!G11+Universe!G11+Villanova!G11</f>
        <v>15269714.09611089</v>
      </c>
      <c r="I11" s="1">
        <f t="shared" si="1"/>
        <v>0</v>
      </c>
      <c r="K11" s="1" t="s">
        <v>376</v>
      </c>
      <c r="L11" s="1">
        <f>Summary!TOTAL_81418</f>
        <v>412897.00922114402</v>
      </c>
    </row>
    <row r="12" spans="1:12">
      <c r="A12" s="1" t="s">
        <v>19</v>
      </c>
      <c r="B12" s="1">
        <f>+'Alabama Life'!B12+'American Chambers'!B12+'American Educators'!B12+'American Integrity'!B12+'Amer Life Asr'!B12+'American Medical'!B12+'Amer Std Life Acc'!B12+AmerWstrn!B12+'AMS Life'!B12+'Andrew Jackson'!B12+'Bankers Commercial'!B12+Benicorp!B12+Centennial!B12+'Coastal States'!B12+'Confed Life (CLIC)'!B12+'Consolidated National'!B12+'Consumers Mutual'!B12+'Consumers United'!B12+'Corporate Life'!B12+'Diamond Benefits'!B12+'EBL Life'!B12+'Family Guaranty'!B12+'Fidelity Bankers'!B12+'First Natl'!B12+'Franklin American'!B12+'Franklin Protective'!B12+'George Washington'!B12+'Golden State'!B12+'Guarantee Security'!B12+Imerica!B12+'Inter-American'!B12+'International Fin'!B12+'Investment Life of America'!B12+'Investors Equity'!B12+'Kentucky Central'!B12+Legion!B12+'London Pac'!B12+'Medical Savings'!B12+'Midwest Life'!B12+'Mutual Benefit'!B12+'Mutual Security'!B12+'National Affiliated'!B12+'Natl American'!B12+'National Heritage'!B12+'New Jersey Life'!B12+'Old Colony Life'!B12+'Old Faithful'!B12+'Pacific Standard'!B12+'Red Rock'!B12+SeeChange!B12+'States General'!B12+Statesman!B12+'Summit National'!B12+Supreme!B12+Underwriters!B12+Unison!B12+'United Republic'!B12+Universe!B12+Villanova!B12</f>
        <v>-73167.28600927291</v>
      </c>
      <c r="C12" s="1">
        <f>+'Alabama Life'!C12+'American Chambers'!C12+'American Educators'!C12+'American Integrity'!C12+'Amer Life Asr'!C12+'American Medical'!C12+'Amer Std Life Acc'!C12+AmerWstrn!C12+'AMS Life'!C12+'Andrew Jackson'!C12+'Bankers Commercial'!C12+Benicorp!C12+Centennial!C12+'Coastal States'!C12+'Confed Life (CLIC)'!C12+'Consolidated National'!C12+'Consumers Mutual'!C12+'Consumers United'!C12+'Corporate Life'!C12+'Diamond Benefits'!C12+'EBL Life'!C12+'Family Guaranty'!C12+'Fidelity Bankers'!C12+'First Natl'!C12+'Franklin American'!C12+'Franklin Protective'!C12+'George Washington'!C12+'Golden State'!C12+'Guarantee Security'!C12+Imerica!C12+'Inter-American'!C12+'International Fin'!C12+'Investment Life of America'!C12+'Investors Equity'!C12+'Kentucky Central'!C12+Legion!C12+'London Pac'!C12+'Medical Savings'!C12+'Midwest Life'!C12+'Mutual Benefit'!C12+'Mutual Security'!C12+'National Affiliated'!C12+'Natl American'!C12+'National Heritage'!C12+'New Jersey Life'!C12+'Old Colony Life'!C12+'Old Faithful'!C12+'Pacific Standard'!C12+'Red Rock'!C12+SeeChange!C12+'States General'!C12+Statesman!C12+'Summit National'!C12+Supreme!C12+Underwriters!C12+Unison!C12+'United Republic'!C12+Universe!C12+Villanova!C12</f>
        <v>89091.929031095671</v>
      </c>
      <c r="D12" s="1">
        <f>+'Alabama Life'!D12+'American Chambers'!D12+'American Educators'!D12+'American Integrity'!D12+'Amer Life Asr'!D12+'American Medical'!D12+'Amer Std Life Acc'!D12+AmerWstrn!D12+'AMS Life'!D12+'Andrew Jackson'!D12+'Bankers Commercial'!D12+Benicorp!D12+Centennial!D12+'Coastal States'!D12+'Confed Life (CLIC)'!D12+'Consolidated National'!D12+'Consumers Mutual'!D12+'Consumers United'!D12+'Corporate Life'!D12+'Diamond Benefits'!D12+'EBL Life'!D12+'Family Guaranty'!D12+'Fidelity Bankers'!D12+'First Natl'!D12+'Franklin American'!D12+'Franklin Protective'!D12+'George Washington'!D12+'Golden State'!D12+'Guarantee Security'!D12+Imerica!D12+'Inter-American'!D12+'International Fin'!D12+'Investment Life of America'!D12+'Investors Equity'!D12+'Kentucky Central'!D12+Legion!D12+'London Pac'!D12+'Medical Savings'!D12+'Midwest Life'!D12+'Mutual Benefit'!D12+'Mutual Security'!D12+'National Affiliated'!D12+'Natl American'!D12+'National Heritage'!D12+'New Jersey Life'!D12+'Old Colony Life'!D12+'Old Faithful'!D12+'Pacific Standard'!D12+'Red Rock'!D12+SeeChange!D12+'States General'!D12+Statesman!D12+'Summit National'!D12+Supreme!D12+Underwriters!D12+Unison!D12+'United Republic'!D12+Universe!D12+Villanova!D12</f>
        <v>17794.799273324941</v>
      </c>
      <c r="E12" s="1">
        <f>+'Alabama Life'!E12+'American Chambers'!E12+'American Educators'!E12+'American Integrity'!E12+'Amer Life Asr'!E12+'American Medical'!E12+'Amer Std Life Acc'!E12+AmerWstrn!E12+'AMS Life'!E12+'Andrew Jackson'!E12+'Bankers Commercial'!E12+Benicorp!E12+Centennial!E12+'Coastal States'!E12+'Confed Life (CLIC)'!E12+'Consolidated National'!E12+'Consumers Mutual'!E12+'Consumers United'!E12+'Corporate Life'!E12+'Diamond Benefits'!E12+'EBL Life'!E12+'Family Guaranty'!E12+'Fidelity Bankers'!E12+'First Natl'!E12+'Franklin American'!E12+'Franklin Protective'!E12+'George Washington'!E12+'Golden State'!E12+'Guarantee Security'!E12+Imerica!E12+'Inter-American'!E12+'International Fin'!E12+'Investment Life of America'!E12+'Investors Equity'!E12+'Kentucky Central'!E12+Legion!E12+'London Pac'!E12+'Medical Savings'!E12+'Midwest Life'!E12+'Mutual Benefit'!E12+'Mutual Security'!E12+'National Affiliated'!E12+'Natl American'!E12+'National Heritage'!E12+'New Jersey Life'!E12+'Old Colony Life'!E12+'Old Faithful'!E12+'Pacific Standard'!E12+'Red Rock'!E12+SeeChange!E12+'States General'!E12+Statesman!E12+'Summit National'!E12+Supreme!E12+Underwriters!E12+Unison!E12+'United Republic'!E12+Universe!E12+Villanova!E12</f>
        <v>-1407.829435692176</v>
      </c>
      <c r="F12" s="1">
        <f>+'Alabama Life'!F12+'American Chambers'!F12+'American Educators'!F12+'American Integrity'!F12+'Amer Life Asr'!F12+'American Medical'!F12+'Amer Std Life Acc'!F12+AmerWstrn!F12+'AMS Life'!F12+'Andrew Jackson'!F12+'Bankers Commercial'!F12+Benicorp!F12+Centennial!F12+'Coastal States'!F12+'Confed Life (CLIC)'!F12+'Consolidated National'!F12+'Consumers Mutual'!F12+'Consumers United'!F12+'Corporate Life'!F12+'Diamond Benefits'!F12+'EBL Life'!F12+'Family Guaranty'!F12+'Fidelity Bankers'!F12+'First Natl'!F12+'Franklin American'!F12+'Franklin Protective'!F12+'George Washington'!F12+'Golden State'!F12+'Guarantee Security'!F12+Imerica!F12+'Inter-American'!F12+'International Fin'!F12+'Investment Life of America'!F12+'Investors Equity'!F12+'Kentucky Central'!F12+Legion!F12+'London Pac'!F12+'Medical Savings'!F12+'Midwest Life'!F12+'Mutual Benefit'!F12+'Mutual Security'!F12+'National Affiliated'!F12+'Natl American'!F12+'National Heritage'!F12+'New Jersey Life'!F12+'Old Colony Life'!F12+'Old Faithful'!F12+'Pacific Standard'!F12+'Red Rock'!F12+SeeChange!F12+'States General'!F12+Statesman!F12+'Summit National'!F12+Supreme!F12+Underwriters!F12+Unison!F12+'United Republic'!F12+Universe!F12+Villanova!F12</f>
        <v>0</v>
      </c>
      <c r="G12" s="1">
        <f t="shared" si="0"/>
        <v>32311.612859455527</v>
      </c>
      <c r="H12" s="1">
        <f>+'Alabama Life'!G12+'American Chambers'!G12+'American Educators'!G12+'American Integrity'!G12+'Amer Life Asr'!G12+'American Medical'!G12+'Amer Std Life Acc'!G12+AmerWstrn!G12+'AMS Life'!G12+'Andrew Jackson'!G12+'Bankers Commercial'!G12+Benicorp!G12+Centennial!G12+'Coastal States'!G12+'Confed Life (CLIC)'!G12+'Consolidated National'!G12+'Consumers Mutual'!G12+'Consumers United'!G12+'Corporate Life'!G12+'Diamond Benefits'!G12+'EBL Life'!G12+'Family Guaranty'!G12+'Fidelity Bankers'!G12+'First Natl'!G12+'Franklin American'!G12+'Franklin Protective'!G12+'George Washington'!G12+'Golden State'!G12+'Guarantee Security'!G12+Imerica!G12+'Inter-American'!G12+'International Fin'!G12+'Investment Life of America'!G12+'Investors Equity'!G12+'Kentucky Central'!G12+Legion!G12+'London Pac'!G12+'Medical Savings'!G12+'Midwest Life'!G12+'Mutual Benefit'!G12+'Mutual Security'!G12+'National Affiliated'!G12+'Natl American'!G12+'National Heritage'!G12+'New Jersey Life'!G12+'Old Colony Life'!G12+'Old Faithful'!G12+'Pacific Standard'!G12+'Red Rock'!G12+SeeChange!G12+'States General'!G12+Statesman!G12+'Summit National'!G12+Supreme!G12+Underwriters!G12+Unison!G12+'United Republic'!G12+Universe!G12+Villanova!G12</f>
        <v>32311.612859455559</v>
      </c>
      <c r="I12" s="1">
        <f t="shared" si="1"/>
        <v>-3.2741809263825417E-11</v>
      </c>
      <c r="K12" s="1" t="s">
        <v>380</v>
      </c>
      <c r="L12" s="1">
        <f>Summary!TOTAL_63452</f>
        <v>8476755.4000000004</v>
      </c>
    </row>
    <row r="13" spans="1:12">
      <c r="A13" s="1" t="s">
        <v>21</v>
      </c>
      <c r="B13" s="1">
        <f>+'Alabama Life'!B13+'American Chambers'!B13+'American Educators'!B13+'American Integrity'!B13+'Amer Life Asr'!B13+'American Medical'!B13+'Amer Std Life Acc'!B13+AmerWstrn!B13+'AMS Life'!B13+'Andrew Jackson'!B13+'Bankers Commercial'!B13+Benicorp!B13+Centennial!B13+'Coastal States'!B13+'Confed Life (CLIC)'!B13+'Consolidated National'!B13+'Consumers Mutual'!B13+'Consumers United'!B13+'Corporate Life'!B13+'Diamond Benefits'!B13+'EBL Life'!B13+'Family Guaranty'!B13+'Fidelity Bankers'!B13+'First Natl'!B13+'Franklin American'!B13+'Franklin Protective'!B13+'George Washington'!B13+'Golden State'!B13+'Guarantee Security'!B13+Imerica!B13+'Inter-American'!B13+'International Fin'!B13+'Investment Life of America'!B13+'Investors Equity'!B13+'Kentucky Central'!B13+Legion!B13+'London Pac'!B13+'Medical Savings'!B13+'Midwest Life'!B13+'Mutual Benefit'!B13+'Mutual Security'!B13+'National Affiliated'!B13+'Natl American'!B13+'National Heritage'!B13+'New Jersey Life'!B13+'Old Colony Life'!B13+'Old Faithful'!B13+'Pacific Standard'!B13+'Red Rock'!B13+SeeChange!B13+'States General'!B13+Statesman!B13+'Summit National'!B13+Supreme!B13+Underwriters!B13+Unison!B13+'United Republic'!B13+Universe!B13+Villanova!B13</f>
        <v>770586.1188323336</v>
      </c>
      <c r="C13" s="1">
        <f>+'Alabama Life'!C13+'American Chambers'!C13+'American Educators'!C13+'American Integrity'!C13+'Amer Life Asr'!C13+'American Medical'!C13+'Amer Std Life Acc'!C13+AmerWstrn!C13+'AMS Life'!C13+'Andrew Jackson'!C13+'Bankers Commercial'!C13+Benicorp!C13+Centennial!C13+'Coastal States'!C13+'Confed Life (CLIC)'!C13+'Consolidated National'!C13+'Consumers Mutual'!C13+'Consumers United'!C13+'Corporate Life'!C13+'Diamond Benefits'!C13+'EBL Life'!C13+'Family Guaranty'!C13+'Fidelity Bankers'!C13+'First Natl'!C13+'Franklin American'!C13+'Franklin Protective'!C13+'George Washington'!C13+'Golden State'!C13+'Guarantee Security'!C13+Imerica!C13+'Inter-American'!C13+'International Fin'!C13+'Investment Life of America'!C13+'Investors Equity'!C13+'Kentucky Central'!C13+Legion!C13+'London Pac'!C13+'Medical Savings'!C13+'Midwest Life'!C13+'Mutual Benefit'!C13+'Mutual Security'!C13+'National Affiliated'!C13+'Natl American'!C13+'National Heritage'!C13+'New Jersey Life'!C13+'Old Colony Life'!C13+'Old Faithful'!C13+'Pacific Standard'!C13+'Red Rock'!C13+SeeChange!C13+'States General'!C13+Statesman!C13+'Summit National'!C13+Supreme!C13+Underwriters!C13+Unison!C13+'United Republic'!C13+Universe!C13+Villanova!C13</f>
        <v>11608898.709920118</v>
      </c>
      <c r="D13" s="1">
        <f>+'Alabama Life'!D13+'American Chambers'!D13+'American Educators'!D13+'American Integrity'!D13+'Amer Life Asr'!D13+'American Medical'!D13+'Amer Std Life Acc'!D13+AmerWstrn!D13+'AMS Life'!D13+'Andrew Jackson'!D13+'Bankers Commercial'!D13+Benicorp!D13+Centennial!D13+'Coastal States'!D13+'Confed Life (CLIC)'!D13+'Consolidated National'!D13+'Consumers Mutual'!D13+'Consumers United'!D13+'Corporate Life'!D13+'Diamond Benefits'!D13+'EBL Life'!D13+'Family Guaranty'!D13+'Fidelity Bankers'!D13+'First Natl'!D13+'Franklin American'!D13+'Franklin Protective'!D13+'George Washington'!D13+'Golden State'!D13+'Guarantee Security'!D13+Imerica!D13+'Inter-American'!D13+'International Fin'!D13+'Investment Life of America'!D13+'Investors Equity'!D13+'Kentucky Central'!D13+Legion!D13+'London Pac'!D13+'Medical Savings'!D13+'Midwest Life'!D13+'Mutual Benefit'!D13+'Mutual Security'!D13+'National Affiliated'!D13+'Natl American'!D13+'National Heritage'!D13+'New Jersey Life'!D13+'Old Colony Life'!D13+'Old Faithful'!D13+'Pacific Standard'!D13+'Red Rock'!D13+SeeChange!D13+'States General'!D13+Statesman!D13+'Summit National'!D13+Supreme!D13+Underwriters!D13+Unison!D13+'United Republic'!D13+Universe!D13+Villanova!D13</f>
        <v>1460430.657628698</v>
      </c>
      <c r="E13" s="1">
        <f>+'Alabama Life'!E13+'American Chambers'!E13+'American Educators'!E13+'American Integrity'!E13+'Amer Life Asr'!E13+'American Medical'!E13+'Amer Std Life Acc'!E13+AmerWstrn!E13+'AMS Life'!E13+'Andrew Jackson'!E13+'Bankers Commercial'!E13+Benicorp!E13+Centennial!E13+'Coastal States'!E13+'Confed Life (CLIC)'!E13+'Consolidated National'!E13+'Consumers Mutual'!E13+'Consumers United'!E13+'Corporate Life'!E13+'Diamond Benefits'!E13+'EBL Life'!E13+'Family Guaranty'!E13+'Fidelity Bankers'!E13+'First Natl'!E13+'Franklin American'!E13+'Franklin Protective'!E13+'George Washington'!E13+'Golden State'!E13+'Guarantee Security'!E13+Imerica!E13+'Inter-American'!E13+'International Fin'!E13+'Investment Life of America'!E13+'Investors Equity'!E13+'Kentucky Central'!E13+Legion!E13+'London Pac'!E13+'Medical Savings'!E13+'Midwest Life'!E13+'Mutual Benefit'!E13+'Mutual Security'!E13+'National Affiliated'!E13+'Natl American'!E13+'National Heritage'!E13+'New Jersey Life'!E13+'Old Colony Life'!E13+'Old Faithful'!E13+'Pacific Standard'!E13+'Red Rock'!E13+SeeChange!E13+'States General'!E13+Statesman!E13+'Summit National'!E13+Supreme!E13+Underwriters!E13+Unison!E13+'United Republic'!E13+Universe!E13+Villanova!E13</f>
        <v>232397.14395572752</v>
      </c>
      <c r="F13" s="1">
        <f>+'Alabama Life'!F13+'American Chambers'!F13+'American Educators'!F13+'American Integrity'!F13+'Amer Life Asr'!F13+'American Medical'!F13+'Amer Std Life Acc'!F13+AmerWstrn!F13+'AMS Life'!F13+'Andrew Jackson'!F13+'Bankers Commercial'!F13+Benicorp!F13+Centennial!F13+'Coastal States'!F13+'Confed Life (CLIC)'!F13+'Consolidated National'!F13+'Consumers Mutual'!F13+'Consumers United'!F13+'Corporate Life'!F13+'Diamond Benefits'!F13+'EBL Life'!F13+'Family Guaranty'!F13+'Fidelity Bankers'!F13+'First Natl'!F13+'Franklin American'!F13+'Franklin Protective'!F13+'George Washington'!F13+'Golden State'!F13+'Guarantee Security'!F13+Imerica!F13+'Inter-American'!F13+'International Fin'!F13+'Investment Life of America'!F13+'Investors Equity'!F13+'Kentucky Central'!F13+Legion!F13+'London Pac'!F13+'Medical Savings'!F13+'Midwest Life'!F13+'Mutual Benefit'!F13+'Mutual Security'!F13+'National Affiliated'!F13+'Natl American'!F13+'National Heritage'!F13+'New Jersey Life'!F13+'Old Colony Life'!F13+'Old Faithful'!F13+'Pacific Standard'!F13+'Red Rock'!F13+SeeChange!F13+'States General'!F13+Statesman!F13+'Summit National'!F13+Supreme!F13+Underwriters!F13+Unison!F13+'United Republic'!F13+Universe!F13+Villanova!F13</f>
        <v>0</v>
      </c>
      <c r="G13" s="1">
        <f t="shared" si="0"/>
        <v>14072312.630336877</v>
      </c>
      <c r="H13" s="1">
        <f>+'Alabama Life'!G13+'American Chambers'!G13+'American Educators'!G13+'American Integrity'!G13+'Amer Life Asr'!G13+'American Medical'!G13+'Amer Std Life Acc'!G13+AmerWstrn!G13+'AMS Life'!G13+'Andrew Jackson'!G13+'Bankers Commercial'!G13+Benicorp!G13+Centennial!G13+'Coastal States'!G13+'Confed Life (CLIC)'!G13+'Consolidated National'!G13+'Consumers Mutual'!G13+'Consumers United'!G13+'Corporate Life'!G13+'Diamond Benefits'!G13+'EBL Life'!G13+'Family Guaranty'!G13+'Fidelity Bankers'!G13+'First Natl'!G13+'Franklin American'!G13+'Franklin Protective'!G13+'George Washington'!G13+'Golden State'!G13+'Guarantee Security'!G13+Imerica!G13+'Inter-American'!G13+'International Fin'!G13+'Investment Life of America'!G13+'Investors Equity'!G13+'Kentucky Central'!G13+Legion!G13+'London Pac'!G13+'Medical Savings'!G13+'Midwest Life'!G13+'Mutual Benefit'!G13+'Mutual Security'!G13+'National Affiliated'!G13+'Natl American'!G13+'National Heritage'!G13+'New Jersey Life'!G13+'Old Colony Life'!G13+'Old Faithful'!G13+'Pacific Standard'!G13+'Red Rock'!G13+SeeChange!G13+'States General'!G13+Statesman!G13+'Summit National'!G13+Supreme!G13+Underwriters!G13+Unison!G13+'United Republic'!G13+Universe!G13+Villanova!G13</f>
        <v>14072312.630336879</v>
      </c>
      <c r="I13" s="1">
        <f t="shared" si="1"/>
        <v>0</v>
      </c>
      <c r="K13" s="1" t="s">
        <v>386</v>
      </c>
      <c r="L13" s="1">
        <f>Summary!TOTAL_60917</f>
        <v>-136052.00999999919</v>
      </c>
    </row>
    <row r="14" spans="1:12">
      <c r="A14" s="1" t="s">
        <v>23</v>
      </c>
      <c r="B14" s="1">
        <f>+'Alabama Life'!B14+'American Chambers'!B14+'American Educators'!B14+'American Integrity'!B14+'Amer Life Asr'!B14+'American Medical'!B14+'Amer Std Life Acc'!B14+AmerWstrn!B14+'AMS Life'!B14+'Andrew Jackson'!B14+'Bankers Commercial'!B14+Benicorp!B14+Centennial!B14+'Coastal States'!B14+'Confed Life (CLIC)'!B14+'Consolidated National'!B14+'Consumers Mutual'!B14+'Consumers United'!B14+'Corporate Life'!B14+'Diamond Benefits'!B14+'EBL Life'!B14+'Family Guaranty'!B14+'Fidelity Bankers'!B14+'First Natl'!B14+'Franklin American'!B14+'Franklin Protective'!B14+'George Washington'!B14+'Golden State'!B14+'Guarantee Security'!B14+Imerica!B14+'Inter-American'!B14+'International Fin'!B14+'Investment Life of America'!B14+'Investors Equity'!B14+'Kentucky Central'!B14+Legion!B14+'London Pac'!B14+'Medical Savings'!B14+'Midwest Life'!B14+'Mutual Benefit'!B14+'Mutual Security'!B14+'National Affiliated'!B14+'Natl American'!B14+'National Heritage'!B14+'New Jersey Life'!B14+'Old Colony Life'!B14+'Old Faithful'!B14+'Pacific Standard'!B14+'Red Rock'!B14+SeeChange!B14+'States General'!B14+Statesman!B14+'Summit National'!B14+Supreme!B14+Underwriters!B14+Unison!B14+'United Republic'!B14+Universe!B14+Villanova!B14</f>
        <v>74999.062532341733</v>
      </c>
      <c r="C14" s="1">
        <f>+'Alabama Life'!C14+'American Chambers'!C14+'American Educators'!C14+'American Integrity'!C14+'Amer Life Asr'!C14+'American Medical'!C14+'Amer Std Life Acc'!C14+AmerWstrn!C14+'AMS Life'!C14+'Andrew Jackson'!C14+'Bankers Commercial'!C14+Benicorp!C14+Centennial!C14+'Coastal States'!C14+'Confed Life (CLIC)'!C14+'Consolidated National'!C14+'Consumers Mutual'!C14+'Consumers United'!C14+'Corporate Life'!C14+'Diamond Benefits'!C14+'EBL Life'!C14+'Family Guaranty'!C14+'Fidelity Bankers'!C14+'First Natl'!C14+'Franklin American'!C14+'Franklin Protective'!C14+'George Washington'!C14+'Golden State'!C14+'Guarantee Security'!C14+Imerica!C14+'Inter-American'!C14+'International Fin'!C14+'Investment Life of America'!C14+'Investors Equity'!C14+'Kentucky Central'!C14+Legion!C14+'London Pac'!C14+'Medical Savings'!C14+'Midwest Life'!C14+'Mutual Benefit'!C14+'Mutual Security'!C14+'National Affiliated'!C14+'Natl American'!C14+'National Heritage'!C14+'New Jersey Life'!C14+'Old Colony Life'!C14+'Old Faithful'!C14+'Pacific Standard'!C14+'Red Rock'!C14+SeeChange!C14+'States General'!C14+Statesman!C14+'Summit National'!C14+Supreme!C14+Underwriters!C14+Unison!C14+'United Republic'!C14+Universe!C14+Villanova!C14</f>
        <v>104938.51670552044</v>
      </c>
      <c r="D14" s="1">
        <f>+'Alabama Life'!D14+'American Chambers'!D14+'American Educators'!D14+'American Integrity'!D14+'Amer Life Asr'!D14+'American Medical'!D14+'Amer Std Life Acc'!D14+AmerWstrn!D14+'AMS Life'!D14+'Andrew Jackson'!D14+'Bankers Commercial'!D14+Benicorp!D14+Centennial!D14+'Coastal States'!D14+'Confed Life (CLIC)'!D14+'Consolidated National'!D14+'Consumers Mutual'!D14+'Consumers United'!D14+'Corporate Life'!D14+'Diamond Benefits'!D14+'EBL Life'!D14+'Family Guaranty'!D14+'Fidelity Bankers'!D14+'First Natl'!D14+'Franklin American'!D14+'Franklin Protective'!D14+'George Washington'!D14+'Golden State'!D14+'Guarantee Security'!D14+Imerica!D14+'Inter-American'!D14+'International Fin'!D14+'Investment Life of America'!D14+'Investors Equity'!D14+'Kentucky Central'!D14+Legion!D14+'London Pac'!D14+'Medical Savings'!D14+'Midwest Life'!D14+'Mutual Benefit'!D14+'Mutual Security'!D14+'National Affiliated'!D14+'Natl American'!D14+'National Heritage'!D14+'New Jersey Life'!D14+'Old Colony Life'!D14+'Old Faithful'!D14+'Pacific Standard'!D14+'Red Rock'!D14+SeeChange!D14+'States General'!D14+Statesman!D14+'Summit National'!D14+Supreme!D14+Underwriters!D14+Unison!D14+'United Republic'!D14+Universe!D14+Villanova!D14</f>
        <v>-5044.3657293654369</v>
      </c>
      <c r="E14" s="1">
        <f>+'Alabama Life'!E14+'American Chambers'!E14+'American Educators'!E14+'American Integrity'!E14+'Amer Life Asr'!E14+'American Medical'!E14+'Amer Std Life Acc'!E14+AmerWstrn!E14+'AMS Life'!E14+'Andrew Jackson'!E14+'Bankers Commercial'!E14+Benicorp!E14+Centennial!E14+'Coastal States'!E14+'Confed Life (CLIC)'!E14+'Consolidated National'!E14+'Consumers Mutual'!E14+'Consumers United'!E14+'Corporate Life'!E14+'Diamond Benefits'!E14+'EBL Life'!E14+'Family Guaranty'!E14+'Fidelity Bankers'!E14+'First Natl'!E14+'Franklin American'!E14+'Franklin Protective'!E14+'George Washington'!E14+'Golden State'!E14+'Guarantee Security'!E14+Imerica!E14+'Inter-American'!E14+'International Fin'!E14+'Investment Life of America'!E14+'Investors Equity'!E14+'Kentucky Central'!E14+Legion!E14+'London Pac'!E14+'Medical Savings'!E14+'Midwest Life'!E14+'Mutual Benefit'!E14+'Mutual Security'!E14+'National Affiliated'!E14+'Natl American'!E14+'National Heritage'!E14+'New Jersey Life'!E14+'Old Colony Life'!E14+'Old Faithful'!E14+'Pacific Standard'!E14+'Red Rock'!E14+SeeChange!E14+'States General'!E14+Statesman!E14+'Summit National'!E14+Supreme!E14+Underwriters!E14+Unison!E14+'United Republic'!E14+Universe!E14+Villanova!E14</f>
        <v>0</v>
      </c>
      <c r="F14" s="1">
        <f>+'Alabama Life'!F14+'American Chambers'!F14+'American Educators'!F14+'American Integrity'!F14+'Amer Life Asr'!F14+'American Medical'!F14+'Amer Std Life Acc'!F14+AmerWstrn!F14+'AMS Life'!F14+'Andrew Jackson'!F14+'Bankers Commercial'!F14+Benicorp!F14+Centennial!F14+'Coastal States'!F14+'Confed Life (CLIC)'!F14+'Consolidated National'!F14+'Consumers Mutual'!F14+'Consumers United'!F14+'Corporate Life'!F14+'Diamond Benefits'!F14+'EBL Life'!F14+'Family Guaranty'!F14+'Fidelity Bankers'!F14+'First Natl'!F14+'Franklin American'!F14+'Franklin Protective'!F14+'George Washington'!F14+'Golden State'!F14+'Guarantee Security'!F14+Imerica!F14+'Inter-American'!F14+'International Fin'!F14+'Investment Life of America'!F14+'Investors Equity'!F14+'Kentucky Central'!F14+Legion!F14+'London Pac'!F14+'Medical Savings'!F14+'Midwest Life'!F14+'Mutual Benefit'!F14+'Mutual Security'!F14+'National Affiliated'!F14+'Natl American'!F14+'National Heritage'!F14+'New Jersey Life'!F14+'Old Colony Life'!F14+'Old Faithful'!F14+'Pacific Standard'!F14+'Red Rock'!F14+SeeChange!F14+'States General'!F14+Statesman!F14+'Summit National'!F14+Supreme!F14+Underwriters!F14+Unison!F14+'United Republic'!F14+Universe!F14+Villanova!F14</f>
        <v>0</v>
      </c>
      <c r="G14" s="1">
        <f t="shared" si="0"/>
        <v>174893.21350849673</v>
      </c>
      <c r="H14" s="1">
        <f>+'Alabama Life'!G14+'American Chambers'!G14+'American Educators'!G14+'American Integrity'!G14+'Amer Life Asr'!G14+'American Medical'!G14+'Amer Std Life Acc'!G14+AmerWstrn!G14+'AMS Life'!G14+'Andrew Jackson'!G14+'Bankers Commercial'!G14+Benicorp!G14+Centennial!G14+'Coastal States'!G14+'Confed Life (CLIC)'!G14+'Consolidated National'!G14+'Consumers Mutual'!G14+'Consumers United'!G14+'Corporate Life'!G14+'Diamond Benefits'!G14+'EBL Life'!G14+'Family Guaranty'!G14+'Fidelity Bankers'!G14+'First Natl'!G14+'Franklin American'!G14+'Franklin Protective'!G14+'George Washington'!G14+'Golden State'!G14+'Guarantee Security'!G14+Imerica!G14+'Inter-American'!G14+'International Fin'!G14+'Investment Life of America'!G14+'Investors Equity'!G14+'Kentucky Central'!G14+Legion!G14+'London Pac'!G14+'Medical Savings'!G14+'Midwest Life'!G14+'Mutual Benefit'!G14+'Mutual Security'!G14+'National Affiliated'!G14+'Natl American'!G14+'National Heritage'!G14+'New Jersey Life'!G14+'Old Colony Life'!G14+'Old Faithful'!G14+'Pacific Standard'!G14+'Red Rock'!G14+SeeChange!G14+'States General'!G14+Statesman!G14+'Summit National'!G14+Supreme!G14+Underwriters!G14+Unison!G14+'United Republic'!G14+Universe!G14+Villanova!G14</f>
        <v>174893.21350849673</v>
      </c>
      <c r="I14" s="1">
        <f t="shared" si="1"/>
        <v>0</v>
      </c>
      <c r="K14" s="1" t="s">
        <v>392</v>
      </c>
      <c r="L14" s="1">
        <f>Summary!TOTAL_86142</f>
        <v>33226067.66</v>
      </c>
    </row>
    <row r="15" spans="1:12">
      <c r="A15" s="1" t="s">
        <v>25</v>
      </c>
      <c r="B15" s="1">
        <f>+'Alabama Life'!B15+'American Chambers'!B15+'American Educators'!B15+'American Integrity'!B15+'Amer Life Asr'!B15+'American Medical'!B15+'Amer Std Life Acc'!B15+AmerWstrn!B15+'AMS Life'!B15+'Andrew Jackson'!B15+'Bankers Commercial'!B15+Benicorp!B15+Centennial!B15+'Coastal States'!B15+'Confed Life (CLIC)'!B15+'Consolidated National'!B15+'Consumers Mutual'!B15+'Consumers United'!B15+'Corporate Life'!B15+'Diamond Benefits'!B15+'EBL Life'!B15+'Family Guaranty'!B15+'Fidelity Bankers'!B15+'First Natl'!B15+'Franklin American'!B15+'Franklin Protective'!B15+'George Washington'!B15+'Golden State'!B15+'Guarantee Security'!B15+Imerica!B15+'Inter-American'!B15+'International Fin'!B15+'Investment Life of America'!B15+'Investors Equity'!B15+'Kentucky Central'!B15+Legion!B15+'London Pac'!B15+'Medical Savings'!B15+'Midwest Life'!B15+'Mutual Benefit'!B15+'Mutual Security'!B15+'National Affiliated'!B15+'Natl American'!B15+'National Heritage'!B15+'New Jersey Life'!B15+'Old Colony Life'!B15+'Old Faithful'!B15+'Pacific Standard'!B15+'Red Rock'!B15+SeeChange!B15+'States General'!B15+Statesman!B15+'Summit National'!B15+Supreme!B15+Underwriters!B15+Unison!B15+'United Republic'!B15+Universe!B15+Villanova!B15</f>
        <v>17431929.655837081</v>
      </c>
      <c r="C15" s="1">
        <f>+'Alabama Life'!C15+'American Chambers'!C15+'American Educators'!C15+'American Integrity'!C15+'Amer Life Asr'!C15+'American Medical'!C15+'Amer Std Life Acc'!C15+AmerWstrn!C15+'AMS Life'!C15+'Andrew Jackson'!C15+'Bankers Commercial'!C15+Benicorp!C15+Centennial!C15+'Coastal States'!C15+'Confed Life (CLIC)'!C15+'Consolidated National'!C15+'Consumers Mutual'!C15+'Consumers United'!C15+'Corporate Life'!C15+'Diamond Benefits'!C15+'EBL Life'!C15+'Family Guaranty'!C15+'Fidelity Bankers'!C15+'First Natl'!C15+'Franklin American'!C15+'Franklin Protective'!C15+'George Washington'!C15+'Golden State'!C15+'Guarantee Security'!C15+Imerica!C15+'Inter-American'!C15+'International Fin'!C15+'Investment Life of America'!C15+'Investors Equity'!C15+'Kentucky Central'!C15+Legion!C15+'London Pac'!C15+'Medical Savings'!C15+'Midwest Life'!C15+'Mutual Benefit'!C15+'Mutual Security'!C15+'National Affiliated'!C15+'Natl American'!C15+'National Heritage'!C15+'New Jersey Life'!C15+'Old Colony Life'!C15+'Old Faithful'!C15+'Pacific Standard'!C15+'Red Rock'!C15+SeeChange!C15+'States General'!C15+Statesman!C15+'Summit National'!C15+Supreme!C15+Underwriters!C15+Unison!C15+'United Republic'!C15+Universe!C15+Villanova!C15</f>
        <v>96813260.728244007</v>
      </c>
      <c r="D15" s="1">
        <f>+'Alabama Life'!D15+'American Chambers'!D15+'American Educators'!D15+'American Integrity'!D15+'Amer Life Asr'!D15+'American Medical'!D15+'Amer Std Life Acc'!D15+AmerWstrn!D15+'AMS Life'!D15+'Andrew Jackson'!D15+'Bankers Commercial'!D15+Benicorp!D15+Centennial!D15+'Coastal States'!D15+'Confed Life (CLIC)'!D15+'Consolidated National'!D15+'Consumers Mutual'!D15+'Consumers United'!D15+'Corporate Life'!D15+'Diamond Benefits'!D15+'EBL Life'!D15+'Family Guaranty'!D15+'Fidelity Bankers'!D15+'First Natl'!D15+'Franklin American'!D15+'Franklin Protective'!D15+'George Washington'!D15+'Golden State'!D15+'Guarantee Security'!D15+Imerica!D15+'Inter-American'!D15+'International Fin'!D15+'Investment Life of America'!D15+'Investors Equity'!D15+'Kentucky Central'!D15+Legion!D15+'London Pac'!D15+'Medical Savings'!D15+'Midwest Life'!D15+'Mutual Benefit'!D15+'Mutual Security'!D15+'National Affiliated'!D15+'Natl American'!D15+'National Heritage'!D15+'New Jersey Life'!D15+'Old Colony Life'!D15+'Old Faithful'!D15+'Pacific Standard'!D15+'Red Rock'!D15+SeeChange!D15+'States General'!D15+Statesman!D15+'Summit National'!D15+Supreme!D15+Underwriters!D15+Unison!D15+'United Republic'!D15+Universe!D15+Villanova!D15</f>
        <v>22137080.781748045</v>
      </c>
      <c r="E15" s="1">
        <f>+'Alabama Life'!E15+'American Chambers'!E15+'American Educators'!E15+'American Integrity'!E15+'Amer Life Asr'!E15+'American Medical'!E15+'Amer Std Life Acc'!E15+AmerWstrn!E15+'AMS Life'!E15+'Andrew Jackson'!E15+'Bankers Commercial'!E15+Benicorp!E15+Centennial!E15+'Coastal States'!E15+'Confed Life (CLIC)'!E15+'Consolidated National'!E15+'Consumers Mutual'!E15+'Consumers United'!E15+'Corporate Life'!E15+'Diamond Benefits'!E15+'EBL Life'!E15+'Family Guaranty'!E15+'Fidelity Bankers'!E15+'First Natl'!E15+'Franklin American'!E15+'Franklin Protective'!E15+'George Washington'!E15+'Golden State'!E15+'Guarantee Security'!E15+Imerica!E15+'Inter-American'!E15+'International Fin'!E15+'Investment Life of America'!E15+'Investors Equity'!E15+'Kentucky Central'!E15+Legion!E15+'London Pac'!E15+'Medical Savings'!E15+'Midwest Life'!E15+'Mutual Benefit'!E15+'Mutual Security'!E15+'National Affiliated'!E15+'Natl American'!E15+'National Heritage'!E15+'New Jersey Life'!E15+'Old Colony Life'!E15+'Old Faithful'!E15+'Pacific Standard'!E15+'Red Rock'!E15+SeeChange!E15+'States General'!E15+Statesman!E15+'Summit National'!E15+Supreme!E15+Underwriters!E15+Unison!E15+'United Republic'!E15+Universe!E15+Villanova!E15</f>
        <v>5811.7582404316236</v>
      </c>
      <c r="F15" s="1">
        <f>+'Alabama Life'!F15+'American Chambers'!F15+'American Educators'!F15+'American Integrity'!F15+'Amer Life Asr'!F15+'American Medical'!F15+'Amer Std Life Acc'!F15+AmerWstrn!F15+'AMS Life'!F15+'Andrew Jackson'!F15+'Bankers Commercial'!F15+Benicorp!F15+Centennial!F15+'Coastal States'!F15+'Confed Life (CLIC)'!F15+'Consolidated National'!F15+'Consumers Mutual'!F15+'Consumers United'!F15+'Corporate Life'!F15+'Diamond Benefits'!F15+'EBL Life'!F15+'Family Guaranty'!F15+'Fidelity Bankers'!F15+'First Natl'!F15+'Franklin American'!F15+'Franklin Protective'!F15+'George Washington'!F15+'Golden State'!F15+'Guarantee Security'!F15+Imerica!F15+'Inter-American'!F15+'International Fin'!F15+'Investment Life of America'!F15+'Investors Equity'!F15+'Kentucky Central'!F15+Legion!F15+'London Pac'!F15+'Medical Savings'!F15+'Midwest Life'!F15+'Mutual Benefit'!F15+'Mutual Security'!F15+'National Affiliated'!F15+'Natl American'!F15+'National Heritage'!F15+'New Jersey Life'!F15+'Old Colony Life'!F15+'Old Faithful'!F15+'Pacific Standard'!F15+'Red Rock'!F15+SeeChange!F15+'States General'!F15+Statesman!F15+'Summit National'!F15+Supreme!F15+Underwriters!F15+Unison!F15+'United Republic'!F15+Universe!F15+Villanova!F15</f>
        <v>0</v>
      </c>
      <c r="G15" s="1">
        <f t="shared" si="0"/>
        <v>136388082.92406958</v>
      </c>
      <c r="H15" s="1">
        <f>+'Alabama Life'!G15+'American Chambers'!G15+'American Educators'!G15+'American Integrity'!G15+'Amer Life Asr'!G15+'American Medical'!G15+'Amer Std Life Acc'!G15+AmerWstrn!G15+'AMS Life'!G15+'Andrew Jackson'!G15+'Bankers Commercial'!G15+Benicorp!G15+Centennial!G15+'Coastal States'!G15+'Confed Life (CLIC)'!G15+'Consolidated National'!G15+'Consumers Mutual'!G15+'Consumers United'!G15+'Corporate Life'!G15+'Diamond Benefits'!G15+'EBL Life'!G15+'Family Guaranty'!G15+'Fidelity Bankers'!G15+'First Natl'!G15+'Franklin American'!G15+'Franklin Protective'!G15+'George Washington'!G15+'Golden State'!G15+'Guarantee Security'!G15+Imerica!G15+'Inter-American'!G15+'International Fin'!G15+'Investment Life of America'!G15+'Investors Equity'!G15+'Kentucky Central'!G15+Legion!G15+'London Pac'!G15+'Medical Savings'!G15+'Midwest Life'!G15+'Mutual Benefit'!G15+'Mutual Security'!G15+'National Affiliated'!G15+'Natl American'!G15+'National Heritage'!G15+'New Jersey Life'!G15+'Old Colony Life'!G15+'Old Faithful'!G15+'Pacific Standard'!G15+'Red Rock'!G15+SeeChange!G15+'States General'!G15+Statesman!G15+'Summit National'!G15+Supreme!G15+Underwriters!G15+Unison!G15+'United Republic'!G15+Universe!G15+Villanova!G15</f>
        <v>136388082.92406958</v>
      </c>
      <c r="I15" s="1">
        <f t="shared" si="1"/>
        <v>0</v>
      </c>
      <c r="K15" s="1" t="s">
        <v>398</v>
      </c>
      <c r="L15" s="1">
        <f>Summary!TOTAL_60968</f>
        <v>25146789.261200495</v>
      </c>
    </row>
    <row r="16" spans="1:12">
      <c r="A16" s="1" t="s">
        <v>27</v>
      </c>
      <c r="B16" s="1">
        <f>+'Alabama Life'!B16+'American Chambers'!B16+'American Educators'!B16+'American Integrity'!B16+'Amer Life Asr'!B16+'American Medical'!B16+'Amer Std Life Acc'!B16+AmerWstrn!B16+'AMS Life'!B16+'Andrew Jackson'!B16+'Bankers Commercial'!B16+Benicorp!B16+Centennial!B16+'Coastal States'!B16+'Confed Life (CLIC)'!B16+'Consolidated National'!B16+'Consumers Mutual'!B16+'Consumers United'!B16+'Corporate Life'!B16+'Diamond Benefits'!B16+'EBL Life'!B16+'Family Guaranty'!B16+'Fidelity Bankers'!B16+'First Natl'!B16+'Franklin American'!B16+'Franklin Protective'!B16+'George Washington'!B16+'Golden State'!B16+'Guarantee Security'!B16+Imerica!B16+'Inter-American'!B16+'International Fin'!B16+'Investment Life of America'!B16+'Investors Equity'!B16+'Kentucky Central'!B16+Legion!B16+'London Pac'!B16+'Medical Savings'!B16+'Midwest Life'!B16+'Mutual Benefit'!B16+'Mutual Security'!B16+'National Affiliated'!B16+'Natl American'!B16+'National Heritage'!B16+'New Jersey Life'!B16+'Old Colony Life'!B16+'Old Faithful'!B16+'Pacific Standard'!B16+'Red Rock'!B16+SeeChange!B16+'States General'!B16+Statesman!B16+'Summit National'!B16+Supreme!B16+Underwriters!B16+Unison!B16+'United Republic'!B16+Universe!B16+Villanova!B16</f>
        <v>2610140.5287068589</v>
      </c>
      <c r="C16" s="1">
        <f>+'Alabama Life'!C16+'American Chambers'!C16+'American Educators'!C16+'American Integrity'!C16+'Amer Life Asr'!C16+'American Medical'!C16+'Amer Std Life Acc'!C16+AmerWstrn!C16+'AMS Life'!C16+'Andrew Jackson'!C16+'Bankers Commercial'!C16+Benicorp!C16+Centennial!C16+'Coastal States'!C16+'Confed Life (CLIC)'!C16+'Consolidated National'!C16+'Consumers Mutual'!C16+'Consumers United'!C16+'Corporate Life'!C16+'Diamond Benefits'!C16+'EBL Life'!C16+'Family Guaranty'!C16+'Fidelity Bankers'!C16+'First Natl'!C16+'Franklin American'!C16+'Franklin Protective'!C16+'George Washington'!C16+'Golden State'!C16+'Guarantee Security'!C16+Imerica!C16+'Inter-American'!C16+'International Fin'!C16+'Investment Life of America'!C16+'Investors Equity'!C16+'Kentucky Central'!C16+Legion!C16+'London Pac'!C16+'Medical Savings'!C16+'Midwest Life'!C16+'Mutual Benefit'!C16+'Mutual Security'!C16+'National Affiliated'!C16+'Natl American'!C16+'National Heritage'!C16+'New Jersey Life'!C16+'Old Colony Life'!C16+'Old Faithful'!C16+'Pacific Standard'!C16+'Red Rock'!C16+SeeChange!C16+'States General'!C16+Statesman!C16+'Summit National'!C16+Supreme!C16+Underwriters!C16+Unison!C16+'United Republic'!C16+Universe!C16+Villanova!C16</f>
        <v>6166794.6082402021</v>
      </c>
      <c r="D16" s="1">
        <f>+'Alabama Life'!D16+'American Chambers'!D16+'American Educators'!D16+'American Integrity'!D16+'Amer Life Asr'!D16+'American Medical'!D16+'Amer Std Life Acc'!D16+AmerWstrn!D16+'AMS Life'!D16+'Andrew Jackson'!D16+'Bankers Commercial'!D16+Benicorp!D16+Centennial!D16+'Coastal States'!D16+'Confed Life (CLIC)'!D16+'Consolidated National'!D16+'Consumers Mutual'!D16+'Consumers United'!D16+'Corporate Life'!D16+'Diamond Benefits'!D16+'EBL Life'!D16+'Family Guaranty'!D16+'Fidelity Bankers'!D16+'First Natl'!D16+'Franklin American'!D16+'Franklin Protective'!D16+'George Washington'!D16+'Golden State'!D16+'Guarantee Security'!D16+Imerica!D16+'Inter-American'!D16+'International Fin'!D16+'Investment Life of America'!D16+'Investors Equity'!D16+'Kentucky Central'!D16+Legion!D16+'London Pac'!D16+'Medical Savings'!D16+'Midwest Life'!D16+'Mutual Benefit'!D16+'Mutual Security'!D16+'National Affiliated'!D16+'Natl American'!D16+'National Heritage'!D16+'New Jersey Life'!D16+'Old Colony Life'!D16+'Old Faithful'!D16+'Pacific Standard'!D16+'Red Rock'!D16+SeeChange!D16+'States General'!D16+Statesman!D16+'Summit National'!D16+Supreme!D16+Underwriters!D16+Unison!D16+'United Republic'!D16+Universe!D16+Villanova!D16</f>
        <v>8611116.3495285753</v>
      </c>
      <c r="E16" s="1">
        <f>+'Alabama Life'!E16+'American Chambers'!E16+'American Educators'!E16+'American Integrity'!E16+'Amer Life Asr'!E16+'American Medical'!E16+'Amer Std Life Acc'!E16+AmerWstrn!E16+'AMS Life'!E16+'Andrew Jackson'!E16+'Bankers Commercial'!E16+Benicorp!E16+Centennial!E16+'Coastal States'!E16+'Confed Life (CLIC)'!E16+'Consolidated National'!E16+'Consumers Mutual'!E16+'Consumers United'!E16+'Corporate Life'!E16+'Diamond Benefits'!E16+'EBL Life'!E16+'Family Guaranty'!E16+'Fidelity Bankers'!E16+'First Natl'!E16+'Franklin American'!E16+'Franklin Protective'!E16+'George Washington'!E16+'Golden State'!E16+'Guarantee Security'!E16+Imerica!E16+'Inter-American'!E16+'International Fin'!E16+'Investment Life of America'!E16+'Investors Equity'!E16+'Kentucky Central'!E16+Legion!E16+'London Pac'!E16+'Medical Savings'!E16+'Midwest Life'!E16+'Mutual Benefit'!E16+'Mutual Security'!E16+'National Affiliated'!E16+'Natl American'!E16+'National Heritage'!E16+'New Jersey Life'!E16+'Old Colony Life'!E16+'Old Faithful'!E16+'Pacific Standard'!E16+'Red Rock'!E16+SeeChange!E16+'States General'!E16+Statesman!E16+'Summit National'!E16+Supreme!E16+Underwriters!E16+Unison!E16+'United Republic'!E16+Universe!E16+Villanova!E16</f>
        <v>112616.9169860003</v>
      </c>
      <c r="F16" s="1">
        <f>+'Alabama Life'!F16+'American Chambers'!F16+'American Educators'!F16+'American Integrity'!F16+'Amer Life Asr'!F16+'American Medical'!F16+'Amer Std Life Acc'!F16+AmerWstrn!F16+'AMS Life'!F16+'Andrew Jackson'!F16+'Bankers Commercial'!F16+Benicorp!F16+Centennial!F16+'Coastal States'!F16+'Confed Life (CLIC)'!F16+'Consolidated National'!F16+'Consumers Mutual'!F16+'Consumers United'!F16+'Corporate Life'!F16+'Diamond Benefits'!F16+'EBL Life'!F16+'Family Guaranty'!F16+'Fidelity Bankers'!F16+'First Natl'!F16+'Franklin American'!F16+'Franklin Protective'!F16+'George Washington'!F16+'Golden State'!F16+'Guarantee Security'!F16+Imerica!F16+'Inter-American'!F16+'International Fin'!F16+'Investment Life of America'!F16+'Investors Equity'!F16+'Kentucky Central'!F16+Legion!F16+'London Pac'!F16+'Medical Savings'!F16+'Midwest Life'!F16+'Mutual Benefit'!F16+'Mutual Security'!F16+'National Affiliated'!F16+'Natl American'!F16+'National Heritage'!F16+'New Jersey Life'!F16+'Old Colony Life'!F16+'Old Faithful'!F16+'Pacific Standard'!F16+'Red Rock'!F16+SeeChange!F16+'States General'!F16+Statesman!F16+'Summit National'!F16+Supreme!F16+Underwriters!F16+Unison!F16+'United Republic'!F16+Universe!F16+Villanova!F16</f>
        <v>0</v>
      </c>
      <c r="G16" s="1">
        <f t="shared" si="0"/>
        <v>17500668.403461639</v>
      </c>
      <c r="H16" s="1">
        <f>+'Alabama Life'!G16+'American Chambers'!G16+'American Educators'!G16+'American Integrity'!G16+'Amer Life Asr'!G16+'American Medical'!G16+'Amer Std Life Acc'!G16+AmerWstrn!G16+'AMS Life'!G16+'Andrew Jackson'!G16+'Bankers Commercial'!G16+Benicorp!G16+Centennial!G16+'Coastal States'!G16+'Confed Life (CLIC)'!G16+'Consolidated National'!G16+'Consumers Mutual'!G16+'Consumers United'!G16+'Corporate Life'!G16+'Diamond Benefits'!G16+'EBL Life'!G16+'Family Guaranty'!G16+'Fidelity Bankers'!G16+'First Natl'!G16+'Franklin American'!G16+'Franklin Protective'!G16+'George Washington'!G16+'Golden State'!G16+'Guarantee Security'!G16+Imerica!G16+'Inter-American'!G16+'International Fin'!G16+'Investment Life of America'!G16+'Investors Equity'!G16+'Kentucky Central'!G16+Legion!G16+'London Pac'!G16+'Medical Savings'!G16+'Midwest Life'!G16+'Mutual Benefit'!G16+'Mutual Security'!G16+'National Affiliated'!G16+'Natl American'!G16+'National Heritage'!G16+'New Jersey Life'!G16+'Old Colony Life'!G16+'Old Faithful'!G16+'Pacific Standard'!G16+'Red Rock'!G16+SeeChange!G16+'States General'!G16+Statesman!G16+'Summit National'!G16+Supreme!G16+Underwriters!G16+Unison!G16+'United Republic'!G16+Universe!G16+Villanova!G16</f>
        <v>17500668.403461639</v>
      </c>
      <c r="I16" s="1">
        <f t="shared" si="1"/>
        <v>0</v>
      </c>
      <c r="K16" s="1" t="s">
        <v>404</v>
      </c>
      <c r="L16" s="1">
        <f>Summary!TOTAL_61220</f>
        <v>13836653.639999999</v>
      </c>
    </row>
    <row r="17" spans="1:12">
      <c r="A17" s="1" t="s">
        <v>29</v>
      </c>
      <c r="B17" s="1">
        <f>+'Alabama Life'!B17+'American Chambers'!B17+'American Educators'!B17+'American Integrity'!B17+'Amer Life Asr'!B17+'American Medical'!B17+'Amer Std Life Acc'!B17+AmerWstrn!B17+'AMS Life'!B17+'Andrew Jackson'!B17+'Bankers Commercial'!B17+Benicorp!B17+Centennial!B17+'Coastal States'!B17+'Confed Life (CLIC)'!B17+'Consolidated National'!B17+'Consumers Mutual'!B17+'Consumers United'!B17+'Corporate Life'!B17+'Diamond Benefits'!B17+'EBL Life'!B17+'Family Guaranty'!B17+'Fidelity Bankers'!B17+'First Natl'!B17+'Franklin American'!B17+'Franklin Protective'!B17+'George Washington'!B17+'Golden State'!B17+'Guarantee Security'!B17+Imerica!B17+'Inter-American'!B17+'International Fin'!B17+'Investment Life of America'!B17+'Investors Equity'!B17+'Kentucky Central'!B17+Legion!B17+'London Pac'!B17+'Medical Savings'!B17+'Midwest Life'!B17+'Mutual Benefit'!B17+'Mutual Security'!B17+'National Affiliated'!B17+'Natl American'!B17+'National Heritage'!B17+'New Jersey Life'!B17+'Old Colony Life'!B17+'Old Faithful'!B17+'Pacific Standard'!B17+'Red Rock'!B17+SeeChange!B17+'States General'!B17+Statesman!B17+'Summit National'!B17+Supreme!B17+Underwriters!B17+Unison!B17+'United Republic'!B17+Universe!B17+Villanova!B17</f>
        <v>1360312.2414218462</v>
      </c>
      <c r="C17" s="1">
        <f>+'Alabama Life'!C17+'American Chambers'!C17+'American Educators'!C17+'American Integrity'!C17+'Amer Life Asr'!C17+'American Medical'!C17+'Amer Std Life Acc'!C17+AmerWstrn!C17+'AMS Life'!C17+'Andrew Jackson'!C17+'Bankers Commercial'!C17+Benicorp!C17+Centennial!C17+'Coastal States'!C17+'Confed Life (CLIC)'!C17+'Consolidated National'!C17+'Consumers Mutual'!C17+'Consumers United'!C17+'Corporate Life'!C17+'Diamond Benefits'!C17+'EBL Life'!C17+'Family Guaranty'!C17+'Fidelity Bankers'!C17+'First Natl'!C17+'Franklin American'!C17+'Franklin Protective'!C17+'George Washington'!C17+'Golden State'!C17+'Guarantee Security'!C17+Imerica!C17+'Inter-American'!C17+'International Fin'!C17+'Investment Life of America'!C17+'Investors Equity'!C17+'Kentucky Central'!C17+Legion!C17+'London Pac'!C17+'Medical Savings'!C17+'Midwest Life'!C17+'Mutual Benefit'!C17+'Mutual Security'!C17+'National Affiliated'!C17+'Natl American'!C17+'National Heritage'!C17+'New Jersey Life'!C17+'Old Colony Life'!C17+'Old Faithful'!C17+'Pacific Standard'!C17+'Red Rock'!C17+SeeChange!C17+'States General'!C17+Statesman!C17+'Summit National'!C17+Supreme!C17+Underwriters!C17+Unison!C17+'United Republic'!C17+Universe!C17+Villanova!C17</f>
        <v>37464431.739609696</v>
      </c>
      <c r="D17" s="1">
        <f>+'Alabama Life'!D17+'American Chambers'!D17+'American Educators'!D17+'American Integrity'!D17+'Amer Life Asr'!D17+'American Medical'!D17+'Amer Std Life Acc'!D17+AmerWstrn!D17+'AMS Life'!D17+'Andrew Jackson'!D17+'Bankers Commercial'!D17+Benicorp!D17+Centennial!D17+'Coastal States'!D17+'Confed Life (CLIC)'!D17+'Consolidated National'!D17+'Consumers Mutual'!D17+'Consumers United'!D17+'Corporate Life'!D17+'Diamond Benefits'!D17+'EBL Life'!D17+'Family Guaranty'!D17+'Fidelity Bankers'!D17+'First Natl'!D17+'Franklin American'!D17+'Franklin Protective'!D17+'George Washington'!D17+'Golden State'!D17+'Guarantee Security'!D17+Imerica!D17+'Inter-American'!D17+'International Fin'!D17+'Investment Life of America'!D17+'Investors Equity'!D17+'Kentucky Central'!D17+Legion!D17+'London Pac'!D17+'Medical Savings'!D17+'Midwest Life'!D17+'Mutual Benefit'!D17+'Mutual Security'!D17+'National Affiliated'!D17+'Natl American'!D17+'National Heritage'!D17+'New Jersey Life'!D17+'Old Colony Life'!D17+'Old Faithful'!D17+'Pacific Standard'!D17+'Red Rock'!D17+SeeChange!D17+'States General'!D17+Statesman!D17+'Summit National'!D17+Supreme!D17+Underwriters!D17+Unison!D17+'United Republic'!D17+Universe!D17+Villanova!D17</f>
        <v>-73243.881762474761</v>
      </c>
      <c r="E17" s="1">
        <f>+'Alabama Life'!E17+'American Chambers'!E17+'American Educators'!E17+'American Integrity'!E17+'Amer Life Asr'!E17+'American Medical'!E17+'Amer Std Life Acc'!E17+AmerWstrn!E17+'AMS Life'!E17+'Andrew Jackson'!E17+'Bankers Commercial'!E17+Benicorp!E17+Centennial!E17+'Coastal States'!E17+'Confed Life (CLIC)'!E17+'Consolidated National'!E17+'Consumers Mutual'!E17+'Consumers United'!E17+'Corporate Life'!E17+'Diamond Benefits'!E17+'EBL Life'!E17+'Family Guaranty'!E17+'Fidelity Bankers'!E17+'First Natl'!E17+'Franklin American'!E17+'Franklin Protective'!E17+'George Washington'!E17+'Golden State'!E17+'Guarantee Security'!E17+Imerica!E17+'Inter-American'!E17+'International Fin'!E17+'Investment Life of America'!E17+'Investors Equity'!E17+'Kentucky Central'!E17+Legion!E17+'London Pac'!E17+'Medical Savings'!E17+'Midwest Life'!E17+'Mutual Benefit'!E17+'Mutual Security'!E17+'National Affiliated'!E17+'Natl American'!E17+'National Heritage'!E17+'New Jersey Life'!E17+'Old Colony Life'!E17+'Old Faithful'!E17+'Pacific Standard'!E17+'Red Rock'!E17+SeeChange!E17+'States General'!E17+Statesman!E17+'Summit National'!E17+Supreme!E17+Underwriters!E17+Unison!E17+'United Republic'!E17+Universe!E17+Villanova!E17</f>
        <v>0</v>
      </c>
      <c r="F17" s="1">
        <f>+'Alabama Life'!F17+'American Chambers'!F17+'American Educators'!F17+'American Integrity'!F17+'Amer Life Asr'!F17+'American Medical'!F17+'Amer Std Life Acc'!F17+AmerWstrn!F17+'AMS Life'!F17+'Andrew Jackson'!F17+'Bankers Commercial'!F17+Benicorp!F17+Centennial!F17+'Coastal States'!F17+'Confed Life (CLIC)'!F17+'Consolidated National'!F17+'Consumers Mutual'!F17+'Consumers United'!F17+'Corporate Life'!F17+'Diamond Benefits'!F17+'EBL Life'!F17+'Family Guaranty'!F17+'Fidelity Bankers'!F17+'First Natl'!F17+'Franklin American'!F17+'Franklin Protective'!F17+'George Washington'!F17+'Golden State'!F17+'Guarantee Security'!F17+Imerica!F17+'Inter-American'!F17+'International Fin'!F17+'Investment Life of America'!F17+'Investors Equity'!F17+'Kentucky Central'!F17+Legion!F17+'London Pac'!F17+'Medical Savings'!F17+'Midwest Life'!F17+'Mutual Benefit'!F17+'Mutual Security'!F17+'National Affiliated'!F17+'Natl American'!F17+'National Heritage'!F17+'New Jersey Life'!F17+'Old Colony Life'!F17+'Old Faithful'!F17+'Pacific Standard'!F17+'Red Rock'!F17+SeeChange!F17+'States General'!F17+Statesman!F17+'Summit National'!F17+Supreme!F17+Underwriters!F17+Unison!F17+'United Republic'!F17+Universe!F17+Villanova!F17</f>
        <v>0</v>
      </c>
      <c r="G17" s="1">
        <f t="shared" si="0"/>
        <v>38751500.09926907</v>
      </c>
      <c r="H17" s="1">
        <f>+'Alabama Life'!G17+'American Chambers'!G17+'American Educators'!G17+'American Integrity'!G17+'Amer Life Asr'!G17+'American Medical'!G17+'Amer Std Life Acc'!G17+AmerWstrn!G17+'AMS Life'!G17+'Andrew Jackson'!G17+'Bankers Commercial'!G17+Benicorp!G17+Centennial!G17+'Coastal States'!G17+'Confed Life (CLIC)'!G17+'Consolidated National'!G17+'Consumers Mutual'!G17+'Consumers United'!G17+'Corporate Life'!G17+'Diamond Benefits'!G17+'EBL Life'!G17+'Family Guaranty'!G17+'Fidelity Bankers'!G17+'First Natl'!G17+'Franklin American'!G17+'Franklin Protective'!G17+'George Washington'!G17+'Golden State'!G17+'Guarantee Security'!G17+Imerica!G17+'Inter-American'!G17+'International Fin'!G17+'Investment Life of America'!G17+'Investors Equity'!G17+'Kentucky Central'!G17+Legion!G17+'London Pac'!G17+'Medical Savings'!G17+'Midwest Life'!G17+'Mutual Benefit'!G17+'Mutual Security'!G17+'National Affiliated'!G17+'Natl American'!G17+'National Heritage'!G17+'New Jersey Life'!G17+'Old Colony Life'!G17+'Old Faithful'!G17+'Pacific Standard'!G17+'Red Rock'!G17+SeeChange!G17+'States General'!G17+Statesman!G17+'Summit National'!G17+Supreme!G17+Underwriters!G17+Unison!G17+'United Republic'!G17+Universe!G17+Villanova!G17</f>
        <v>38751500.099269062</v>
      </c>
      <c r="I17" s="1">
        <f t="shared" si="1"/>
        <v>0</v>
      </c>
      <c r="K17" s="1" t="s">
        <v>410</v>
      </c>
      <c r="L17" s="1">
        <f>Summary!TOTAL_69752</f>
        <v>26447328.290988941</v>
      </c>
    </row>
    <row r="18" spans="1:12">
      <c r="A18" s="1" t="s">
        <v>30</v>
      </c>
      <c r="B18" s="1">
        <f>+'Alabama Life'!B18+'American Chambers'!B18+'American Educators'!B18+'American Integrity'!B18+'Amer Life Asr'!B18+'American Medical'!B18+'Amer Std Life Acc'!B18+AmerWstrn!B18+'AMS Life'!B18+'Andrew Jackson'!B18+'Bankers Commercial'!B18+Benicorp!B18+Centennial!B18+'Coastal States'!B18+'Confed Life (CLIC)'!B18+'Consolidated National'!B18+'Consumers Mutual'!B18+'Consumers United'!B18+'Corporate Life'!B18+'Diamond Benefits'!B18+'EBL Life'!B18+'Family Guaranty'!B18+'Fidelity Bankers'!B18+'First Natl'!B18+'Franklin American'!B18+'Franklin Protective'!B18+'George Washington'!B18+'Golden State'!B18+'Guarantee Security'!B18+Imerica!B18+'Inter-American'!B18+'International Fin'!B18+'Investment Life of America'!B18+'Investors Equity'!B18+'Kentucky Central'!B18+Legion!B18+'London Pac'!B18+'Medical Savings'!B18+'Midwest Life'!B18+'Mutual Benefit'!B18+'Mutual Security'!B18+'National Affiliated'!B18+'Natl American'!B18+'National Heritage'!B18+'New Jersey Life'!B18+'Old Colony Life'!B18+'Old Faithful'!B18+'Pacific Standard'!B18+'Red Rock'!B18+SeeChange!B18+'States General'!B18+Statesman!B18+'Summit National'!B18+Supreme!B18+Underwriters!B18+Unison!B18+'United Republic'!B18+Universe!B18+Villanova!B18</f>
        <v>571813.48309869121</v>
      </c>
      <c r="C18" s="1">
        <f>+'Alabama Life'!C18+'American Chambers'!C18+'American Educators'!C18+'American Integrity'!C18+'Amer Life Asr'!C18+'American Medical'!C18+'Amer Std Life Acc'!C18+AmerWstrn!C18+'AMS Life'!C18+'Andrew Jackson'!C18+'Bankers Commercial'!C18+Benicorp!C18+Centennial!C18+'Coastal States'!C18+'Confed Life (CLIC)'!C18+'Consolidated National'!C18+'Consumers Mutual'!C18+'Consumers United'!C18+'Corporate Life'!C18+'Diamond Benefits'!C18+'EBL Life'!C18+'Family Guaranty'!C18+'Fidelity Bankers'!C18+'First Natl'!C18+'Franklin American'!C18+'Franklin Protective'!C18+'George Washington'!C18+'Golden State'!C18+'Guarantee Security'!C18+Imerica!C18+'Inter-American'!C18+'International Fin'!C18+'Investment Life of America'!C18+'Investors Equity'!C18+'Kentucky Central'!C18+Legion!C18+'London Pac'!C18+'Medical Savings'!C18+'Midwest Life'!C18+'Mutual Benefit'!C18+'Mutual Security'!C18+'National Affiliated'!C18+'Natl American'!C18+'National Heritage'!C18+'New Jersey Life'!C18+'Old Colony Life'!C18+'Old Faithful'!C18+'Pacific Standard'!C18+'Red Rock'!C18+SeeChange!C18+'States General'!C18+Statesman!C18+'Summit National'!C18+Supreme!C18+Underwriters!C18+Unison!C18+'United Republic'!C18+Universe!C18+Villanova!C18</f>
        <v>2310756.6907913666</v>
      </c>
      <c r="D18" s="1">
        <f>+'Alabama Life'!D18+'American Chambers'!D18+'American Educators'!D18+'American Integrity'!D18+'Amer Life Asr'!D18+'American Medical'!D18+'Amer Std Life Acc'!D18+AmerWstrn!D18+'AMS Life'!D18+'Andrew Jackson'!D18+'Bankers Commercial'!D18+Benicorp!D18+Centennial!D18+'Coastal States'!D18+'Confed Life (CLIC)'!D18+'Consolidated National'!D18+'Consumers Mutual'!D18+'Consumers United'!D18+'Corporate Life'!D18+'Diamond Benefits'!D18+'EBL Life'!D18+'Family Guaranty'!D18+'Fidelity Bankers'!D18+'First Natl'!D18+'Franklin American'!D18+'Franklin Protective'!D18+'George Washington'!D18+'Golden State'!D18+'Guarantee Security'!D18+Imerica!D18+'Inter-American'!D18+'International Fin'!D18+'Investment Life of America'!D18+'Investors Equity'!D18+'Kentucky Central'!D18+Legion!D18+'London Pac'!D18+'Medical Savings'!D18+'Midwest Life'!D18+'Mutual Benefit'!D18+'Mutual Security'!D18+'National Affiliated'!D18+'Natl American'!D18+'National Heritage'!D18+'New Jersey Life'!D18+'Old Colony Life'!D18+'Old Faithful'!D18+'Pacific Standard'!D18+'Red Rock'!D18+SeeChange!D18+'States General'!D18+Statesman!D18+'Summit National'!D18+Supreme!D18+Underwriters!D18+Unison!D18+'United Republic'!D18+Universe!D18+Villanova!D18</f>
        <v>616637.780124499</v>
      </c>
      <c r="E18" s="1">
        <f>+'Alabama Life'!E18+'American Chambers'!E18+'American Educators'!E18+'American Integrity'!E18+'Amer Life Asr'!E18+'American Medical'!E18+'Amer Std Life Acc'!E18+AmerWstrn!E18+'AMS Life'!E18+'Andrew Jackson'!E18+'Bankers Commercial'!E18+Benicorp!E18+Centennial!E18+'Coastal States'!E18+'Confed Life (CLIC)'!E18+'Consolidated National'!E18+'Consumers Mutual'!E18+'Consumers United'!E18+'Corporate Life'!E18+'Diamond Benefits'!E18+'EBL Life'!E18+'Family Guaranty'!E18+'Fidelity Bankers'!E18+'First Natl'!E18+'Franklin American'!E18+'Franklin Protective'!E18+'George Washington'!E18+'Golden State'!E18+'Guarantee Security'!E18+Imerica!E18+'Inter-American'!E18+'International Fin'!E18+'Investment Life of America'!E18+'Investors Equity'!E18+'Kentucky Central'!E18+Legion!E18+'London Pac'!E18+'Medical Savings'!E18+'Midwest Life'!E18+'Mutual Benefit'!E18+'Mutual Security'!E18+'National Affiliated'!E18+'Natl American'!E18+'National Heritage'!E18+'New Jersey Life'!E18+'Old Colony Life'!E18+'Old Faithful'!E18+'Pacific Standard'!E18+'Red Rock'!E18+SeeChange!E18+'States General'!E18+Statesman!E18+'Summit National'!E18+Supreme!E18+Underwriters!E18+Unison!E18+'United Republic'!E18+Universe!E18+Villanova!E18</f>
        <v>0</v>
      </c>
      <c r="F18" s="1">
        <f>+'Alabama Life'!F18+'American Chambers'!F18+'American Educators'!F18+'American Integrity'!F18+'Amer Life Asr'!F18+'American Medical'!F18+'Amer Std Life Acc'!F18+AmerWstrn!F18+'AMS Life'!F18+'Andrew Jackson'!F18+'Bankers Commercial'!F18+Benicorp!F18+Centennial!F18+'Coastal States'!F18+'Confed Life (CLIC)'!F18+'Consolidated National'!F18+'Consumers Mutual'!F18+'Consumers United'!F18+'Corporate Life'!F18+'Diamond Benefits'!F18+'EBL Life'!F18+'Family Guaranty'!F18+'Fidelity Bankers'!F18+'First Natl'!F18+'Franklin American'!F18+'Franklin Protective'!F18+'George Washington'!F18+'Golden State'!F18+'Guarantee Security'!F18+Imerica!F18+'Inter-American'!F18+'International Fin'!F18+'Investment Life of America'!F18+'Investors Equity'!F18+'Kentucky Central'!F18+Legion!F18+'London Pac'!F18+'Medical Savings'!F18+'Midwest Life'!F18+'Mutual Benefit'!F18+'Mutual Security'!F18+'National Affiliated'!F18+'Natl American'!F18+'National Heritage'!F18+'New Jersey Life'!F18+'Old Colony Life'!F18+'Old Faithful'!F18+'Pacific Standard'!F18+'Red Rock'!F18+SeeChange!F18+'States General'!F18+Statesman!F18+'Summit National'!F18+Supreme!F18+Underwriters!F18+Unison!F18+'United Republic'!F18+Universe!F18+Villanova!F18</f>
        <v>0</v>
      </c>
      <c r="G18" s="1">
        <f t="shared" si="0"/>
        <v>3499207.9540145569</v>
      </c>
      <c r="H18" s="1">
        <f>+'Alabama Life'!G18+'American Chambers'!G18+'American Educators'!G18+'American Integrity'!G18+'Amer Life Asr'!G18+'American Medical'!G18+'Amer Std Life Acc'!G18+AmerWstrn!G18+'AMS Life'!G18+'Andrew Jackson'!G18+'Bankers Commercial'!G18+Benicorp!G18+Centennial!G18+'Coastal States'!G18+'Confed Life (CLIC)'!G18+'Consolidated National'!G18+'Consumers Mutual'!G18+'Consumers United'!G18+'Corporate Life'!G18+'Diamond Benefits'!G18+'EBL Life'!G18+'Family Guaranty'!G18+'Fidelity Bankers'!G18+'First Natl'!G18+'Franklin American'!G18+'Franklin Protective'!G18+'George Washington'!G18+'Golden State'!G18+'Guarantee Security'!G18+Imerica!G18+'Inter-American'!G18+'International Fin'!G18+'Investment Life of America'!G18+'Investors Equity'!G18+'Kentucky Central'!G18+Legion!G18+'London Pac'!G18+'Medical Savings'!G18+'Midwest Life'!G18+'Mutual Benefit'!G18+'Mutual Security'!G18+'National Affiliated'!G18+'Natl American'!G18+'National Heritage'!G18+'New Jersey Life'!G18+'Old Colony Life'!G18+'Old Faithful'!G18+'Pacific Standard'!G18+'Red Rock'!G18+SeeChange!G18+'States General'!G18+Statesman!G18+'Summit National'!G18+Supreme!G18+Underwriters!G18+Unison!G18+'United Republic'!G18+Universe!G18+Villanova!G18</f>
        <v>3499207.9540145565</v>
      </c>
      <c r="I18" s="1">
        <f t="shared" si="1"/>
        <v>0</v>
      </c>
      <c r="K18" s="1" t="s">
        <v>415</v>
      </c>
      <c r="L18" s="1">
        <f>Summary!TOTAL_61654</f>
        <v>-180641.04872965094</v>
      </c>
    </row>
    <row r="19" spans="1:12">
      <c r="A19" s="1" t="s">
        <v>32</v>
      </c>
      <c r="B19" s="1">
        <f>+'Alabama Life'!B19+'American Chambers'!B19+'American Educators'!B19+'American Integrity'!B19+'Amer Life Asr'!B19+'American Medical'!B19+'Amer Std Life Acc'!B19+AmerWstrn!B19+'AMS Life'!B19+'Andrew Jackson'!B19+'Bankers Commercial'!B19+Benicorp!B19+Centennial!B19+'Coastal States'!B19+'Confed Life (CLIC)'!B19+'Consolidated National'!B19+'Consumers Mutual'!B19+'Consumers United'!B19+'Corporate Life'!B19+'Diamond Benefits'!B19+'EBL Life'!B19+'Family Guaranty'!B19+'Fidelity Bankers'!B19+'First Natl'!B19+'Franklin American'!B19+'Franklin Protective'!B19+'George Washington'!B19+'Golden State'!B19+'Guarantee Security'!B19+Imerica!B19+'Inter-American'!B19+'International Fin'!B19+'Investment Life of America'!B19+'Investors Equity'!B19+'Kentucky Central'!B19+Legion!B19+'London Pac'!B19+'Medical Savings'!B19+'Midwest Life'!B19+'Mutual Benefit'!B19+'Mutual Security'!B19+'National Affiliated'!B19+'Natl American'!B19+'National Heritage'!B19+'New Jersey Life'!B19+'Old Colony Life'!B19+'Old Faithful'!B19+'Pacific Standard'!B19+'Red Rock'!B19+SeeChange!B19+'States General'!B19+Statesman!B19+'Summit National'!B19+Supreme!B19+Underwriters!B19+Unison!B19+'United Republic'!B19+Universe!B19+Villanova!B19</f>
        <v>29662044.903005149</v>
      </c>
      <c r="C19" s="1">
        <f>+'Alabama Life'!C19+'American Chambers'!C19+'American Educators'!C19+'American Integrity'!C19+'Amer Life Asr'!C19+'American Medical'!C19+'Amer Std Life Acc'!C19+AmerWstrn!C19+'AMS Life'!C19+'Andrew Jackson'!C19+'Bankers Commercial'!C19+Benicorp!C19+Centennial!C19+'Coastal States'!C19+'Confed Life (CLIC)'!C19+'Consolidated National'!C19+'Consumers Mutual'!C19+'Consumers United'!C19+'Corporate Life'!C19+'Diamond Benefits'!C19+'EBL Life'!C19+'Family Guaranty'!C19+'Fidelity Bankers'!C19+'First Natl'!C19+'Franklin American'!C19+'Franklin Protective'!C19+'George Washington'!C19+'Golden State'!C19+'Guarantee Security'!C19+Imerica!C19+'Inter-American'!C19+'International Fin'!C19+'Investment Life of America'!C19+'Investors Equity'!C19+'Kentucky Central'!C19+Legion!C19+'London Pac'!C19+'Medical Savings'!C19+'Midwest Life'!C19+'Mutual Benefit'!C19+'Mutual Security'!C19+'National Affiliated'!C19+'Natl American'!C19+'National Heritage'!C19+'New Jersey Life'!C19+'Old Colony Life'!C19+'Old Faithful'!C19+'Pacific Standard'!C19+'Red Rock'!C19+SeeChange!C19+'States General'!C19+Statesman!C19+'Summit National'!C19+Supreme!C19+Underwriters!C19+Unison!C19+'United Republic'!C19+Universe!C19+Villanova!C19</f>
        <v>45780175.889853552</v>
      </c>
      <c r="D19" s="1">
        <f>+'Alabama Life'!D19+'American Chambers'!D19+'American Educators'!D19+'American Integrity'!D19+'Amer Life Asr'!D19+'American Medical'!D19+'Amer Std Life Acc'!D19+AmerWstrn!D19+'AMS Life'!D19+'Andrew Jackson'!D19+'Bankers Commercial'!D19+Benicorp!D19+Centennial!D19+'Coastal States'!D19+'Confed Life (CLIC)'!D19+'Consolidated National'!D19+'Consumers Mutual'!D19+'Consumers United'!D19+'Corporate Life'!D19+'Diamond Benefits'!D19+'EBL Life'!D19+'Family Guaranty'!D19+'Fidelity Bankers'!D19+'First Natl'!D19+'Franklin American'!D19+'Franklin Protective'!D19+'George Washington'!D19+'Golden State'!D19+'Guarantee Security'!D19+Imerica!D19+'Inter-American'!D19+'International Fin'!D19+'Investment Life of America'!D19+'Investors Equity'!D19+'Kentucky Central'!D19+Legion!D19+'London Pac'!D19+'Medical Savings'!D19+'Midwest Life'!D19+'Mutual Benefit'!D19+'Mutual Security'!D19+'National Affiliated'!D19+'Natl American'!D19+'National Heritage'!D19+'New Jersey Life'!D19+'Old Colony Life'!D19+'Old Faithful'!D19+'Pacific Standard'!D19+'Red Rock'!D19+SeeChange!D19+'States General'!D19+Statesman!D19+'Summit National'!D19+Supreme!D19+Underwriters!D19+Unison!D19+'United Republic'!D19+Universe!D19+Villanova!D19</f>
        <v>9373979.2392841391</v>
      </c>
      <c r="E19" s="1">
        <f>+'Alabama Life'!E19+'American Chambers'!E19+'American Educators'!E19+'American Integrity'!E19+'Amer Life Asr'!E19+'American Medical'!E19+'Amer Std Life Acc'!E19+AmerWstrn!E19+'AMS Life'!E19+'Andrew Jackson'!E19+'Bankers Commercial'!E19+Benicorp!E19+Centennial!E19+'Coastal States'!E19+'Confed Life (CLIC)'!E19+'Consolidated National'!E19+'Consumers Mutual'!E19+'Consumers United'!E19+'Corporate Life'!E19+'Diamond Benefits'!E19+'EBL Life'!E19+'Family Guaranty'!E19+'Fidelity Bankers'!E19+'First Natl'!E19+'Franklin American'!E19+'Franklin Protective'!E19+'George Washington'!E19+'Golden State'!E19+'Guarantee Security'!E19+Imerica!E19+'Inter-American'!E19+'International Fin'!E19+'Investment Life of America'!E19+'Investors Equity'!E19+'Kentucky Central'!E19+Legion!E19+'London Pac'!E19+'Medical Savings'!E19+'Midwest Life'!E19+'Mutual Benefit'!E19+'Mutual Security'!E19+'National Affiliated'!E19+'Natl American'!E19+'National Heritage'!E19+'New Jersey Life'!E19+'Old Colony Life'!E19+'Old Faithful'!E19+'Pacific Standard'!E19+'Red Rock'!E19+SeeChange!E19+'States General'!E19+Statesman!E19+'Summit National'!E19+Supreme!E19+Underwriters!E19+Unison!E19+'United Republic'!E19+Universe!E19+Villanova!E19</f>
        <v>2424583.9340050137</v>
      </c>
      <c r="F19" s="1">
        <f>+'Alabama Life'!F19+'American Chambers'!F19+'American Educators'!F19+'American Integrity'!F19+'Amer Life Asr'!F19+'American Medical'!F19+'Amer Std Life Acc'!F19+AmerWstrn!F19+'AMS Life'!F19+'Andrew Jackson'!F19+'Bankers Commercial'!F19+Benicorp!F19+Centennial!F19+'Coastal States'!F19+'Confed Life (CLIC)'!F19+'Consolidated National'!F19+'Consumers Mutual'!F19+'Consumers United'!F19+'Corporate Life'!F19+'Diamond Benefits'!F19+'EBL Life'!F19+'Family Guaranty'!F19+'Fidelity Bankers'!F19+'First Natl'!F19+'Franklin American'!F19+'Franklin Protective'!F19+'George Washington'!F19+'Golden State'!F19+'Guarantee Security'!F19+Imerica!F19+'Inter-American'!F19+'International Fin'!F19+'Investment Life of America'!F19+'Investors Equity'!F19+'Kentucky Central'!F19+Legion!F19+'London Pac'!F19+'Medical Savings'!F19+'Midwest Life'!F19+'Mutual Benefit'!F19+'Mutual Security'!F19+'National Affiliated'!F19+'Natl American'!F19+'National Heritage'!F19+'New Jersey Life'!F19+'Old Colony Life'!F19+'Old Faithful'!F19+'Pacific Standard'!F19+'Red Rock'!F19+SeeChange!F19+'States General'!F19+Statesman!F19+'Summit National'!F19+Supreme!F19+Underwriters!F19+Unison!F19+'United Republic'!F19+Universe!F19+Villanova!F19</f>
        <v>0</v>
      </c>
      <c r="G19" s="1">
        <f t="shared" si="0"/>
        <v>87240783.966147855</v>
      </c>
      <c r="H19" s="1">
        <f>+'Alabama Life'!G19+'American Chambers'!G19+'American Educators'!G19+'American Integrity'!G19+'Amer Life Asr'!G19+'American Medical'!G19+'Amer Std Life Acc'!G19+AmerWstrn!G19+'AMS Life'!G19+'Andrew Jackson'!G19+'Bankers Commercial'!G19+Benicorp!G19+Centennial!G19+'Coastal States'!G19+'Confed Life (CLIC)'!G19+'Consolidated National'!G19+'Consumers Mutual'!G19+'Consumers United'!G19+'Corporate Life'!G19+'Diamond Benefits'!G19+'EBL Life'!G19+'Family Guaranty'!G19+'Fidelity Bankers'!G19+'First Natl'!G19+'Franklin American'!G19+'Franklin Protective'!G19+'George Washington'!G19+'Golden State'!G19+'Guarantee Security'!G19+Imerica!G19+'Inter-American'!G19+'International Fin'!G19+'Investment Life of America'!G19+'Investors Equity'!G19+'Kentucky Central'!G19+Legion!G19+'London Pac'!G19+'Medical Savings'!G19+'Midwest Life'!G19+'Mutual Benefit'!G19+'Mutual Security'!G19+'National Affiliated'!G19+'Natl American'!G19+'National Heritage'!G19+'New Jersey Life'!G19+'Old Colony Life'!G19+'Old Faithful'!G19+'Pacific Standard'!G19+'Red Rock'!G19+SeeChange!G19+'States General'!G19+Statesman!G19+'Summit National'!G19+Supreme!G19+Underwriters!G19+Unison!G19+'United Republic'!G19+Universe!G19+Villanova!G19</f>
        <v>87240783.96614784</v>
      </c>
      <c r="I19" s="1">
        <f t="shared" si="1"/>
        <v>0</v>
      </c>
      <c r="K19" s="1" t="s">
        <v>422</v>
      </c>
      <c r="L19" s="1">
        <f>Summary!TOTAL_61980</f>
        <v>16325113.880000003</v>
      </c>
    </row>
    <row r="20" spans="1:12">
      <c r="A20" s="1" t="s">
        <v>34</v>
      </c>
      <c r="B20" s="1">
        <f>+'Alabama Life'!B20+'American Chambers'!B20+'American Educators'!B20+'American Integrity'!B20+'Amer Life Asr'!B20+'American Medical'!B20+'Amer Std Life Acc'!B20+AmerWstrn!B20+'AMS Life'!B20+'Andrew Jackson'!B20+'Bankers Commercial'!B20+Benicorp!B20+Centennial!B20+'Coastal States'!B20+'Confed Life (CLIC)'!B20+'Consolidated National'!B20+'Consumers Mutual'!B20+'Consumers United'!B20+'Corporate Life'!B20+'Diamond Benefits'!B20+'EBL Life'!B20+'Family Guaranty'!B20+'Fidelity Bankers'!B20+'First Natl'!B20+'Franklin American'!B20+'Franklin Protective'!B20+'George Washington'!B20+'Golden State'!B20+'Guarantee Security'!B20+Imerica!B20+'Inter-American'!B20+'International Fin'!B20+'Investment Life of America'!B20+'Investors Equity'!B20+'Kentucky Central'!B20+Legion!B20+'London Pac'!B20+'Medical Savings'!B20+'Midwest Life'!B20+'Mutual Benefit'!B20+'Mutual Security'!B20+'National Affiliated'!B20+'Natl American'!B20+'National Heritage'!B20+'New Jersey Life'!B20+'Old Colony Life'!B20+'Old Faithful'!B20+'Pacific Standard'!B20+'Red Rock'!B20+SeeChange!B20+'States General'!B20+Statesman!B20+'Summit National'!B20+Supreme!B20+Underwriters!B20+Unison!B20+'United Republic'!B20+Universe!B20+Villanova!B20</f>
        <v>7850489.4739374658</v>
      </c>
      <c r="C20" s="1">
        <f>+'Alabama Life'!C20+'American Chambers'!C20+'American Educators'!C20+'American Integrity'!C20+'Amer Life Asr'!C20+'American Medical'!C20+'Amer Std Life Acc'!C20+AmerWstrn!C20+'AMS Life'!C20+'Andrew Jackson'!C20+'Bankers Commercial'!C20+Benicorp!C20+Centennial!C20+'Coastal States'!C20+'Confed Life (CLIC)'!C20+'Consolidated National'!C20+'Consumers Mutual'!C20+'Consumers United'!C20+'Corporate Life'!C20+'Diamond Benefits'!C20+'EBL Life'!C20+'Family Guaranty'!C20+'Fidelity Bankers'!C20+'First Natl'!C20+'Franklin American'!C20+'Franklin Protective'!C20+'George Washington'!C20+'Golden State'!C20+'Guarantee Security'!C20+Imerica!C20+'Inter-American'!C20+'International Fin'!C20+'Investment Life of America'!C20+'Investors Equity'!C20+'Kentucky Central'!C20+Legion!C20+'London Pac'!C20+'Medical Savings'!C20+'Midwest Life'!C20+'Mutual Benefit'!C20+'Mutual Security'!C20+'National Affiliated'!C20+'Natl American'!C20+'National Heritage'!C20+'New Jersey Life'!C20+'Old Colony Life'!C20+'Old Faithful'!C20+'Pacific Standard'!C20+'Red Rock'!C20+SeeChange!C20+'States General'!C20+Statesman!C20+'Summit National'!C20+Supreme!C20+Underwriters!C20+Unison!C20+'United Republic'!C20+Universe!C20+Villanova!C20</f>
        <v>25875565.800729036</v>
      </c>
      <c r="D20" s="1">
        <f>+'Alabama Life'!D20+'American Chambers'!D20+'American Educators'!D20+'American Integrity'!D20+'Amer Life Asr'!D20+'American Medical'!D20+'Amer Std Life Acc'!D20+AmerWstrn!D20+'AMS Life'!D20+'Andrew Jackson'!D20+'Bankers Commercial'!D20+Benicorp!D20+Centennial!D20+'Coastal States'!D20+'Confed Life (CLIC)'!D20+'Consolidated National'!D20+'Consumers Mutual'!D20+'Consumers United'!D20+'Corporate Life'!D20+'Diamond Benefits'!D20+'EBL Life'!D20+'Family Guaranty'!D20+'Fidelity Bankers'!D20+'First Natl'!D20+'Franklin American'!D20+'Franklin Protective'!D20+'George Washington'!D20+'Golden State'!D20+'Guarantee Security'!D20+Imerica!D20+'Inter-American'!D20+'International Fin'!D20+'Investment Life of America'!D20+'Investors Equity'!D20+'Kentucky Central'!D20+Legion!D20+'London Pac'!D20+'Medical Savings'!D20+'Midwest Life'!D20+'Mutual Benefit'!D20+'Mutual Security'!D20+'National Affiliated'!D20+'Natl American'!D20+'National Heritage'!D20+'New Jersey Life'!D20+'Old Colony Life'!D20+'Old Faithful'!D20+'Pacific Standard'!D20+'Red Rock'!D20+SeeChange!D20+'States General'!D20+Statesman!D20+'Summit National'!D20+Supreme!D20+Underwriters!D20+Unison!D20+'United Republic'!D20+Universe!D20+Villanova!D20</f>
        <v>14296589.078557469</v>
      </c>
      <c r="E20" s="1">
        <f>+'Alabama Life'!E20+'American Chambers'!E20+'American Educators'!E20+'American Integrity'!E20+'Amer Life Asr'!E20+'American Medical'!E20+'Amer Std Life Acc'!E20+AmerWstrn!E20+'AMS Life'!E20+'Andrew Jackson'!E20+'Bankers Commercial'!E20+Benicorp!E20+Centennial!E20+'Coastal States'!E20+'Confed Life (CLIC)'!E20+'Consolidated National'!E20+'Consumers Mutual'!E20+'Consumers United'!E20+'Corporate Life'!E20+'Diamond Benefits'!E20+'EBL Life'!E20+'Family Guaranty'!E20+'Fidelity Bankers'!E20+'First Natl'!E20+'Franklin American'!E20+'Franklin Protective'!E20+'George Washington'!E20+'Golden State'!E20+'Guarantee Security'!E20+Imerica!E20+'Inter-American'!E20+'International Fin'!E20+'Investment Life of America'!E20+'Investors Equity'!E20+'Kentucky Central'!E20+Legion!E20+'London Pac'!E20+'Medical Savings'!E20+'Midwest Life'!E20+'Mutual Benefit'!E20+'Mutual Security'!E20+'National Affiliated'!E20+'Natl American'!E20+'National Heritage'!E20+'New Jersey Life'!E20+'Old Colony Life'!E20+'Old Faithful'!E20+'Pacific Standard'!E20+'Red Rock'!E20+SeeChange!E20+'States General'!E20+Statesman!E20+'Summit National'!E20+Supreme!E20+Underwriters!E20+Unison!E20+'United Republic'!E20+Universe!E20+Villanova!E20</f>
        <v>4689250.9015063858</v>
      </c>
      <c r="F20" s="1">
        <f>+'Alabama Life'!F20+'American Chambers'!F20+'American Educators'!F20+'American Integrity'!F20+'Amer Life Asr'!F20+'American Medical'!F20+'Amer Std Life Acc'!F20+AmerWstrn!F20+'AMS Life'!F20+'Andrew Jackson'!F20+'Bankers Commercial'!F20+Benicorp!F20+Centennial!F20+'Coastal States'!F20+'Confed Life (CLIC)'!F20+'Consolidated National'!F20+'Consumers Mutual'!F20+'Consumers United'!F20+'Corporate Life'!F20+'Diamond Benefits'!F20+'EBL Life'!F20+'Family Guaranty'!F20+'Fidelity Bankers'!F20+'First Natl'!F20+'Franklin American'!F20+'Franklin Protective'!F20+'George Washington'!F20+'Golden State'!F20+'Guarantee Security'!F20+Imerica!F20+'Inter-American'!F20+'International Fin'!F20+'Investment Life of America'!F20+'Investors Equity'!F20+'Kentucky Central'!F20+Legion!F20+'London Pac'!F20+'Medical Savings'!F20+'Midwest Life'!F20+'Mutual Benefit'!F20+'Mutual Security'!F20+'National Affiliated'!F20+'Natl American'!F20+'National Heritage'!F20+'New Jersey Life'!F20+'Old Colony Life'!F20+'Old Faithful'!F20+'Pacific Standard'!F20+'Red Rock'!F20+SeeChange!F20+'States General'!F20+Statesman!F20+'Summit National'!F20+Supreme!F20+Underwriters!F20+Unison!F20+'United Republic'!F20+Universe!F20+Villanova!F20</f>
        <v>0</v>
      </c>
      <c r="G20" s="1">
        <f t="shared" si="0"/>
        <v>52711895.254730359</v>
      </c>
      <c r="H20" s="1">
        <f>+'Alabama Life'!G20+'American Chambers'!G20+'American Educators'!G20+'American Integrity'!G20+'Amer Life Asr'!G20+'American Medical'!G20+'Amer Std Life Acc'!G20+AmerWstrn!G20+'AMS Life'!G20+'Andrew Jackson'!G20+'Bankers Commercial'!G20+Benicorp!G20+Centennial!G20+'Coastal States'!G20+'Confed Life (CLIC)'!G20+'Consolidated National'!G20+'Consumers Mutual'!G20+'Consumers United'!G20+'Corporate Life'!G20+'Diamond Benefits'!G20+'EBL Life'!G20+'Family Guaranty'!G20+'Fidelity Bankers'!G20+'First Natl'!G20+'Franklin American'!G20+'Franklin Protective'!G20+'George Washington'!G20+'Golden State'!G20+'Guarantee Security'!G20+Imerica!G20+'Inter-American'!G20+'International Fin'!G20+'Investment Life of America'!G20+'Investors Equity'!G20+'Kentucky Central'!G20+Legion!G20+'London Pac'!G20+'Medical Savings'!G20+'Midwest Life'!G20+'Mutual Benefit'!G20+'Mutual Security'!G20+'National Affiliated'!G20+'Natl American'!G20+'National Heritage'!G20+'New Jersey Life'!G20+'Old Colony Life'!G20+'Old Faithful'!G20+'Pacific Standard'!G20+'Red Rock'!G20+SeeChange!G20+'States General'!G20+Statesman!G20+'Summit National'!G20+Supreme!G20+Underwriters!G20+Unison!G20+'United Republic'!G20+Universe!G20+Villanova!G20</f>
        <v>52711895.254730344</v>
      </c>
      <c r="I20" s="1">
        <f t="shared" si="1"/>
        <v>0</v>
      </c>
      <c r="K20" s="1" t="s">
        <v>429</v>
      </c>
      <c r="L20" s="1">
        <f>Summary!TOTAL_80667</f>
        <v>-16627.076041025026</v>
      </c>
    </row>
    <row r="21" spans="1:12">
      <c r="A21" s="1" t="s">
        <v>36</v>
      </c>
      <c r="B21" s="1">
        <f>+'Alabama Life'!B21+'American Chambers'!B21+'American Educators'!B21+'American Integrity'!B21+'Amer Life Asr'!B21+'American Medical'!B21+'Amer Std Life Acc'!B21+AmerWstrn!B21+'AMS Life'!B21+'Andrew Jackson'!B21+'Bankers Commercial'!B21+Benicorp!B21+Centennial!B21+'Coastal States'!B21+'Confed Life (CLIC)'!B21+'Consolidated National'!B21+'Consumers Mutual'!B21+'Consumers United'!B21+'Corporate Life'!B21+'Diamond Benefits'!B21+'EBL Life'!B21+'Family Guaranty'!B21+'Fidelity Bankers'!B21+'First Natl'!B21+'Franklin American'!B21+'Franklin Protective'!B21+'George Washington'!B21+'Golden State'!B21+'Guarantee Security'!B21+Imerica!B21+'Inter-American'!B21+'International Fin'!B21+'Investment Life of America'!B21+'Investors Equity'!B21+'Kentucky Central'!B21+Legion!B21+'London Pac'!B21+'Medical Savings'!B21+'Midwest Life'!B21+'Mutual Benefit'!B21+'Mutual Security'!B21+'National Affiliated'!B21+'Natl American'!B21+'National Heritage'!B21+'New Jersey Life'!B21+'Old Colony Life'!B21+'Old Faithful'!B21+'Pacific Standard'!B21+'Red Rock'!B21+SeeChange!B21+'States General'!B21+Statesman!B21+'Summit National'!B21+Supreme!B21+Underwriters!B21+Unison!B21+'United Republic'!B21+Universe!B21+Villanova!B21</f>
        <v>5575624.9524300015</v>
      </c>
      <c r="C21" s="1">
        <f>+'Alabama Life'!C21+'American Chambers'!C21+'American Educators'!C21+'American Integrity'!C21+'Amer Life Asr'!C21+'American Medical'!C21+'Amer Std Life Acc'!C21+AmerWstrn!C21+'AMS Life'!C21+'Andrew Jackson'!C21+'Bankers Commercial'!C21+Benicorp!C21+Centennial!C21+'Coastal States'!C21+'Confed Life (CLIC)'!C21+'Consolidated National'!C21+'Consumers Mutual'!C21+'Consumers United'!C21+'Corporate Life'!C21+'Diamond Benefits'!C21+'EBL Life'!C21+'Family Guaranty'!C21+'Fidelity Bankers'!C21+'First Natl'!C21+'Franklin American'!C21+'Franklin Protective'!C21+'George Washington'!C21+'Golden State'!C21+'Guarantee Security'!C21+Imerica!C21+'Inter-American'!C21+'International Fin'!C21+'Investment Life of America'!C21+'Investors Equity'!C21+'Kentucky Central'!C21+Legion!C21+'London Pac'!C21+'Medical Savings'!C21+'Midwest Life'!C21+'Mutual Benefit'!C21+'Mutual Security'!C21+'National Affiliated'!C21+'Natl American'!C21+'National Heritage'!C21+'New Jersey Life'!C21+'Old Colony Life'!C21+'Old Faithful'!C21+'Pacific Standard'!C21+'Red Rock'!C21+SeeChange!C21+'States General'!C21+Statesman!C21+'Summit National'!C21+Supreme!C21+Underwriters!C21+Unison!C21+'United Republic'!C21+Universe!C21+Villanova!C21</f>
        <v>12309796.697983466</v>
      </c>
      <c r="D21" s="1">
        <f>+'Alabama Life'!D21+'American Chambers'!D21+'American Educators'!D21+'American Integrity'!D21+'Amer Life Asr'!D21+'American Medical'!D21+'Amer Std Life Acc'!D21+AmerWstrn!D21+'AMS Life'!D21+'Andrew Jackson'!D21+'Bankers Commercial'!D21+Benicorp!D21+Centennial!D21+'Coastal States'!D21+'Confed Life (CLIC)'!D21+'Consolidated National'!D21+'Consumers Mutual'!D21+'Consumers United'!D21+'Corporate Life'!D21+'Diamond Benefits'!D21+'EBL Life'!D21+'Family Guaranty'!D21+'Fidelity Bankers'!D21+'First Natl'!D21+'Franklin American'!D21+'Franklin Protective'!D21+'George Washington'!D21+'Golden State'!D21+'Guarantee Security'!D21+Imerica!D21+'Inter-American'!D21+'International Fin'!D21+'Investment Life of America'!D21+'Investors Equity'!D21+'Kentucky Central'!D21+Legion!D21+'London Pac'!D21+'Medical Savings'!D21+'Midwest Life'!D21+'Mutual Benefit'!D21+'Mutual Security'!D21+'National Affiliated'!D21+'Natl American'!D21+'National Heritage'!D21+'New Jersey Life'!D21+'Old Colony Life'!D21+'Old Faithful'!D21+'Pacific Standard'!D21+'Red Rock'!D21+SeeChange!D21+'States General'!D21+Statesman!D21+'Summit National'!D21+Supreme!D21+Underwriters!D21+Unison!D21+'United Republic'!D21+Universe!D21+Villanova!D21</f>
        <v>1207639.5239004979</v>
      </c>
      <c r="E21" s="1">
        <f>+'Alabama Life'!E21+'American Chambers'!E21+'American Educators'!E21+'American Integrity'!E21+'Amer Life Asr'!E21+'American Medical'!E21+'Amer Std Life Acc'!E21+AmerWstrn!E21+'AMS Life'!E21+'Andrew Jackson'!E21+'Bankers Commercial'!E21+Benicorp!E21+Centennial!E21+'Coastal States'!E21+'Confed Life (CLIC)'!E21+'Consolidated National'!E21+'Consumers Mutual'!E21+'Consumers United'!E21+'Corporate Life'!E21+'Diamond Benefits'!E21+'EBL Life'!E21+'Family Guaranty'!E21+'Fidelity Bankers'!E21+'First Natl'!E21+'Franklin American'!E21+'Franklin Protective'!E21+'George Washington'!E21+'Golden State'!E21+'Guarantee Security'!E21+Imerica!E21+'Inter-American'!E21+'International Fin'!E21+'Investment Life of America'!E21+'Investors Equity'!E21+'Kentucky Central'!E21+Legion!E21+'London Pac'!E21+'Medical Savings'!E21+'Midwest Life'!E21+'Mutual Benefit'!E21+'Mutual Security'!E21+'National Affiliated'!E21+'Natl American'!E21+'National Heritage'!E21+'New Jersey Life'!E21+'Old Colony Life'!E21+'Old Faithful'!E21+'Pacific Standard'!E21+'Red Rock'!E21+SeeChange!E21+'States General'!E21+Statesman!E21+'Summit National'!E21+Supreme!E21+Underwriters!E21+Unison!E21+'United Republic'!E21+Universe!E21+Villanova!E21</f>
        <v>-25.171420703991316</v>
      </c>
      <c r="F21" s="1">
        <f>+'Alabama Life'!F21+'American Chambers'!F21+'American Educators'!F21+'American Integrity'!F21+'Amer Life Asr'!F21+'American Medical'!F21+'Amer Std Life Acc'!F21+AmerWstrn!F21+'AMS Life'!F21+'Andrew Jackson'!F21+'Bankers Commercial'!F21+Benicorp!F21+Centennial!F21+'Coastal States'!F21+'Confed Life (CLIC)'!F21+'Consolidated National'!F21+'Consumers Mutual'!F21+'Consumers United'!F21+'Corporate Life'!F21+'Diamond Benefits'!F21+'EBL Life'!F21+'Family Guaranty'!F21+'Fidelity Bankers'!F21+'First Natl'!F21+'Franklin American'!F21+'Franklin Protective'!F21+'George Washington'!F21+'Golden State'!F21+'Guarantee Security'!F21+Imerica!F21+'Inter-American'!F21+'International Fin'!F21+'Investment Life of America'!F21+'Investors Equity'!F21+'Kentucky Central'!F21+Legion!F21+'London Pac'!F21+'Medical Savings'!F21+'Midwest Life'!F21+'Mutual Benefit'!F21+'Mutual Security'!F21+'National Affiliated'!F21+'Natl American'!F21+'National Heritage'!F21+'New Jersey Life'!F21+'Old Colony Life'!F21+'Old Faithful'!F21+'Pacific Standard'!F21+'Red Rock'!F21+SeeChange!F21+'States General'!F21+Statesman!F21+'Summit National'!F21+Supreme!F21+Underwriters!F21+Unison!F21+'United Republic'!F21+Universe!F21+Villanova!F21</f>
        <v>0</v>
      </c>
      <c r="G21" s="1">
        <f t="shared" si="0"/>
        <v>19093036.002893262</v>
      </c>
      <c r="H21" s="1">
        <f>+'Alabama Life'!G21+'American Chambers'!G21+'American Educators'!G21+'American Integrity'!G21+'Amer Life Asr'!G21+'American Medical'!G21+'Amer Std Life Acc'!G21+AmerWstrn!G21+'AMS Life'!G21+'Andrew Jackson'!G21+'Bankers Commercial'!G21+Benicorp!G21+Centennial!G21+'Coastal States'!G21+'Confed Life (CLIC)'!G21+'Consolidated National'!G21+'Consumers Mutual'!G21+'Consumers United'!G21+'Corporate Life'!G21+'Diamond Benefits'!G21+'EBL Life'!G21+'Family Guaranty'!G21+'Fidelity Bankers'!G21+'First Natl'!G21+'Franklin American'!G21+'Franklin Protective'!G21+'George Washington'!G21+'Golden State'!G21+'Guarantee Security'!G21+Imerica!G21+'Inter-American'!G21+'International Fin'!G21+'Investment Life of America'!G21+'Investors Equity'!G21+'Kentucky Central'!G21+Legion!G21+'London Pac'!G21+'Medical Savings'!G21+'Midwest Life'!G21+'Mutual Benefit'!G21+'Mutual Security'!G21+'National Affiliated'!G21+'Natl American'!G21+'National Heritage'!G21+'New Jersey Life'!G21+'Old Colony Life'!G21+'Old Faithful'!G21+'Pacific Standard'!G21+'Red Rock'!G21+SeeChange!G21+'States General'!G21+Statesman!G21+'Summit National'!G21+Supreme!G21+Underwriters!G21+Unison!G21+'United Republic'!G21+Universe!G21+Villanova!G21</f>
        <v>19093036.002893262</v>
      </c>
      <c r="I21" s="1">
        <f t="shared" si="1"/>
        <v>0</v>
      </c>
      <c r="K21" s="1" t="s">
        <v>435</v>
      </c>
      <c r="L21" s="1">
        <f>Summary!TOTAL_71382</f>
        <v>8883218.3851282038</v>
      </c>
    </row>
    <row r="22" spans="1:12">
      <c r="A22" s="1" t="s">
        <v>38</v>
      </c>
      <c r="B22" s="1">
        <f>+'Alabama Life'!B22+'American Chambers'!B22+'American Educators'!B22+'American Integrity'!B22+'Amer Life Asr'!B22+'American Medical'!B22+'Amer Std Life Acc'!B22+AmerWstrn!B22+'AMS Life'!B22+'Andrew Jackson'!B22+'Bankers Commercial'!B22+Benicorp!B22+Centennial!B22+'Coastal States'!B22+'Confed Life (CLIC)'!B22+'Consolidated National'!B22+'Consumers Mutual'!B22+'Consumers United'!B22+'Corporate Life'!B22+'Diamond Benefits'!B22+'EBL Life'!B22+'Family Guaranty'!B22+'Fidelity Bankers'!B22+'First Natl'!B22+'Franklin American'!B22+'Franklin Protective'!B22+'George Washington'!B22+'Golden State'!B22+'Guarantee Security'!B22+Imerica!B22+'Inter-American'!B22+'International Fin'!B22+'Investment Life of America'!B22+'Investors Equity'!B22+'Kentucky Central'!B22+Legion!B22+'London Pac'!B22+'Medical Savings'!B22+'Midwest Life'!B22+'Mutual Benefit'!B22+'Mutual Security'!B22+'National Affiliated'!B22+'Natl American'!B22+'National Heritage'!B22+'New Jersey Life'!B22+'Old Colony Life'!B22+'Old Faithful'!B22+'Pacific Standard'!B22+'Red Rock'!B22+SeeChange!B22+'States General'!B22+Statesman!B22+'Summit National'!B22+Supreme!B22+Underwriters!B22+Unison!B22+'United Republic'!B22+Universe!B22+Villanova!B22</f>
        <v>1253958.4560750078</v>
      </c>
      <c r="C22" s="1">
        <f>+'Alabama Life'!C22+'American Chambers'!C22+'American Educators'!C22+'American Integrity'!C22+'Amer Life Asr'!C22+'American Medical'!C22+'Amer Std Life Acc'!C22+AmerWstrn!C22+'AMS Life'!C22+'Andrew Jackson'!C22+'Bankers Commercial'!C22+Benicorp!C22+Centennial!C22+'Coastal States'!C22+'Confed Life (CLIC)'!C22+'Consolidated National'!C22+'Consumers Mutual'!C22+'Consumers United'!C22+'Corporate Life'!C22+'Diamond Benefits'!C22+'EBL Life'!C22+'Family Guaranty'!C22+'Fidelity Bankers'!C22+'First Natl'!C22+'Franklin American'!C22+'Franklin Protective'!C22+'George Washington'!C22+'Golden State'!C22+'Guarantee Security'!C22+Imerica!C22+'Inter-American'!C22+'International Fin'!C22+'Investment Life of America'!C22+'Investors Equity'!C22+'Kentucky Central'!C22+Legion!C22+'London Pac'!C22+'Medical Savings'!C22+'Midwest Life'!C22+'Mutual Benefit'!C22+'Mutual Security'!C22+'National Affiliated'!C22+'Natl American'!C22+'National Heritage'!C22+'New Jersey Life'!C22+'Old Colony Life'!C22+'Old Faithful'!C22+'Pacific Standard'!C22+'Red Rock'!C22+SeeChange!C22+'States General'!C22+Statesman!C22+'Summit National'!C22+Supreme!C22+Underwriters!C22+Unison!C22+'United Republic'!C22+Universe!C22+Villanova!C22</f>
        <v>6114609.9592969883</v>
      </c>
      <c r="D22" s="1">
        <f>+'Alabama Life'!D22+'American Chambers'!D22+'American Educators'!D22+'American Integrity'!D22+'Amer Life Asr'!D22+'American Medical'!D22+'Amer Std Life Acc'!D22+AmerWstrn!D22+'AMS Life'!D22+'Andrew Jackson'!D22+'Bankers Commercial'!D22+Benicorp!D22+Centennial!D22+'Coastal States'!D22+'Confed Life (CLIC)'!D22+'Consolidated National'!D22+'Consumers Mutual'!D22+'Consumers United'!D22+'Corporate Life'!D22+'Diamond Benefits'!D22+'EBL Life'!D22+'Family Guaranty'!D22+'Fidelity Bankers'!D22+'First Natl'!D22+'Franklin American'!D22+'Franklin Protective'!D22+'George Washington'!D22+'Golden State'!D22+'Guarantee Security'!D22+Imerica!D22+'Inter-American'!D22+'International Fin'!D22+'Investment Life of America'!D22+'Investors Equity'!D22+'Kentucky Central'!D22+Legion!D22+'London Pac'!D22+'Medical Savings'!D22+'Midwest Life'!D22+'Mutual Benefit'!D22+'Mutual Security'!D22+'National Affiliated'!D22+'Natl American'!D22+'National Heritage'!D22+'New Jersey Life'!D22+'Old Colony Life'!D22+'Old Faithful'!D22+'Pacific Standard'!D22+'Red Rock'!D22+SeeChange!D22+'States General'!D22+Statesman!D22+'Summit National'!D22+Supreme!D22+Underwriters!D22+Unison!D22+'United Republic'!D22+Universe!D22+Villanova!D22</f>
        <v>1514954.8455565593</v>
      </c>
      <c r="E22" s="1">
        <f>+'Alabama Life'!E22+'American Chambers'!E22+'American Educators'!E22+'American Integrity'!E22+'Amer Life Asr'!E22+'American Medical'!E22+'Amer Std Life Acc'!E22+AmerWstrn!E22+'AMS Life'!E22+'Andrew Jackson'!E22+'Bankers Commercial'!E22+Benicorp!E22+Centennial!E22+'Coastal States'!E22+'Confed Life (CLIC)'!E22+'Consolidated National'!E22+'Consumers Mutual'!E22+'Consumers United'!E22+'Corporate Life'!E22+'Diamond Benefits'!E22+'EBL Life'!E22+'Family Guaranty'!E22+'Fidelity Bankers'!E22+'First Natl'!E22+'Franklin American'!E22+'Franklin Protective'!E22+'George Washington'!E22+'Golden State'!E22+'Guarantee Security'!E22+Imerica!E22+'Inter-American'!E22+'International Fin'!E22+'Investment Life of America'!E22+'Investors Equity'!E22+'Kentucky Central'!E22+Legion!E22+'London Pac'!E22+'Medical Savings'!E22+'Midwest Life'!E22+'Mutual Benefit'!E22+'Mutual Security'!E22+'National Affiliated'!E22+'Natl American'!E22+'National Heritage'!E22+'New Jersey Life'!E22+'Old Colony Life'!E22+'Old Faithful'!E22+'Pacific Standard'!E22+'Red Rock'!E22+SeeChange!E22+'States General'!E22+Statesman!E22+'Summit National'!E22+Supreme!E22+Underwriters!E22+Unison!E22+'United Republic'!E22+Universe!E22+Villanova!E22</f>
        <v>0</v>
      </c>
      <c r="F22" s="1">
        <f>+'Alabama Life'!F22+'American Chambers'!F22+'American Educators'!F22+'American Integrity'!F22+'Amer Life Asr'!F22+'American Medical'!F22+'Amer Std Life Acc'!F22+AmerWstrn!F22+'AMS Life'!F22+'Andrew Jackson'!F22+'Bankers Commercial'!F22+Benicorp!F22+Centennial!F22+'Coastal States'!F22+'Confed Life (CLIC)'!F22+'Consolidated National'!F22+'Consumers Mutual'!F22+'Consumers United'!F22+'Corporate Life'!F22+'Diamond Benefits'!F22+'EBL Life'!F22+'Family Guaranty'!F22+'Fidelity Bankers'!F22+'First Natl'!F22+'Franklin American'!F22+'Franklin Protective'!F22+'George Washington'!F22+'Golden State'!F22+'Guarantee Security'!F22+Imerica!F22+'Inter-American'!F22+'International Fin'!F22+'Investment Life of America'!F22+'Investors Equity'!F22+'Kentucky Central'!F22+Legion!F22+'London Pac'!F22+'Medical Savings'!F22+'Midwest Life'!F22+'Mutual Benefit'!F22+'Mutual Security'!F22+'National Affiliated'!F22+'Natl American'!F22+'National Heritage'!F22+'New Jersey Life'!F22+'Old Colony Life'!F22+'Old Faithful'!F22+'Pacific Standard'!F22+'Red Rock'!F22+SeeChange!F22+'States General'!F22+Statesman!F22+'Summit National'!F22+Supreme!F22+Underwriters!F22+Unison!F22+'United Republic'!F22+Universe!F22+Villanova!F22</f>
        <v>0</v>
      </c>
      <c r="G22" s="1">
        <f t="shared" si="0"/>
        <v>8883523.2609285563</v>
      </c>
      <c r="H22" s="1">
        <f>+'Alabama Life'!G22+'American Chambers'!G22+'American Educators'!G22+'American Integrity'!G22+'Amer Life Asr'!G22+'American Medical'!G22+'Amer Std Life Acc'!G22+AmerWstrn!G22+'AMS Life'!G22+'Andrew Jackson'!G22+'Bankers Commercial'!G22+Benicorp!G22+Centennial!G22+'Coastal States'!G22+'Confed Life (CLIC)'!G22+'Consolidated National'!G22+'Consumers Mutual'!G22+'Consumers United'!G22+'Corporate Life'!G22+'Diamond Benefits'!G22+'EBL Life'!G22+'Family Guaranty'!G22+'Fidelity Bankers'!G22+'First Natl'!G22+'Franklin American'!G22+'Franklin Protective'!G22+'George Washington'!G22+'Golden State'!G22+'Guarantee Security'!G22+Imerica!G22+'Inter-American'!G22+'International Fin'!G22+'Investment Life of America'!G22+'Investors Equity'!G22+'Kentucky Central'!G22+Legion!G22+'London Pac'!G22+'Medical Savings'!G22+'Midwest Life'!G22+'Mutual Benefit'!G22+'Mutual Security'!G22+'National Affiliated'!G22+'Natl American'!G22+'National Heritage'!G22+'New Jersey Life'!G22+'Old Colony Life'!G22+'Old Faithful'!G22+'Pacific Standard'!G22+'Red Rock'!G22+SeeChange!G22+'States General'!G22+Statesman!G22+'Summit National'!G22+Supreme!G22+Underwriters!G22+Unison!G22+'United Republic'!G22+Universe!G22+Villanova!G22</f>
        <v>8883523.2609285563</v>
      </c>
      <c r="I22" s="1">
        <f t="shared" si="1"/>
        <v>0</v>
      </c>
      <c r="K22" s="1" t="s">
        <v>106</v>
      </c>
      <c r="L22" s="1">
        <f>Summary!TOTAL_15128</f>
        <v>5569399</v>
      </c>
    </row>
    <row r="23" spans="1:12">
      <c r="A23" s="1" t="s">
        <v>40</v>
      </c>
      <c r="B23" s="1">
        <f>+'Alabama Life'!B23+'American Chambers'!B23+'American Educators'!B23+'American Integrity'!B23+'Amer Life Asr'!B23+'American Medical'!B23+'Amer Std Life Acc'!B23+AmerWstrn!B23+'AMS Life'!B23+'Andrew Jackson'!B23+'Bankers Commercial'!B23+Benicorp!B23+Centennial!B23+'Coastal States'!B23+'Confed Life (CLIC)'!B23+'Consolidated National'!B23+'Consumers Mutual'!B23+'Consumers United'!B23+'Corporate Life'!B23+'Diamond Benefits'!B23+'EBL Life'!B23+'Family Guaranty'!B23+'Fidelity Bankers'!B23+'First Natl'!B23+'Franklin American'!B23+'Franklin Protective'!B23+'George Washington'!B23+'Golden State'!B23+'Guarantee Security'!B23+Imerica!B23+'Inter-American'!B23+'International Fin'!B23+'Investment Life of America'!B23+'Investors Equity'!B23+'Kentucky Central'!B23+Legion!B23+'London Pac'!B23+'Medical Savings'!B23+'Midwest Life'!B23+'Mutual Benefit'!B23+'Mutual Security'!B23+'National Affiliated'!B23+'Natl American'!B23+'National Heritage'!B23+'New Jersey Life'!B23+'Old Colony Life'!B23+'Old Faithful'!B23+'Pacific Standard'!B23+'Red Rock'!B23+SeeChange!B23+'States General'!B23+Statesman!B23+'Summit National'!B23+Supreme!B23+Underwriters!B23+Unison!B23+'United Republic'!B23+Universe!B23+Villanova!B23</f>
        <v>1468014.9130502001</v>
      </c>
      <c r="C23" s="1">
        <f>+'Alabama Life'!C23+'American Chambers'!C23+'American Educators'!C23+'American Integrity'!C23+'Amer Life Asr'!C23+'American Medical'!C23+'Amer Std Life Acc'!C23+AmerWstrn!C23+'AMS Life'!C23+'Andrew Jackson'!C23+'Bankers Commercial'!C23+Benicorp!C23+Centennial!C23+'Coastal States'!C23+'Confed Life (CLIC)'!C23+'Consolidated National'!C23+'Consumers Mutual'!C23+'Consumers United'!C23+'Corporate Life'!C23+'Diamond Benefits'!C23+'EBL Life'!C23+'Family Guaranty'!C23+'Fidelity Bankers'!C23+'First Natl'!C23+'Franklin American'!C23+'Franklin Protective'!C23+'George Washington'!C23+'Golden State'!C23+'Guarantee Security'!C23+Imerica!C23+'Inter-American'!C23+'International Fin'!C23+'Investment Life of America'!C23+'Investors Equity'!C23+'Kentucky Central'!C23+Legion!C23+'London Pac'!C23+'Medical Savings'!C23+'Midwest Life'!C23+'Mutual Benefit'!C23+'Mutual Security'!C23+'National Affiliated'!C23+'Natl American'!C23+'National Heritage'!C23+'New Jersey Life'!C23+'Old Colony Life'!C23+'Old Faithful'!C23+'Pacific Standard'!C23+'Red Rock'!C23+SeeChange!C23+'States General'!C23+Statesman!C23+'Summit National'!C23+Supreme!C23+Underwriters!C23+Unison!C23+'United Republic'!C23+Universe!C23+Villanova!C23</f>
        <v>1901675.0285362089</v>
      </c>
      <c r="D23" s="1">
        <f>+'Alabama Life'!D23+'American Chambers'!D23+'American Educators'!D23+'American Integrity'!D23+'Amer Life Asr'!D23+'American Medical'!D23+'Amer Std Life Acc'!D23+AmerWstrn!D23+'AMS Life'!D23+'Andrew Jackson'!D23+'Bankers Commercial'!D23+Benicorp!D23+Centennial!D23+'Coastal States'!D23+'Confed Life (CLIC)'!D23+'Consolidated National'!D23+'Consumers Mutual'!D23+'Consumers United'!D23+'Corporate Life'!D23+'Diamond Benefits'!D23+'EBL Life'!D23+'Family Guaranty'!D23+'Fidelity Bankers'!D23+'First Natl'!D23+'Franklin American'!D23+'Franklin Protective'!D23+'George Washington'!D23+'Golden State'!D23+'Guarantee Security'!D23+Imerica!D23+'Inter-American'!D23+'International Fin'!D23+'Investment Life of America'!D23+'Investors Equity'!D23+'Kentucky Central'!D23+Legion!D23+'London Pac'!D23+'Medical Savings'!D23+'Midwest Life'!D23+'Mutual Benefit'!D23+'Mutual Security'!D23+'National Affiliated'!D23+'Natl American'!D23+'National Heritage'!D23+'New Jersey Life'!D23+'Old Colony Life'!D23+'Old Faithful'!D23+'Pacific Standard'!D23+'Red Rock'!D23+SeeChange!D23+'States General'!D23+Statesman!D23+'Summit National'!D23+Supreme!D23+Underwriters!D23+Unison!D23+'United Republic'!D23+Universe!D23+Villanova!D23</f>
        <v>1281963.6690589897</v>
      </c>
      <c r="E23" s="1">
        <f>+'Alabama Life'!E23+'American Chambers'!E23+'American Educators'!E23+'American Integrity'!E23+'Amer Life Asr'!E23+'American Medical'!E23+'Amer Std Life Acc'!E23+AmerWstrn!E23+'AMS Life'!E23+'Andrew Jackson'!E23+'Bankers Commercial'!E23+Benicorp!E23+Centennial!E23+'Coastal States'!E23+'Confed Life (CLIC)'!E23+'Consolidated National'!E23+'Consumers Mutual'!E23+'Consumers United'!E23+'Corporate Life'!E23+'Diamond Benefits'!E23+'EBL Life'!E23+'Family Guaranty'!E23+'Fidelity Bankers'!E23+'First Natl'!E23+'Franklin American'!E23+'Franklin Protective'!E23+'George Washington'!E23+'Golden State'!E23+'Guarantee Security'!E23+Imerica!E23+'Inter-American'!E23+'International Fin'!E23+'Investment Life of America'!E23+'Investors Equity'!E23+'Kentucky Central'!E23+Legion!E23+'London Pac'!E23+'Medical Savings'!E23+'Midwest Life'!E23+'Mutual Benefit'!E23+'Mutual Security'!E23+'National Affiliated'!E23+'Natl American'!E23+'National Heritage'!E23+'New Jersey Life'!E23+'Old Colony Life'!E23+'Old Faithful'!E23+'Pacific Standard'!E23+'Red Rock'!E23+SeeChange!E23+'States General'!E23+Statesman!E23+'Summit National'!E23+Supreme!E23+Underwriters!E23+Unison!E23+'United Republic'!E23+Universe!E23+Villanova!E23</f>
        <v>0</v>
      </c>
      <c r="F23" s="1">
        <f>+'Alabama Life'!F23+'American Chambers'!F23+'American Educators'!F23+'American Integrity'!F23+'Amer Life Asr'!F23+'American Medical'!F23+'Amer Std Life Acc'!F23+AmerWstrn!F23+'AMS Life'!F23+'Andrew Jackson'!F23+'Bankers Commercial'!F23+Benicorp!F23+Centennial!F23+'Coastal States'!F23+'Confed Life (CLIC)'!F23+'Consolidated National'!F23+'Consumers Mutual'!F23+'Consumers United'!F23+'Corporate Life'!F23+'Diamond Benefits'!F23+'EBL Life'!F23+'Family Guaranty'!F23+'Fidelity Bankers'!F23+'First Natl'!F23+'Franklin American'!F23+'Franklin Protective'!F23+'George Washington'!F23+'Golden State'!F23+'Guarantee Security'!F23+Imerica!F23+'Inter-American'!F23+'International Fin'!F23+'Investment Life of America'!F23+'Investors Equity'!F23+'Kentucky Central'!F23+Legion!F23+'London Pac'!F23+'Medical Savings'!F23+'Midwest Life'!F23+'Mutual Benefit'!F23+'Mutual Security'!F23+'National Affiliated'!F23+'Natl American'!F23+'National Heritage'!F23+'New Jersey Life'!F23+'Old Colony Life'!F23+'Old Faithful'!F23+'Pacific Standard'!F23+'Red Rock'!F23+SeeChange!F23+'States General'!F23+Statesman!F23+'Summit National'!F23+Supreme!F23+Underwriters!F23+Unison!F23+'United Republic'!F23+Universe!F23+Villanova!F23</f>
        <v>0</v>
      </c>
      <c r="G23" s="1">
        <f t="shared" si="0"/>
        <v>4651653.6106453985</v>
      </c>
      <c r="H23" s="1">
        <f>+'Alabama Life'!G23+'American Chambers'!G23+'American Educators'!G23+'American Integrity'!G23+'Amer Life Asr'!G23+'American Medical'!G23+'Amer Std Life Acc'!G23+AmerWstrn!G23+'AMS Life'!G23+'Andrew Jackson'!G23+'Bankers Commercial'!G23+Benicorp!G23+Centennial!G23+'Coastal States'!G23+'Confed Life (CLIC)'!G23+'Consolidated National'!G23+'Consumers Mutual'!G23+'Consumers United'!G23+'Corporate Life'!G23+'Diamond Benefits'!G23+'EBL Life'!G23+'Family Guaranty'!G23+'Fidelity Bankers'!G23+'First Natl'!G23+'Franklin American'!G23+'Franklin Protective'!G23+'George Washington'!G23+'Golden State'!G23+'Guarantee Security'!G23+Imerica!G23+'Inter-American'!G23+'International Fin'!G23+'Investment Life of America'!G23+'Investors Equity'!G23+'Kentucky Central'!G23+Legion!G23+'London Pac'!G23+'Medical Savings'!G23+'Midwest Life'!G23+'Mutual Benefit'!G23+'Mutual Security'!G23+'National Affiliated'!G23+'Natl American'!G23+'National Heritage'!G23+'New Jersey Life'!G23+'Old Colony Life'!G23+'Old Faithful'!G23+'Pacific Standard'!G23+'Red Rock'!G23+SeeChange!G23+'States General'!G23+Statesman!G23+'Summit National'!G23+Supreme!G23+Underwriters!G23+Unison!G23+'United Republic'!G23+Universe!G23+Villanova!G23</f>
        <v>4651653.6106453994</v>
      </c>
      <c r="I23" s="1">
        <f t="shared" si="1"/>
        <v>0</v>
      </c>
      <c r="K23" s="1" t="s">
        <v>443</v>
      </c>
      <c r="L23" s="1">
        <f>Summary!TOTAL_62278</f>
        <v>15104531.729999997</v>
      </c>
    </row>
    <row r="24" spans="1:12">
      <c r="A24" s="1" t="s">
        <v>42</v>
      </c>
      <c r="B24" s="1">
        <f>+'Alabama Life'!B24+'American Chambers'!B24+'American Educators'!B24+'American Integrity'!B24+'Amer Life Asr'!B24+'American Medical'!B24+'Amer Std Life Acc'!B24+AmerWstrn!B24+'AMS Life'!B24+'Andrew Jackson'!B24+'Bankers Commercial'!B24+Benicorp!B24+Centennial!B24+'Coastal States'!B24+'Confed Life (CLIC)'!B24+'Consolidated National'!B24+'Consumers Mutual'!B24+'Consumers United'!B24+'Corporate Life'!B24+'Diamond Benefits'!B24+'EBL Life'!B24+'Family Guaranty'!B24+'Fidelity Bankers'!B24+'First Natl'!B24+'Franklin American'!B24+'Franklin Protective'!B24+'George Washington'!B24+'Golden State'!B24+'Guarantee Security'!B24+Imerica!B24+'Inter-American'!B24+'International Fin'!B24+'Investment Life of America'!B24+'Investors Equity'!B24+'Kentucky Central'!B24+Legion!B24+'London Pac'!B24+'Medical Savings'!B24+'Midwest Life'!B24+'Mutual Benefit'!B24+'Mutual Security'!B24+'National Affiliated'!B24+'Natl American'!B24+'National Heritage'!B24+'New Jersey Life'!B24+'Old Colony Life'!B24+'Old Faithful'!B24+'Pacific Standard'!B24+'Red Rock'!B24+SeeChange!B24+'States General'!B24+Statesman!B24+'Summit National'!B24+Supreme!B24+Underwriters!B24+Unison!B24+'United Republic'!B24+Universe!B24+Villanova!B24</f>
        <v>4427653.5173937576</v>
      </c>
      <c r="C24" s="1">
        <f>+'Alabama Life'!C24+'American Chambers'!C24+'American Educators'!C24+'American Integrity'!C24+'Amer Life Asr'!C24+'American Medical'!C24+'Amer Std Life Acc'!C24+AmerWstrn!C24+'AMS Life'!C24+'Andrew Jackson'!C24+'Bankers Commercial'!C24+Benicorp!C24+Centennial!C24+'Coastal States'!C24+'Confed Life (CLIC)'!C24+'Consolidated National'!C24+'Consumers Mutual'!C24+'Consumers United'!C24+'Corporate Life'!C24+'Diamond Benefits'!C24+'EBL Life'!C24+'Family Guaranty'!C24+'Fidelity Bankers'!C24+'First Natl'!C24+'Franklin American'!C24+'Franklin Protective'!C24+'George Washington'!C24+'Golden State'!C24+'Guarantee Security'!C24+Imerica!C24+'Inter-American'!C24+'International Fin'!C24+'Investment Life of America'!C24+'Investors Equity'!C24+'Kentucky Central'!C24+Legion!C24+'London Pac'!C24+'Medical Savings'!C24+'Midwest Life'!C24+'Mutual Benefit'!C24+'Mutual Security'!C24+'National Affiliated'!C24+'Natl American'!C24+'National Heritage'!C24+'New Jersey Life'!C24+'Old Colony Life'!C24+'Old Faithful'!C24+'Pacific Standard'!C24+'Red Rock'!C24+SeeChange!C24+'States General'!C24+Statesman!C24+'Summit National'!C24+Supreme!C24+Underwriters!C24+Unison!C24+'United Republic'!C24+Universe!C24+Villanova!C24</f>
        <v>5851701.8645523936</v>
      </c>
      <c r="D24" s="1">
        <f>+'Alabama Life'!D24+'American Chambers'!D24+'American Educators'!D24+'American Integrity'!D24+'Amer Life Asr'!D24+'American Medical'!D24+'Amer Std Life Acc'!D24+AmerWstrn!D24+'AMS Life'!D24+'Andrew Jackson'!D24+'Bankers Commercial'!D24+Benicorp!D24+Centennial!D24+'Coastal States'!D24+'Confed Life (CLIC)'!D24+'Consolidated National'!D24+'Consumers Mutual'!D24+'Consumers United'!D24+'Corporate Life'!D24+'Diamond Benefits'!D24+'EBL Life'!D24+'Family Guaranty'!D24+'Fidelity Bankers'!D24+'First Natl'!D24+'Franklin American'!D24+'Franklin Protective'!D24+'George Washington'!D24+'Golden State'!D24+'Guarantee Security'!D24+Imerica!D24+'Inter-American'!D24+'International Fin'!D24+'Investment Life of America'!D24+'Investors Equity'!D24+'Kentucky Central'!D24+Legion!D24+'London Pac'!D24+'Medical Savings'!D24+'Midwest Life'!D24+'Mutual Benefit'!D24+'Mutual Security'!D24+'National Affiliated'!D24+'Natl American'!D24+'National Heritage'!D24+'New Jersey Life'!D24+'Old Colony Life'!D24+'Old Faithful'!D24+'Pacific Standard'!D24+'Red Rock'!D24+SeeChange!D24+'States General'!D24+Statesman!D24+'Summit National'!D24+Supreme!D24+Underwriters!D24+Unison!D24+'United Republic'!D24+Universe!D24+Villanova!D24</f>
        <v>6241966.5396297099</v>
      </c>
      <c r="E24" s="1">
        <f>+'Alabama Life'!E24+'American Chambers'!E24+'American Educators'!E24+'American Integrity'!E24+'Amer Life Asr'!E24+'American Medical'!E24+'Amer Std Life Acc'!E24+AmerWstrn!E24+'AMS Life'!E24+'Andrew Jackson'!E24+'Bankers Commercial'!E24+Benicorp!E24+Centennial!E24+'Coastal States'!E24+'Confed Life (CLIC)'!E24+'Consolidated National'!E24+'Consumers Mutual'!E24+'Consumers United'!E24+'Corporate Life'!E24+'Diamond Benefits'!E24+'EBL Life'!E24+'Family Guaranty'!E24+'Fidelity Bankers'!E24+'First Natl'!E24+'Franklin American'!E24+'Franklin Protective'!E24+'George Washington'!E24+'Golden State'!E24+'Guarantee Security'!E24+Imerica!E24+'Inter-American'!E24+'International Fin'!E24+'Investment Life of America'!E24+'Investors Equity'!E24+'Kentucky Central'!E24+Legion!E24+'London Pac'!E24+'Medical Savings'!E24+'Midwest Life'!E24+'Mutual Benefit'!E24+'Mutual Security'!E24+'National Affiliated'!E24+'Natl American'!E24+'National Heritage'!E24+'New Jersey Life'!E24+'Old Colony Life'!E24+'Old Faithful'!E24+'Pacific Standard'!E24+'Red Rock'!E24+SeeChange!E24+'States General'!E24+Statesman!E24+'Summit National'!E24+Supreme!E24+Underwriters!E24+Unison!E24+'United Republic'!E24+Universe!E24+Villanova!E24</f>
        <v>0</v>
      </c>
      <c r="F24" s="1">
        <f>+'Alabama Life'!F24+'American Chambers'!F24+'American Educators'!F24+'American Integrity'!F24+'Amer Life Asr'!F24+'American Medical'!F24+'Amer Std Life Acc'!F24+AmerWstrn!F24+'AMS Life'!F24+'Andrew Jackson'!F24+'Bankers Commercial'!F24+Benicorp!F24+Centennial!F24+'Coastal States'!F24+'Confed Life (CLIC)'!F24+'Consolidated National'!F24+'Consumers Mutual'!F24+'Consumers United'!F24+'Corporate Life'!F24+'Diamond Benefits'!F24+'EBL Life'!F24+'Family Guaranty'!F24+'Fidelity Bankers'!F24+'First Natl'!F24+'Franklin American'!F24+'Franklin Protective'!F24+'George Washington'!F24+'Golden State'!F24+'Guarantee Security'!F24+Imerica!F24+'Inter-American'!F24+'International Fin'!F24+'Investment Life of America'!F24+'Investors Equity'!F24+'Kentucky Central'!F24+Legion!F24+'London Pac'!F24+'Medical Savings'!F24+'Midwest Life'!F24+'Mutual Benefit'!F24+'Mutual Security'!F24+'National Affiliated'!F24+'Natl American'!F24+'National Heritage'!F24+'New Jersey Life'!F24+'Old Colony Life'!F24+'Old Faithful'!F24+'Pacific Standard'!F24+'Red Rock'!F24+SeeChange!F24+'States General'!F24+Statesman!F24+'Summit National'!F24+Supreme!F24+Underwriters!F24+Unison!F24+'United Republic'!F24+Universe!F24+Villanova!F24</f>
        <v>0</v>
      </c>
      <c r="G24" s="1">
        <f t="shared" si="0"/>
        <v>16521321.921575859</v>
      </c>
      <c r="H24" s="1">
        <f>+'Alabama Life'!G24+'American Chambers'!G24+'American Educators'!G24+'American Integrity'!G24+'Amer Life Asr'!G24+'American Medical'!G24+'Amer Std Life Acc'!G24+AmerWstrn!G24+'AMS Life'!G24+'Andrew Jackson'!G24+'Bankers Commercial'!G24+Benicorp!G24+Centennial!G24+'Coastal States'!G24+'Confed Life (CLIC)'!G24+'Consolidated National'!G24+'Consumers Mutual'!G24+'Consumers United'!G24+'Corporate Life'!G24+'Diamond Benefits'!G24+'EBL Life'!G24+'Family Guaranty'!G24+'Fidelity Bankers'!G24+'First Natl'!G24+'Franklin American'!G24+'Franklin Protective'!G24+'George Washington'!G24+'Golden State'!G24+'Guarantee Security'!G24+Imerica!G24+'Inter-American'!G24+'International Fin'!G24+'Investment Life of America'!G24+'Investors Equity'!G24+'Kentucky Central'!G24+Legion!G24+'London Pac'!G24+'Medical Savings'!G24+'Midwest Life'!G24+'Mutual Benefit'!G24+'Mutual Security'!G24+'National Affiliated'!G24+'Natl American'!G24+'National Heritage'!G24+'New Jersey Life'!G24+'Old Colony Life'!G24+'Old Faithful'!G24+'Pacific Standard'!G24+'Red Rock'!G24+SeeChange!G24+'States General'!G24+Statesman!G24+'Summit National'!G24+Supreme!G24+Underwriters!G24+Unison!G24+'United Republic'!G24+Universe!G24+Villanova!G24</f>
        <v>16521321.921575855</v>
      </c>
      <c r="I24" s="1">
        <f t="shared" si="1"/>
        <v>0</v>
      </c>
      <c r="K24" s="1" t="s">
        <v>449</v>
      </c>
      <c r="L24" s="1">
        <f>Summary!TOTAL_74705</f>
        <v>173587826.87265</v>
      </c>
    </row>
    <row r="25" spans="1:12">
      <c r="A25" s="1" t="s">
        <v>44</v>
      </c>
      <c r="B25" s="1">
        <f>+'Alabama Life'!B25+'American Chambers'!B25+'American Educators'!B25+'American Integrity'!B25+'Amer Life Asr'!B25+'American Medical'!B25+'Amer Std Life Acc'!B25+AmerWstrn!B25+'AMS Life'!B25+'Andrew Jackson'!B25+'Bankers Commercial'!B25+Benicorp!B25+Centennial!B25+'Coastal States'!B25+'Confed Life (CLIC)'!B25+'Consolidated National'!B25+'Consumers Mutual'!B25+'Consumers United'!B25+'Corporate Life'!B25+'Diamond Benefits'!B25+'EBL Life'!B25+'Family Guaranty'!B25+'Fidelity Bankers'!B25+'First Natl'!B25+'Franklin American'!B25+'Franklin Protective'!B25+'George Washington'!B25+'Golden State'!B25+'Guarantee Security'!B25+Imerica!B25+'Inter-American'!B25+'International Fin'!B25+'Investment Life of America'!B25+'Investors Equity'!B25+'Kentucky Central'!B25+Legion!B25+'London Pac'!B25+'Medical Savings'!B25+'Midwest Life'!B25+'Mutual Benefit'!B25+'Mutual Security'!B25+'National Affiliated'!B25+'Natl American'!B25+'National Heritage'!B25+'New Jersey Life'!B25+'Old Colony Life'!B25+'Old Faithful'!B25+'Pacific Standard'!B25+'Red Rock'!B25+SeeChange!B25+'States General'!B25+Statesman!B25+'Summit National'!B25+Supreme!B25+Underwriters!B25+Unison!B25+'United Republic'!B25+Universe!B25+Villanova!B25</f>
        <v>579765.81696449174</v>
      </c>
      <c r="C25" s="1">
        <f>+'Alabama Life'!C25+'American Chambers'!C25+'American Educators'!C25+'American Integrity'!C25+'Amer Life Asr'!C25+'American Medical'!C25+'Amer Std Life Acc'!C25+AmerWstrn!C25+'AMS Life'!C25+'Andrew Jackson'!C25+'Bankers Commercial'!C25+Benicorp!C25+Centennial!C25+'Coastal States'!C25+'Confed Life (CLIC)'!C25+'Consolidated National'!C25+'Consumers Mutual'!C25+'Consumers United'!C25+'Corporate Life'!C25+'Diamond Benefits'!C25+'EBL Life'!C25+'Family Guaranty'!C25+'Fidelity Bankers'!C25+'First Natl'!C25+'Franklin American'!C25+'Franklin Protective'!C25+'George Washington'!C25+'Golden State'!C25+'Guarantee Security'!C25+Imerica!C25+'Inter-American'!C25+'International Fin'!C25+'Investment Life of America'!C25+'Investors Equity'!C25+'Kentucky Central'!C25+Legion!C25+'London Pac'!C25+'Medical Savings'!C25+'Midwest Life'!C25+'Mutual Benefit'!C25+'Mutual Security'!C25+'National Affiliated'!C25+'Natl American'!C25+'National Heritage'!C25+'New Jersey Life'!C25+'Old Colony Life'!C25+'Old Faithful'!C25+'Pacific Standard'!C25+'Red Rock'!C25+SeeChange!C25+'States General'!C25+Statesman!C25+'Summit National'!C25+Supreme!C25+Underwriters!C25+Unison!C25+'United Republic'!C25+Universe!C25+Villanova!C25</f>
        <v>549293.73597703595</v>
      </c>
      <c r="D25" s="1">
        <f>+'Alabama Life'!D25+'American Chambers'!D25+'American Educators'!D25+'American Integrity'!D25+'Amer Life Asr'!D25+'American Medical'!D25+'Amer Std Life Acc'!D25+AmerWstrn!D25+'AMS Life'!D25+'Andrew Jackson'!D25+'Bankers Commercial'!D25+Benicorp!D25+Centennial!D25+'Coastal States'!D25+'Confed Life (CLIC)'!D25+'Consolidated National'!D25+'Consumers Mutual'!D25+'Consumers United'!D25+'Corporate Life'!D25+'Diamond Benefits'!D25+'EBL Life'!D25+'Family Guaranty'!D25+'Fidelity Bankers'!D25+'First Natl'!D25+'Franklin American'!D25+'Franklin Protective'!D25+'George Washington'!D25+'Golden State'!D25+'Guarantee Security'!D25+Imerica!D25+'Inter-American'!D25+'International Fin'!D25+'Investment Life of America'!D25+'Investors Equity'!D25+'Kentucky Central'!D25+Legion!D25+'London Pac'!D25+'Medical Savings'!D25+'Midwest Life'!D25+'Mutual Benefit'!D25+'Mutual Security'!D25+'National Affiliated'!D25+'Natl American'!D25+'National Heritage'!D25+'New Jersey Life'!D25+'Old Colony Life'!D25+'Old Faithful'!D25+'Pacific Standard'!D25+'Red Rock'!D25+SeeChange!D25+'States General'!D25+Statesman!D25+'Summit National'!D25+Supreme!D25+Underwriters!D25+Unison!D25+'United Republic'!D25+Universe!D25+Villanova!D25</f>
        <v>48901.16319822165</v>
      </c>
      <c r="E25" s="1">
        <f>+'Alabama Life'!E25+'American Chambers'!E25+'American Educators'!E25+'American Integrity'!E25+'Amer Life Asr'!E25+'American Medical'!E25+'Amer Std Life Acc'!E25+AmerWstrn!E25+'AMS Life'!E25+'Andrew Jackson'!E25+'Bankers Commercial'!E25+Benicorp!E25+Centennial!E25+'Coastal States'!E25+'Confed Life (CLIC)'!E25+'Consolidated National'!E25+'Consumers Mutual'!E25+'Consumers United'!E25+'Corporate Life'!E25+'Diamond Benefits'!E25+'EBL Life'!E25+'Family Guaranty'!E25+'Fidelity Bankers'!E25+'First Natl'!E25+'Franklin American'!E25+'Franklin Protective'!E25+'George Washington'!E25+'Golden State'!E25+'Guarantee Security'!E25+Imerica!E25+'Inter-American'!E25+'International Fin'!E25+'Investment Life of America'!E25+'Investors Equity'!E25+'Kentucky Central'!E25+Legion!E25+'London Pac'!E25+'Medical Savings'!E25+'Midwest Life'!E25+'Mutual Benefit'!E25+'Mutual Security'!E25+'National Affiliated'!E25+'Natl American'!E25+'National Heritage'!E25+'New Jersey Life'!E25+'Old Colony Life'!E25+'Old Faithful'!E25+'Pacific Standard'!E25+'Red Rock'!E25+SeeChange!E25+'States General'!E25+Statesman!E25+'Summit National'!E25+Supreme!E25+Underwriters!E25+Unison!E25+'United Republic'!E25+Universe!E25+Villanova!E25</f>
        <v>63023.182327443486</v>
      </c>
      <c r="F25" s="1">
        <f>+'Alabama Life'!F25+'American Chambers'!F25+'American Educators'!F25+'American Integrity'!F25+'Amer Life Asr'!F25+'American Medical'!F25+'Amer Std Life Acc'!F25+AmerWstrn!F25+'AMS Life'!F25+'Andrew Jackson'!F25+'Bankers Commercial'!F25+Benicorp!F25+Centennial!F25+'Coastal States'!F25+'Confed Life (CLIC)'!F25+'Consolidated National'!F25+'Consumers Mutual'!F25+'Consumers United'!F25+'Corporate Life'!F25+'Diamond Benefits'!F25+'EBL Life'!F25+'Family Guaranty'!F25+'Fidelity Bankers'!F25+'First Natl'!F25+'Franklin American'!F25+'Franklin Protective'!F25+'George Washington'!F25+'Golden State'!F25+'Guarantee Security'!F25+Imerica!F25+'Inter-American'!F25+'International Fin'!F25+'Investment Life of America'!F25+'Investors Equity'!F25+'Kentucky Central'!F25+Legion!F25+'London Pac'!F25+'Medical Savings'!F25+'Midwest Life'!F25+'Mutual Benefit'!F25+'Mutual Security'!F25+'National Affiliated'!F25+'Natl American'!F25+'National Heritage'!F25+'New Jersey Life'!F25+'Old Colony Life'!F25+'Old Faithful'!F25+'Pacific Standard'!F25+'Red Rock'!F25+SeeChange!F25+'States General'!F25+Statesman!F25+'Summit National'!F25+Supreme!F25+Underwriters!F25+Unison!F25+'United Republic'!F25+Universe!F25+Villanova!F25</f>
        <v>0</v>
      </c>
      <c r="G25" s="1">
        <f t="shared" si="0"/>
        <v>1240983.8984671929</v>
      </c>
      <c r="H25" s="1">
        <f>+'Alabama Life'!G25+'American Chambers'!G25+'American Educators'!G25+'American Integrity'!G25+'Amer Life Asr'!G25+'American Medical'!G25+'Amer Std Life Acc'!G25+AmerWstrn!G25+'AMS Life'!G25+'Andrew Jackson'!G25+'Bankers Commercial'!G25+Benicorp!G25+Centennial!G25+'Coastal States'!G25+'Confed Life (CLIC)'!G25+'Consolidated National'!G25+'Consumers Mutual'!G25+'Consumers United'!G25+'Corporate Life'!G25+'Diamond Benefits'!G25+'EBL Life'!G25+'Family Guaranty'!G25+'Fidelity Bankers'!G25+'First Natl'!G25+'Franklin American'!G25+'Franklin Protective'!G25+'George Washington'!G25+'Golden State'!G25+'Guarantee Security'!G25+Imerica!G25+'Inter-American'!G25+'International Fin'!G25+'Investment Life of America'!G25+'Investors Equity'!G25+'Kentucky Central'!G25+Legion!G25+'London Pac'!G25+'Medical Savings'!G25+'Midwest Life'!G25+'Mutual Benefit'!G25+'Mutual Security'!G25+'National Affiliated'!G25+'Natl American'!G25+'National Heritage'!G25+'New Jersey Life'!G25+'Old Colony Life'!G25+'Old Faithful'!G25+'Pacific Standard'!G25+'Red Rock'!G25+SeeChange!G25+'States General'!G25+Statesman!G25+'Summit National'!G25+Supreme!G25+Underwriters!G25+Unison!G25+'United Republic'!G25+Universe!G25+Villanova!G25</f>
        <v>1240983.8984671929</v>
      </c>
      <c r="I25" s="1">
        <f t="shared" si="1"/>
        <v>0</v>
      </c>
      <c r="K25" s="1" t="s">
        <v>455</v>
      </c>
      <c r="L25" s="1">
        <f>Summary!TOTAL_74969</f>
        <v>12093330.970000001</v>
      </c>
    </row>
    <row r="26" spans="1:12">
      <c r="A26" s="1" t="s">
        <v>45</v>
      </c>
      <c r="B26" s="1">
        <f>+'Alabama Life'!B26+'American Chambers'!B26+'American Educators'!B26+'American Integrity'!B26+'Amer Life Asr'!B26+'American Medical'!B26+'Amer Std Life Acc'!B26+AmerWstrn!B26+'AMS Life'!B26+'Andrew Jackson'!B26+'Bankers Commercial'!B26+Benicorp!B26+Centennial!B26+'Coastal States'!B26+'Confed Life (CLIC)'!B26+'Consolidated National'!B26+'Consumers Mutual'!B26+'Consumers United'!B26+'Corporate Life'!B26+'Diamond Benefits'!B26+'EBL Life'!B26+'Family Guaranty'!B26+'Fidelity Bankers'!B26+'First Natl'!B26+'Franklin American'!B26+'Franklin Protective'!B26+'George Washington'!B26+'Golden State'!B26+'Guarantee Security'!B26+Imerica!B26+'Inter-American'!B26+'International Fin'!B26+'Investment Life of America'!B26+'Investors Equity'!B26+'Kentucky Central'!B26+Legion!B26+'London Pac'!B26+'Medical Savings'!B26+'Midwest Life'!B26+'Mutual Benefit'!B26+'Mutual Security'!B26+'National Affiliated'!B26+'Natl American'!B26+'National Heritage'!B26+'New Jersey Life'!B26+'Old Colony Life'!B26+'Old Faithful'!B26+'Pacific Standard'!B26+'Red Rock'!B26+SeeChange!B26+'States General'!B26+Statesman!B26+'Summit National'!B26+Supreme!B26+Underwriters!B26+Unison!B26+'United Republic'!B26+Universe!B26+Villanova!B26</f>
        <v>1859900.4689920521</v>
      </c>
      <c r="C26" s="1">
        <f>+'Alabama Life'!C26+'American Chambers'!C26+'American Educators'!C26+'American Integrity'!C26+'Amer Life Asr'!C26+'American Medical'!C26+'Amer Std Life Acc'!C26+AmerWstrn!C26+'AMS Life'!C26+'Andrew Jackson'!C26+'Bankers Commercial'!C26+Benicorp!C26+Centennial!C26+'Coastal States'!C26+'Confed Life (CLIC)'!C26+'Consolidated National'!C26+'Consumers Mutual'!C26+'Consumers United'!C26+'Corporate Life'!C26+'Diamond Benefits'!C26+'EBL Life'!C26+'Family Guaranty'!C26+'Fidelity Bankers'!C26+'First Natl'!C26+'Franklin American'!C26+'Franklin Protective'!C26+'George Washington'!C26+'Golden State'!C26+'Guarantee Security'!C26+Imerica!C26+'Inter-American'!C26+'International Fin'!C26+'Investment Life of America'!C26+'Investors Equity'!C26+'Kentucky Central'!C26+Legion!C26+'London Pac'!C26+'Medical Savings'!C26+'Midwest Life'!C26+'Mutual Benefit'!C26+'Mutual Security'!C26+'National Affiliated'!C26+'Natl American'!C26+'National Heritage'!C26+'New Jersey Life'!C26+'Old Colony Life'!C26+'Old Faithful'!C26+'Pacific Standard'!C26+'Red Rock'!C26+SeeChange!C26+'States General'!C26+Statesman!C26+'Summit National'!C26+Supreme!C26+Underwriters!C26+Unison!C26+'United Republic'!C26+Universe!C26+Villanova!C26</f>
        <v>5171586.9823300615</v>
      </c>
      <c r="D26" s="1">
        <f>+'Alabama Life'!D26+'American Chambers'!D26+'American Educators'!D26+'American Integrity'!D26+'Amer Life Asr'!D26+'American Medical'!D26+'Amer Std Life Acc'!D26+AmerWstrn!D26+'AMS Life'!D26+'Andrew Jackson'!D26+'Bankers Commercial'!D26+Benicorp!D26+Centennial!D26+'Coastal States'!D26+'Confed Life (CLIC)'!D26+'Consolidated National'!D26+'Consumers Mutual'!D26+'Consumers United'!D26+'Corporate Life'!D26+'Diamond Benefits'!D26+'EBL Life'!D26+'Family Guaranty'!D26+'Fidelity Bankers'!D26+'First Natl'!D26+'Franklin American'!D26+'Franklin Protective'!D26+'George Washington'!D26+'Golden State'!D26+'Guarantee Security'!D26+Imerica!D26+'Inter-American'!D26+'International Fin'!D26+'Investment Life of America'!D26+'Investors Equity'!D26+'Kentucky Central'!D26+Legion!D26+'London Pac'!D26+'Medical Savings'!D26+'Midwest Life'!D26+'Mutual Benefit'!D26+'Mutual Security'!D26+'National Affiliated'!D26+'Natl American'!D26+'National Heritage'!D26+'New Jersey Life'!D26+'Old Colony Life'!D26+'Old Faithful'!D26+'Pacific Standard'!D26+'Red Rock'!D26+SeeChange!D26+'States General'!D26+Statesman!D26+'Summit National'!D26+Supreme!D26+Underwriters!D26+Unison!D26+'United Republic'!D26+Universe!D26+Villanova!D26</f>
        <v>485383.8568238006</v>
      </c>
      <c r="E26" s="1">
        <f>+'Alabama Life'!E26+'American Chambers'!E26+'American Educators'!E26+'American Integrity'!E26+'Amer Life Asr'!E26+'American Medical'!E26+'Amer Std Life Acc'!E26+AmerWstrn!E26+'AMS Life'!E26+'Andrew Jackson'!E26+'Bankers Commercial'!E26+Benicorp!E26+Centennial!E26+'Coastal States'!E26+'Confed Life (CLIC)'!E26+'Consolidated National'!E26+'Consumers Mutual'!E26+'Consumers United'!E26+'Corporate Life'!E26+'Diamond Benefits'!E26+'EBL Life'!E26+'Family Guaranty'!E26+'Fidelity Bankers'!E26+'First Natl'!E26+'Franklin American'!E26+'Franklin Protective'!E26+'George Washington'!E26+'Golden State'!E26+'Guarantee Security'!E26+Imerica!E26+'Inter-American'!E26+'International Fin'!E26+'Investment Life of America'!E26+'Investors Equity'!E26+'Kentucky Central'!E26+Legion!E26+'London Pac'!E26+'Medical Savings'!E26+'Midwest Life'!E26+'Mutual Benefit'!E26+'Mutual Security'!E26+'National Affiliated'!E26+'Natl American'!E26+'National Heritage'!E26+'New Jersey Life'!E26+'Old Colony Life'!E26+'Old Faithful'!E26+'Pacific Standard'!E26+'Red Rock'!E26+SeeChange!E26+'States General'!E26+Statesman!E26+'Summit National'!E26+Supreme!E26+Underwriters!E26+Unison!E26+'United Republic'!E26+Universe!E26+Villanova!E26</f>
        <v>-582.42313150968403</v>
      </c>
      <c r="F26" s="1">
        <f>+'Alabama Life'!F26+'American Chambers'!F26+'American Educators'!F26+'American Integrity'!F26+'Amer Life Asr'!F26+'American Medical'!F26+'Amer Std Life Acc'!F26+AmerWstrn!F26+'AMS Life'!F26+'Andrew Jackson'!F26+'Bankers Commercial'!F26+Benicorp!F26+Centennial!F26+'Coastal States'!F26+'Confed Life (CLIC)'!F26+'Consolidated National'!F26+'Consumers Mutual'!F26+'Consumers United'!F26+'Corporate Life'!F26+'Diamond Benefits'!F26+'EBL Life'!F26+'Family Guaranty'!F26+'Fidelity Bankers'!F26+'First Natl'!F26+'Franklin American'!F26+'Franklin Protective'!F26+'George Washington'!F26+'Golden State'!F26+'Guarantee Security'!F26+Imerica!F26+'Inter-American'!F26+'International Fin'!F26+'Investment Life of America'!F26+'Investors Equity'!F26+'Kentucky Central'!F26+Legion!F26+'London Pac'!F26+'Medical Savings'!F26+'Midwest Life'!F26+'Mutual Benefit'!F26+'Mutual Security'!F26+'National Affiliated'!F26+'Natl American'!F26+'National Heritage'!F26+'New Jersey Life'!F26+'Old Colony Life'!F26+'Old Faithful'!F26+'Pacific Standard'!F26+'Red Rock'!F26+SeeChange!F26+'States General'!F26+Statesman!F26+'Summit National'!F26+Supreme!F26+Underwriters!F26+Unison!F26+'United Republic'!F26+Universe!F26+Villanova!F26</f>
        <v>0</v>
      </c>
      <c r="G26" s="1">
        <f t="shared" si="0"/>
        <v>7516288.8850144045</v>
      </c>
      <c r="H26" s="1">
        <f>+'Alabama Life'!G26+'American Chambers'!G26+'American Educators'!G26+'American Integrity'!G26+'Amer Life Asr'!G26+'American Medical'!G26+'Amer Std Life Acc'!G26+AmerWstrn!G26+'AMS Life'!G26+'Andrew Jackson'!G26+'Bankers Commercial'!G26+Benicorp!G26+Centennial!G26+'Coastal States'!G26+'Confed Life (CLIC)'!G26+'Consolidated National'!G26+'Consumers Mutual'!G26+'Consumers United'!G26+'Corporate Life'!G26+'Diamond Benefits'!G26+'EBL Life'!G26+'Family Guaranty'!G26+'Fidelity Bankers'!G26+'First Natl'!G26+'Franklin American'!G26+'Franklin Protective'!G26+'George Washington'!G26+'Golden State'!G26+'Guarantee Security'!G26+Imerica!G26+'Inter-American'!G26+'International Fin'!G26+'Investment Life of America'!G26+'Investors Equity'!G26+'Kentucky Central'!G26+Legion!G26+'London Pac'!G26+'Medical Savings'!G26+'Midwest Life'!G26+'Mutual Benefit'!G26+'Mutual Security'!G26+'National Affiliated'!G26+'Natl American'!G26+'National Heritage'!G26+'New Jersey Life'!G26+'Old Colony Life'!G26+'Old Faithful'!G26+'Pacific Standard'!G26+'Red Rock'!G26+SeeChange!G26+'States General'!G26+Statesman!G26+'Summit National'!G26+Supreme!G26+Underwriters!G26+Unison!G26+'United Republic'!G26+Universe!G26+Villanova!G26</f>
        <v>7516288.8850144064</v>
      </c>
      <c r="I26" s="1">
        <f t="shared" si="1"/>
        <v>0</v>
      </c>
      <c r="K26" s="1" t="s">
        <v>461</v>
      </c>
      <c r="L26" s="1">
        <f>Summary!TOTAL_87033</f>
        <v>14255071.83</v>
      </c>
    </row>
    <row r="27" spans="1:12">
      <c r="A27" s="1" t="s">
        <v>47</v>
      </c>
      <c r="B27" s="1">
        <f>+'Alabama Life'!B27+'American Chambers'!B27+'American Educators'!B27+'American Integrity'!B27+'Amer Life Asr'!B27+'American Medical'!B27+'Amer Std Life Acc'!B27+AmerWstrn!B27+'AMS Life'!B27+'Andrew Jackson'!B27+'Bankers Commercial'!B27+Benicorp!B27+Centennial!B27+'Coastal States'!B27+'Confed Life (CLIC)'!B27+'Consolidated National'!B27+'Consumers Mutual'!B27+'Consumers United'!B27+'Corporate Life'!B27+'Diamond Benefits'!B27+'EBL Life'!B27+'Family Guaranty'!B27+'Fidelity Bankers'!B27+'First Natl'!B27+'Franklin American'!B27+'Franklin Protective'!B27+'George Washington'!B27+'Golden State'!B27+'Guarantee Security'!B27+Imerica!B27+'Inter-American'!B27+'International Fin'!B27+'Investment Life of America'!B27+'Investors Equity'!B27+'Kentucky Central'!B27+Legion!B27+'London Pac'!B27+'Medical Savings'!B27+'Midwest Life'!B27+'Mutual Benefit'!B27+'Mutual Security'!B27+'National Affiliated'!B27+'Natl American'!B27+'National Heritage'!B27+'New Jersey Life'!B27+'Old Colony Life'!B27+'Old Faithful'!B27+'Pacific Standard'!B27+'Red Rock'!B27+SeeChange!B27+'States General'!B27+Statesman!B27+'Summit National'!B27+Supreme!B27+Underwriters!B27+Unison!B27+'United Republic'!B27+Universe!B27+Villanova!B27</f>
        <v>3534653.1428944422</v>
      </c>
      <c r="C27" s="1">
        <f>+'Alabama Life'!C27+'American Chambers'!C27+'American Educators'!C27+'American Integrity'!C27+'Amer Life Asr'!C27+'American Medical'!C27+'Amer Std Life Acc'!C27+AmerWstrn!C27+'AMS Life'!C27+'Andrew Jackson'!C27+'Bankers Commercial'!C27+Benicorp!C27+Centennial!C27+'Coastal States'!C27+'Confed Life (CLIC)'!C27+'Consolidated National'!C27+'Consumers Mutual'!C27+'Consumers United'!C27+'Corporate Life'!C27+'Diamond Benefits'!C27+'EBL Life'!C27+'Family Guaranty'!C27+'Fidelity Bankers'!C27+'First Natl'!C27+'Franklin American'!C27+'Franklin Protective'!C27+'George Washington'!C27+'Golden State'!C27+'Guarantee Security'!C27+Imerica!C27+'Inter-American'!C27+'International Fin'!C27+'Investment Life of America'!C27+'Investors Equity'!C27+'Kentucky Central'!C27+Legion!C27+'London Pac'!C27+'Medical Savings'!C27+'Midwest Life'!C27+'Mutual Benefit'!C27+'Mutual Security'!C27+'National Affiliated'!C27+'Natl American'!C27+'National Heritage'!C27+'New Jersey Life'!C27+'Old Colony Life'!C27+'Old Faithful'!C27+'Pacific Standard'!C27+'Red Rock'!C27+SeeChange!C27+'States General'!C27+Statesman!C27+'Summit National'!C27+Supreme!C27+Underwriters!C27+Unison!C27+'United Republic'!C27+Universe!C27+Villanova!C27</f>
        <v>3179596.3641537353</v>
      </c>
      <c r="D27" s="1">
        <f>+'Alabama Life'!D27+'American Chambers'!D27+'American Educators'!D27+'American Integrity'!D27+'Amer Life Asr'!D27+'American Medical'!D27+'Amer Std Life Acc'!D27+AmerWstrn!D27+'AMS Life'!D27+'Andrew Jackson'!D27+'Bankers Commercial'!D27+Benicorp!D27+Centennial!D27+'Coastal States'!D27+'Confed Life (CLIC)'!D27+'Consolidated National'!D27+'Consumers Mutual'!D27+'Consumers United'!D27+'Corporate Life'!D27+'Diamond Benefits'!D27+'EBL Life'!D27+'Family Guaranty'!D27+'Fidelity Bankers'!D27+'First Natl'!D27+'Franklin American'!D27+'Franklin Protective'!D27+'George Washington'!D27+'Golden State'!D27+'Guarantee Security'!D27+Imerica!D27+'Inter-American'!D27+'International Fin'!D27+'Investment Life of America'!D27+'Investors Equity'!D27+'Kentucky Central'!D27+Legion!D27+'London Pac'!D27+'Medical Savings'!D27+'Midwest Life'!D27+'Mutual Benefit'!D27+'Mutual Security'!D27+'National Affiliated'!D27+'Natl American'!D27+'National Heritage'!D27+'New Jersey Life'!D27+'Old Colony Life'!D27+'Old Faithful'!D27+'Pacific Standard'!D27+'Red Rock'!D27+SeeChange!D27+'States General'!D27+Statesman!D27+'Summit National'!D27+Supreme!D27+Underwriters!D27+Unison!D27+'United Republic'!D27+Universe!D27+Villanova!D27</f>
        <v>1666731.383089581</v>
      </c>
      <c r="E27" s="1">
        <f>+'Alabama Life'!E27+'American Chambers'!E27+'American Educators'!E27+'American Integrity'!E27+'Amer Life Asr'!E27+'American Medical'!E27+'Amer Std Life Acc'!E27+AmerWstrn!E27+'AMS Life'!E27+'Andrew Jackson'!E27+'Bankers Commercial'!E27+Benicorp!E27+Centennial!E27+'Coastal States'!E27+'Confed Life (CLIC)'!E27+'Consolidated National'!E27+'Consumers Mutual'!E27+'Consumers United'!E27+'Corporate Life'!E27+'Diamond Benefits'!E27+'EBL Life'!E27+'Family Guaranty'!E27+'Fidelity Bankers'!E27+'First Natl'!E27+'Franklin American'!E27+'Franklin Protective'!E27+'George Washington'!E27+'Golden State'!E27+'Guarantee Security'!E27+Imerica!E27+'Inter-American'!E27+'International Fin'!E27+'Investment Life of America'!E27+'Investors Equity'!E27+'Kentucky Central'!E27+Legion!E27+'London Pac'!E27+'Medical Savings'!E27+'Midwest Life'!E27+'Mutual Benefit'!E27+'Mutual Security'!E27+'National Affiliated'!E27+'Natl American'!E27+'National Heritage'!E27+'New Jersey Life'!E27+'Old Colony Life'!E27+'Old Faithful'!E27+'Pacific Standard'!E27+'Red Rock'!E27+SeeChange!E27+'States General'!E27+Statesman!E27+'Summit National'!E27+Supreme!E27+Underwriters!E27+Unison!E27+'United Republic'!E27+Universe!E27+Villanova!E27</f>
        <v>0</v>
      </c>
      <c r="F27" s="1">
        <f>+'Alabama Life'!F27+'American Chambers'!F27+'American Educators'!F27+'American Integrity'!F27+'Amer Life Asr'!F27+'American Medical'!F27+'Amer Std Life Acc'!F27+AmerWstrn!F27+'AMS Life'!F27+'Andrew Jackson'!F27+'Bankers Commercial'!F27+Benicorp!F27+Centennial!F27+'Coastal States'!F27+'Confed Life (CLIC)'!F27+'Consolidated National'!F27+'Consumers Mutual'!F27+'Consumers United'!F27+'Corporate Life'!F27+'Diamond Benefits'!F27+'EBL Life'!F27+'Family Guaranty'!F27+'Fidelity Bankers'!F27+'First Natl'!F27+'Franklin American'!F27+'Franklin Protective'!F27+'George Washington'!F27+'Golden State'!F27+'Guarantee Security'!F27+Imerica!F27+'Inter-American'!F27+'International Fin'!F27+'Investment Life of America'!F27+'Investors Equity'!F27+'Kentucky Central'!F27+Legion!F27+'London Pac'!F27+'Medical Savings'!F27+'Midwest Life'!F27+'Mutual Benefit'!F27+'Mutual Security'!F27+'National Affiliated'!F27+'Natl American'!F27+'National Heritage'!F27+'New Jersey Life'!F27+'Old Colony Life'!F27+'Old Faithful'!F27+'Pacific Standard'!F27+'Red Rock'!F27+SeeChange!F27+'States General'!F27+Statesman!F27+'Summit National'!F27+Supreme!F27+Underwriters!F27+Unison!F27+'United Republic'!F27+Universe!F27+Villanova!F27</f>
        <v>0</v>
      </c>
      <c r="G27" s="1">
        <f t="shared" si="0"/>
        <v>8380980.8901377581</v>
      </c>
      <c r="H27" s="1">
        <f>+'Alabama Life'!G27+'American Chambers'!G27+'American Educators'!G27+'American Integrity'!G27+'Amer Life Asr'!G27+'American Medical'!G27+'Amer Std Life Acc'!G27+AmerWstrn!G27+'AMS Life'!G27+'Andrew Jackson'!G27+'Bankers Commercial'!G27+Benicorp!G27+Centennial!G27+'Coastal States'!G27+'Confed Life (CLIC)'!G27+'Consolidated National'!G27+'Consumers Mutual'!G27+'Consumers United'!G27+'Corporate Life'!G27+'Diamond Benefits'!G27+'EBL Life'!G27+'Family Guaranty'!G27+'Fidelity Bankers'!G27+'First Natl'!G27+'Franklin American'!G27+'Franklin Protective'!G27+'George Washington'!G27+'Golden State'!G27+'Guarantee Security'!G27+Imerica!G27+'Inter-American'!G27+'International Fin'!G27+'Investment Life of America'!G27+'Investors Equity'!G27+'Kentucky Central'!G27+Legion!G27+'London Pac'!G27+'Medical Savings'!G27+'Midwest Life'!G27+'Mutual Benefit'!G27+'Mutual Security'!G27+'National Affiliated'!G27+'Natl American'!G27+'National Heritage'!G27+'New Jersey Life'!G27+'Old Colony Life'!G27+'Old Faithful'!G27+'Pacific Standard'!G27+'Red Rock'!G27+SeeChange!G27+'States General'!G27+Statesman!G27+'Summit National'!G27+Supreme!G27+Underwriters!G27+Unison!G27+'United Republic'!G27+Universe!G27+Villanova!G27</f>
        <v>8380980.8901377572</v>
      </c>
      <c r="I27" s="1">
        <f t="shared" si="1"/>
        <v>0</v>
      </c>
      <c r="K27" s="1" t="s">
        <v>466</v>
      </c>
      <c r="L27" s="1">
        <f>Summary!TOTAL_75302</f>
        <v>19770463.759021532</v>
      </c>
    </row>
    <row r="28" spans="1:12">
      <c r="A28" s="1" t="s">
        <v>49</v>
      </c>
      <c r="B28" s="1">
        <f>+'Alabama Life'!B28+'American Chambers'!B28+'American Educators'!B28+'American Integrity'!B28+'Amer Life Asr'!B28+'American Medical'!B28+'Amer Std Life Acc'!B28+AmerWstrn!B28+'AMS Life'!B28+'Andrew Jackson'!B28+'Bankers Commercial'!B28+Benicorp!B28+Centennial!B28+'Coastal States'!B28+'Confed Life (CLIC)'!B28+'Consolidated National'!B28+'Consumers Mutual'!B28+'Consumers United'!B28+'Corporate Life'!B28+'Diamond Benefits'!B28+'EBL Life'!B28+'Family Guaranty'!B28+'Fidelity Bankers'!B28+'First Natl'!B28+'Franklin American'!B28+'Franklin Protective'!B28+'George Washington'!B28+'Golden State'!B28+'Guarantee Security'!B28+Imerica!B28+'Inter-American'!B28+'International Fin'!B28+'Investment Life of America'!B28+'Investors Equity'!B28+'Kentucky Central'!B28+Legion!B28+'London Pac'!B28+'Medical Savings'!B28+'Midwest Life'!B28+'Mutual Benefit'!B28+'Mutual Security'!B28+'National Affiliated'!B28+'Natl American'!B28+'National Heritage'!B28+'New Jersey Life'!B28+'Old Colony Life'!B28+'Old Faithful'!B28+'Pacific Standard'!B28+'Red Rock'!B28+SeeChange!B28+'States General'!B28+Statesman!B28+'Summit National'!B28+Supreme!B28+Underwriters!B28+Unison!B28+'United Republic'!B28+Universe!B28+Villanova!B28</f>
        <v>10196972.462306393</v>
      </c>
      <c r="C28" s="1">
        <f>+'Alabama Life'!C28+'American Chambers'!C28+'American Educators'!C28+'American Integrity'!C28+'Amer Life Asr'!C28+'American Medical'!C28+'Amer Std Life Acc'!C28+AmerWstrn!C28+'AMS Life'!C28+'Andrew Jackson'!C28+'Bankers Commercial'!C28+Benicorp!C28+Centennial!C28+'Coastal States'!C28+'Confed Life (CLIC)'!C28+'Consolidated National'!C28+'Consumers Mutual'!C28+'Consumers United'!C28+'Corporate Life'!C28+'Diamond Benefits'!C28+'EBL Life'!C28+'Family Guaranty'!C28+'Fidelity Bankers'!C28+'First Natl'!C28+'Franklin American'!C28+'Franklin Protective'!C28+'George Washington'!C28+'Golden State'!C28+'Guarantee Security'!C28+Imerica!C28+'Inter-American'!C28+'International Fin'!C28+'Investment Life of America'!C28+'Investors Equity'!C28+'Kentucky Central'!C28+Legion!C28+'London Pac'!C28+'Medical Savings'!C28+'Midwest Life'!C28+'Mutual Benefit'!C28+'Mutual Security'!C28+'National Affiliated'!C28+'Natl American'!C28+'National Heritage'!C28+'New Jersey Life'!C28+'Old Colony Life'!C28+'Old Faithful'!C28+'Pacific Standard'!C28+'Red Rock'!C28+SeeChange!C28+'States General'!C28+Statesman!C28+'Summit National'!C28+Supreme!C28+Underwriters!C28+Unison!C28+'United Republic'!C28+Universe!C28+Villanova!C28</f>
        <v>41921991.696367666</v>
      </c>
      <c r="D28" s="1">
        <f>+'Alabama Life'!D28+'American Chambers'!D28+'American Educators'!D28+'American Integrity'!D28+'Amer Life Asr'!D28+'American Medical'!D28+'Amer Std Life Acc'!D28+AmerWstrn!D28+'AMS Life'!D28+'Andrew Jackson'!D28+'Bankers Commercial'!D28+Benicorp!D28+Centennial!D28+'Coastal States'!D28+'Confed Life (CLIC)'!D28+'Consolidated National'!D28+'Consumers Mutual'!D28+'Consumers United'!D28+'Corporate Life'!D28+'Diamond Benefits'!D28+'EBL Life'!D28+'Family Guaranty'!D28+'Fidelity Bankers'!D28+'First Natl'!D28+'Franklin American'!D28+'Franklin Protective'!D28+'George Washington'!D28+'Golden State'!D28+'Guarantee Security'!D28+Imerica!D28+'Inter-American'!D28+'International Fin'!D28+'Investment Life of America'!D28+'Investors Equity'!D28+'Kentucky Central'!D28+Legion!D28+'London Pac'!D28+'Medical Savings'!D28+'Midwest Life'!D28+'Mutual Benefit'!D28+'Mutual Security'!D28+'National Affiliated'!D28+'Natl American'!D28+'National Heritage'!D28+'New Jersey Life'!D28+'Old Colony Life'!D28+'Old Faithful'!D28+'Pacific Standard'!D28+'Red Rock'!D28+SeeChange!D28+'States General'!D28+Statesman!D28+'Summit National'!D28+Supreme!D28+Underwriters!D28+Unison!D28+'United Republic'!D28+Universe!D28+Villanova!D28</f>
        <v>5621274.4385286318</v>
      </c>
      <c r="E28" s="1">
        <f>+'Alabama Life'!E28+'American Chambers'!E28+'American Educators'!E28+'American Integrity'!E28+'Amer Life Asr'!E28+'American Medical'!E28+'Amer Std Life Acc'!E28+AmerWstrn!E28+'AMS Life'!E28+'Andrew Jackson'!E28+'Bankers Commercial'!E28+Benicorp!E28+Centennial!E28+'Coastal States'!E28+'Confed Life (CLIC)'!E28+'Consolidated National'!E28+'Consumers Mutual'!E28+'Consumers United'!E28+'Corporate Life'!E28+'Diamond Benefits'!E28+'EBL Life'!E28+'Family Guaranty'!E28+'Fidelity Bankers'!E28+'First Natl'!E28+'Franklin American'!E28+'Franklin Protective'!E28+'George Washington'!E28+'Golden State'!E28+'Guarantee Security'!E28+Imerica!E28+'Inter-American'!E28+'International Fin'!E28+'Investment Life of America'!E28+'Investors Equity'!E28+'Kentucky Central'!E28+Legion!E28+'London Pac'!E28+'Medical Savings'!E28+'Midwest Life'!E28+'Mutual Benefit'!E28+'Mutual Security'!E28+'National Affiliated'!E28+'Natl American'!E28+'National Heritage'!E28+'New Jersey Life'!E28+'Old Colony Life'!E28+'Old Faithful'!E28+'Pacific Standard'!E28+'Red Rock'!E28+SeeChange!E28+'States General'!E28+Statesman!E28+'Summit National'!E28+Supreme!E28+Underwriters!E28+Unison!E28+'United Republic'!E28+Universe!E28+Villanova!E28</f>
        <v>3372843.4317399804</v>
      </c>
      <c r="F28" s="1">
        <f>+'Alabama Life'!F28+'American Chambers'!F28+'American Educators'!F28+'American Integrity'!F28+'Amer Life Asr'!F28+'American Medical'!F28+'Amer Std Life Acc'!F28+AmerWstrn!F28+'AMS Life'!F28+'Andrew Jackson'!F28+'Bankers Commercial'!F28+Benicorp!F28+Centennial!F28+'Coastal States'!F28+'Confed Life (CLIC)'!F28+'Consolidated National'!F28+'Consumers Mutual'!F28+'Consumers United'!F28+'Corporate Life'!F28+'Diamond Benefits'!F28+'EBL Life'!F28+'Family Guaranty'!F28+'Fidelity Bankers'!F28+'First Natl'!F28+'Franklin American'!F28+'Franklin Protective'!F28+'George Washington'!F28+'Golden State'!F28+'Guarantee Security'!F28+Imerica!F28+'Inter-American'!F28+'International Fin'!F28+'Investment Life of America'!F28+'Investors Equity'!F28+'Kentucky Central'!F28+Legion!F28+'London Pac'!F28+'Medical Savings'!F28+'Midwest Life'!F28+'Mutual Benefit'!F28+'Mutual Security'!F28+'National Affiliated'!F28+'Natl American'!F28+'National Heritage'!F28+'New Jersey Life'!F28+'Old Colony Life'!F28+'Old Faithful'!F28+'Pacific Standard'!F28+'Red Rock'!F28+SeeChange!F28+'States General'!F28+Statesman!F28+'Summit National'!F28+Supreme!F28+Underwriters!F28+Unison!F28+'United Republic'!F28+Universe!F28+Villanova!F28</f>
        <v>0</v>
      </c>
      <c r="G28" s="1">
        <f t="shared" si="0"/>
        <v>61113082.028942674</v>
      </c>
      <c r="H28" s="1">
        <f>+'Alabama Life'!G28+'American Chambers'!G28+'American Educators'!G28+'American Integrity'!G28+'Amer Life Asr'!G28+'American Medical'!G28+'Amer Std Life Acc'!G28+AmerWstrn!G28+'AMS Life'!G28+'Andrew Jackson'!G28+'Bankers Commercial'!G28+Benicorp!G28+Centennial!G28+'Coastal States'!G28+'Confed Life (CLIC)'!G28+'Consolidated National'!G28+'Consumers Mutual'!G28+'Consumers United'!G28+'Corporate Life'!G28+'Diamond Benefits'!G28+'EBL Life'!G28+'Family Guaranty'!G28+'Fidelity Bankers'!G28+'First Natl'!G28+'Franklin American'!G28+'Franklin Protective'!G28+'George Washington'!G28+'Golden State'!G28+'Guarantee Security'!G28+Imerica!G28+'Inter-American'!G28+'International Fin'!G28+'Investment Life of America'!G28+'Investors Equity'!G28+'Kentucky Central'!G28+Legion!G28+'London Pac'!G28+'Medical Savings'!G28+'Midwest Life'!G28+'Mutual Benefit'!G28+'Mutual Security'!G28+'National Affiliated'!G28+'Natl American'!G28+'National Heritage'!G28+'New Jersey Life'!G28+'Old Colony Life'!G28+'Old Faithful'!G28+'Pacific Standard'!G28+'Red Rock'!G28+SeeChange!G28+'States General'!G28+Statesman!G28+'Summit National'!G28+Supreme!G28+Underwriters!G28+Unison!G28+'United Republic'!G28+Universe!G28+Villanova!G28</f>
        <v>61113082.028942667</v>
      </c>
      <c r="I28" s="1">
        <f t="shared" si="1"/>
        <v>0</v>
      </c>
      <c r="K28" s="1" t="s">
        <v>469</v>
      </c>
      <c r="L28" s="1">
        <f>Summary!TOTAL_63266</f>
        <v>14440461.450000001</v>
      </c>
    </row>
    <row r="29" spans="1:12">
      <c r="A29" s="1" t="s">
        <v>50</v>
      </c>
      <c r="B29" s="1">
        <f>+'Alabama Life'!B29+'American Chambers'!B29+'American Educators'!B29+'American Integrity'!B29+'Amer Life Asr'!B29+'American Medical'!B29+'Amer Std Life Acc'!B29+AmerWstrn!B29+'AMS Life'!B29+'Andrew Jackson'!B29+'Bankers Commercial'!B29+Benicorp!B29+Centennial!B29+'Coastal States'!B29+'Confed Life (CLIC)'!B29+'Consolidated National'!B29+'Consumers Mutual'!B29+'Consumers United'!B29+'Corporate Life'!B29+'Diamond Benefits'!B29+'EBL Life'!B29+'Family Guaranty'!B29+'Fidelity Bankers'!B29+'First Natl'!B29+'Franklin American'!B29+'Franklin Protective'!B29+'George Washington'!B29+'Golden State'!B29+'Guarantee Security'!B29+Imerica!B29+'Inter-American'!B29+'International Fin'!B29+'Investment Life of America'!B29+'Investors Equity'!B29+'Kentucky Central'!B29+Legion!B29+'London Pac'!B29+'Medical Savings'!B29+'Midwest Life'!B29+'Mutual Benefit'!B29+'Mutual Security'!B29+'National Affiliated'!B29+'Natl American'!B29+'National Heritage'!B29+'New Jersey Life'!B29+'Old Colony Life'!B29+'Old Faithful'!B29+'Pacific Standard'!B29+'Red Rock'!B29+SeeChange!B29+'States General'!B29+Statesman!B29+'Summit National'!B29+Supreme!B29+Underwriters!B29+Unison!B29+'United Republic'!B29+Universe!B29+Villanova!B29</f>
        <v>2755060.0196639765</v>
      </c>
      <c r="C29" s="1">
        <f>+'Alabama Life'!C29+'American Chambers'!C29+'American Educators'!C29+'American Integrity'!C29+'Amer Life Asr'!C29+'American Medical'!C29+'Amer Std Life Acc'!C29+AmerWstrn!C29+'AMS Life'!C29+'Andrew Jackson'!C29+'Bankers Commercial'!C29+Benicorp!C29+Centennial!C29+'Coastal States'!C29+'Confed Life (CLIC)'!C29+'Consolidated National'!C29+'Consumers Mutual'!C29+'Consumers United'!C29+'Corporate Life'!C29+'Diamond Benefits'!C29+'EBL Life'!C29+'Family Guaranty'!C29+'Fidelity Bankers'!C29+'First Natl'!C29+'Franklin American'!C29+'Franklin Protective'!C29+'George Washington'!C29+'Golden State'!C29+'Guarantee Security'!C29+Imerica!C29+'Inter-American'!C29+'International Fin'!C29+'Investment Life of America'!C29+'Investors Equity'!C29+'Kentucky Central'!C29+Legion!C29+'London Pac'!C29+'Medical Savings'!C29+'Midwest Life'!C29+'Mutual Benefit'!C29+'Mutual Security'!C29+'National Affiliated'!C29+'Natl American'!C29+'National Heritage'!C29+'New Jersey Life'!C29+'Old Colony Life'!C29+'Old Faithful'!C29+'Pacific Standard'!C29+'Red Rock'!C29+SeeChange!C29+'States General'!C29+Statesman!C29+'Summit National'!C29+Supreme!C29+Underwriters!C29+Unison!C29+'United Republic'!C29+Universe!C29+Villanova!C29</f>
        <v>23326827.631874789</v>
      </c>
      <c r="D29" s="1">
        <f>+'Alabama Life'!D29+'American Chambers'!D29+'American Educators'!D29+'American Integrity'!D29+'Amer Life Asr'!D29+'American Medical'!D29+'Amer Std Life Acc'!D29+AmerWstrn!D29+'AMS Life'!D29+'Andrew Jackson'!D29+'Bankers Commercial'!D29+Benicorp!D29+Centennial!D29+'Coastal States'!D29+'Confed Life (CLIC)'!D29+'Consolidated National'!D29+'Consumers Mutual'!D29+'Consumers United'!D29+'Corporate Life'!D29+'Diamond Benefits'!D29+'EBL Life'!D29+'Family Guaranty'!D29+'Fidelity Bankers'!D29+'First Natl'!D29+'Franklin American'!D29+'Franklin Protective'!D29+'George Washington'!D29+'Golden State'!D29+'Guarantee Security'!D29+Imerica!D29+'Inter-American'!D29+'International Fin'!D29+'Investment Life of America'!D29+'Investors Equity'!D29+'Kentucky Central'!D29+Legion!D29+'London Pac'!D29+'Medical Savings'!D29+'Midwest Life'!D29+'Mutual Benefit'!D29+'Mutual Security'!D29+'National Affiliated'!D29+'Natl American'!D29+'National Heritage'!D29+'New Jersey Life'!D29+'Old Colony Life'!D29+'Old Faithful'!D29+'Pacific Standard'!D29+'Red Rock'!D29+SeeChange!D29+'States General'!D29+Statesman!D29+'Summit National'!D29+Supreme!D29+Underwriters!D29+Unison!D29+'United Republic'!D29+Universe!D29+Villanova!D29</f>
        <v>258277.14964444155</v>
      </c>
      <c r="E29" s="1">
        <f>+'Alabama Life'!E29+'American Chambers'!E29+'American Educators'!E29+'American Integrity'!E29+'Amer Life Asr'!E29+'American Medical'!E29+'Amer Std Life Acc'!E29+AmerWstrn!E29+'AMS Life'!E29+'Andrew Jackson'!E29+'Bankers Commercial'!E29+Benicorp!E29+Centennial!E29+'Coastal States'!E29+'Confed Life (CLIC)'!E29+'Consolidated National'!E29+'Consumers Mutual'!E29+'Consumers United'!E29+'Corporate Life'!E29+'Diamond Benefits'!E29+'EBL Life'!E29+'Family Guaranty'!E29+'Fidelity Bankers'!E29+'First Natl'!E29+'Franklin American'!E29+'Franklin Protective'!E29+'George Washington'!E29+'Golden State'!E29+'Guarantee Security'!E29+Imerica!E29+'Inter-American'!E29+'International Fin'!E29+'Investment Life of America'!E29+'Investors Equity'!E29+'Kentucky Central'!E29+Legion!E29+'London Pac'!E29+'Medical Savings'!E29+'Midwest Life'!E29+'Mutual Benefit'!E29+'Mutual Security'!E29+'National Affiliated'!E29+'Natl American'!E29+'National Heritage'!E29+'New Jersey Life'!E29+'Old Colony Life'!E29+'Old Faithful'!E29+'Pacific Standard'!E29+'Red Rock'!E29+SeeChange!E29+'States General'!E29+Statesman!E29+'Summit National'!E29+Supreme!E29+Underwriters!E29+Unison!E29+'United Republic'!E29+Universe!E29+Villanova!E29</f>
        <v>2396400.2635905049</v>
      </c>
      <c r="F29" s="1">
        <f>+'Alabama Life'!F29+'American Chambers'!F29+'American Educators'!F29+'American Integrity'!F29+'Amer Life Asr'!F29+'American Medical'!F29+'Amer Std Life Acc'!F29+AmerWstrn!F29+'AMS Life'!F29+'Andrew Jackson'!F29+'Bankers Commercial'!F29+Benicorp!F29+Centennial!F29+'Coastal States'!F29+'Confed Life (CLIC)'!F29+'Consolidated National'!F29+'Consumers Mutual'!F29+'Consumers United'!F29+'Corporate Life'!F29+'Diamond Benefits'!F29+'EBL Life'!F29+'Family Guaranty'!F29+'Fidelity Bankers'!F29+'First Natl'!F29+'Franklin American'!F29+'Franklin Protective'!F29+'George Washington'!F29+'Golden State'!F29+'Guarantee Security'!F29+Imerica!F29+'Inter-American'!F29+'International Fin'!F29+'Investment Life of America'!F29+'Investors Equity'!F29+'Kentucky Central'!F29+Legion!F29+'London Pac'!F29+'Medical Savings'!F29+'Midwest Life'!F29+'Mutual Benefit'!F29+'Mutual Security'!F29+'National Affiliated'!F29+'Natl American'!F29+'National Heritage'!F29+'New Jersey Life'!F29+'Old Colony Life'!F29+'Old Faithful'!F29+'Pacific Standard'!F29+'Red Rock'!F29+SeeChange!F29+'States General'!F29+Statesman!F29+'Summit National'!F29+Supreme!F29+Underwriters!F29+Unison!F29+'United Republic'!F29+Universe!F29+Villanova!F29</f>
        <v>0</v>
      </c>
      <c r="G29" s="1">
        <f t="shared" si="0"/>
        <v>28736565.064773712</v>
      </c>
      <c r="H29" s="1">
        <f>+'Alabama Life'!G29+'American Chambers'!G29+'American Educators'!G29+'American Integrity'!G29+'Amer Life Asr'!G29+'American Medical'!G29+'Amer Std Life Acc'!G29+AmerWstrn!G29+'AMS Life'!G29+'Andrew Jackson'!G29+'Bankers Commercial'!G29+Benicorp!G29+Centennial!G29+'Coastal States'!G29+'Confed Life (CLIC)'!G29+'Consolidated National'!G29+'Consumers Mutual'!G29+'Consumers United'!G29+'Corporate Life'!G29+'Diamond Benefits'!G29+'EBL Life'!G29+'Family Guaranty'!G29+'Fidelity Bankers'!G29+'First Natl'!G29+'Franklin American'!G29+'Franklin Protective'!G29+'George Washington'!G29+'Golden State'!G29+'Guarantee Security'!G29+Imerica!G29+'Inter-American'!G29+'International Fin'!G29+'Investment Life of America'!G29+'Investors Equity'!G29+'Kentucky Central'!G29+Legion!G29+'London Pac'!G29+'Medical Savings'!G29+'Midwest Life'!G29+'Mutual Benefit'!G29+'Mutual Security'!G29+'National Affiliated'!G29+'Natl American'!G29+'National Heritage'!G29+'New Jersey Life'!G29+'Old Colony Life'!G29+'Old Faithful'!G29+'Pacific Standard'!G29+'Red Rock'!G29+SeeChange!G29+'States General'!G29+Statesman!G29+'Summit National'!G29+Supreme!G29+Underwriters!G29+Unison!G29+'United Republic'!G29+Universe!G29+Villanova!G29</f>
        <v>28736565.064773709</v>
      </c>
      <c r="I29" s="1">
        <f t="shared" si="1"/>
        <v>0</v>
      </c>
      <c r="K29" s="1" t="s">
        <v>476</v>
      </c>
      <c r="L29" s="1">
        <f>Summary!TOTAL_63517</f>
        <v>226006.55000000005</v>
      </c>
    </row>
    <row r="30" spans="1:12">
      <c r="A30" s="1" t="s">
        <v>51</v>
      </c>
      <c r="B30" s="1">
        <f>+'Alabama Life'!B30+'American Chambers'!B30+'American Educators'!B30+'American Integrity'!B30+'Amer Life Asr'!B30+'American Medical'!B30+'Amer Std Life Acc'!B30+AmerWstrn!B30+'AMS Life'!B30+'Andrew Jackson'!B30+'Bankers Commercial'!B30+Benicorp!B30+Centennial!B30+'Coastal States'!B30+'Confed Life (CLIC)'!B30+'Consolidated National'!B30+'Consumers Mutual'!B30+'Consumers United'!B30+'Corporate Life'!B30+'Diamond Benefits'!B30+'EBL Life'!B30+'Family Guaranty'!B30+'Fidelity Bankers'!B30+'First Natl'!B30+'Franklin American'!B30+'Franklin Protective'!B30+'George Washington'!B30+'Golden State'!B30+'Guarantee Security'!B30+Imerica!B30+'Inter-American'!B30+'International Fin'!B30+'Investment Life of America'!B30+'Investors Equity'!B30+'Kentucky Central'!B30+Legion!B30+'London Pac'!B30+'Medical Savings'!B30+'Midwest Life'!B30+'Mutual Benefit'!B30+'Mutual Security'!B30+'National Affiliated'!B30+'Natl American'!B30+'National Heritage'!B30+'New Jersey Life'!B30+'Old Colony Life'!B30+'Old Faithful'!B30+'Pacific Standard'!B30+'Red Rock'!B30+SeeChange!B30+'States General'!B30+Statesman!B30+'Summit National'!B30+Supreme!B30+Underwriters!B30+Unison!B30+'United Republic'!B30+Universe!B30+Villanova!B30</f>
        <v>38893098.458328068</v>
      </c>
      <c r="C30" s="1">
        <f>+'Alabama Life'!C30+'American Chambers'!C30+'American Educators'!C30+'American Integrity'!C30+'Amer Life Asr'!C30+'American Medical'!C30+'Amer Std Life Acc'!C30+AmerWstrn!C30+'AMS Life'!C30+'Andrew Jackson'!C30+'Bankers Commercial'!C30+Benicorp!C30+Centennial!C30+'Coastal States'!C30+'Confed Life (CLIC)'!C30+'Consolidated National'!C30+'Consumers Mutual'!C30+'Consumers United'!C30+'Corporate Life'!C30+'Diamond Benefits'!C30+'EBL Life'!C30+'Family Guaranty'!C30+'Fidelity Bankers'!C30+'First Natl'!C30+'Franklin American'!C30+'Franklin Protective'!C30+'George Washington'!C30+'Golden State'!C30+'Guarantee Security'!C30+Imerica!C30+'Inter-American'!C30+'International Fin'!C30+'Investment Life of America'!C30+'Investors Equity'!C30+'Kentucky Central'!C30+Legion!C30+'London Pac'!C30+'Medical Savings'!C30+'Midwest Life'!C30+'Mutual Benefit'!C30+'Mutual Security'!C30+'National Affiliated'!C30+'Natl American'!C30+'National Heritage'!C30+'New Jersey Life'!C30+'Old Colony Life'!C30+'Old Faithful'!C30+'Pacific Standard'!C30+'Red Rock'!C30+SeeChange!C30+'States General'!C30+Statesman!C30+'Summit National'!C30+Supreme!C30+Underwriters!C30+Unison!C30+'United Republic'!C30+Universe!C30+Villanova!C30</f>
        <v>9998931.3213627767</v>
      </c>
      <c r="D30" s="1">
        <f>+'Alabama Life'!D30+'American Chambers'!D30+'American Educators'!D30+'American Integrity'!D30+'Amer Life Asr'!D30+'American Medical'!D30+'Amer Std Life Acc'!D30+AmerWstrn!D30+'AMS Life'!D30+'Andrew Jackson'!D30+'Bankers Commercial'!D30+Benicorp!D30+Centennial!D30+'Coastal States'!D30+'Confed Life (CLIC)'!D30+'Consolidated National'!D30+'Consumers Mutual'!D30+'Consumers United'!D30+'Corporate Life'!D30+'Diamond Benefits'!D30+'EBL Life'!D30+'Family Guaranty'!D30+'Fidelity Bankers'!D30+'First Natl'!D30+'Franklin American'!D30+'Franklin Protective'!D30+'George Washington'!D30+'Golden State'!D30+'Guarantee Security'!D30+Imerica!D30+'Inter-American'!D30+'International Fin'!D30+'Investment Life of America'!D30+'Investors Equity'!D30+'Kentucky Central'!D30+Legion!D30+'London Pac'!D30+'Medical Savings'!D30+'Midwest Life'!D30+'Mutual Benefit'!D30+'Mutual Security'!D30+'National Affiliated'!D30+'Natl American'!D30+'National Heritage'!D30+'New Jersey Life'!D30+'Old Colony Life'!D30+'Old Faithful'!D30+'Pacific Standard'!D30+'Red Rock'!D30+SeeChange!D30+'States General'!D30+Statesman!D30+'Summit National'!D30+Supreme!D30+Underwriters!D30+Unison!D30+'United Republic'!D30+Universe!D30+Villanova!D30</f>
        <v>5783458.9204383772</v>
      </c>
      <c r="E30" s="1">
        <f>+'Alabama Life'!E30+'American Chambers'!E30+'American Educators'!E30+'American Integrity'!E30+'Amer Life Asr'!E30+'American Medical'!E30+'Amer Std Life Acc'!E30+AmerWstrn!E30+'AMS Life'!E30+'Andrew Jackson'!E30+'Bankers Commercial'!E30+Benicorp!E30+Centennial!E30+'Coastal States'!E30+'Confed Life (CLIC)'!E30+'Consolidated National'!E30+'Consumers Mutual'!E30+'Consumers United'!E30+'Corporate Life'!E30+'Diamond Benefits'!E30+'EBL Life'!E30+'Family Guaranty'!E30+'Fidelity Bankers'!E30+'First Natl'!E30+'Franklin American'!E30+'Franklin Protective'!E30+'George Washington'!E30+'Golden State'!E30+'Guarantee Security'!E30+Imerica!E30+'Inter-American'!E30+'International Fin'!E30+'Investment Life of America'!E30+'Investors Equity'!E30+'Kentucky Central'!E30+Legion!E30+'London Pac'!E30+'Medical Savings'!E30+'Midwest Life'!E30+'Mutual Benefit'!E30+'Mutual Security'!E30+'National Affiliated'!E30+'Natl American'!E30+'National Heritage'!E30+'New Jersey Life'!E30+'Old Colony Life'!E30+'Old Faithful'!E30+'Pacific Standard'!E30+'Red Rock'!E30+SeeChange!E30+'States General'!E30+Statesman!E30+'Summit National'!E30+Supreme!E30+Underwriters!E30+Unison!E30+'United Republic'!E30+Universe!E30+Villanova!E30</f>
        <v>-97.333197792177089</v>
      </c>
      <c r="F30" s="1">
        <f>+'Alabama Life'!F30+'American Chambers'!F30+'American Educators'!F30+'American Integrity'!F30+'Amer Life Asr'!F30+'American Medical'!F30+'Amer Std Life Acc'!F30+AmerWstrn!F30+'AMS Life'!F30+'Andrew Jackson'!F30+'Bankers Commercial'!F30+Benicorp!F30+Centennial!F30+'Coastal States'!F30+'Confed Life (CLIC)'!F30+'Consolidated National'!F30+'Consumers Mutual'!F30+'Consumers United'!F30+'Corporate Life'!F30+'Diamond Benefits'!F30+'EBL Life'!F30+'Family Guaranty'!F30+'Fidelity Bankers'!F30+'First Natl'!F30+'Franklin American'!F30+'Franklin Protective'!F30+'George Washington'!F30+'Golden State'!F30+'Guarantee Security'!F30+Imerica!F30+'Inter-American'!F30+'International Fin'!F30+'Investment Life of America'!F30+'Investors Equity'!F30+'Kentucky Central'!F30+Legion!F30+'London Pac'!F30+'Medical Savings'!F30+'Midwest Life'!F30+'Mutual Benefit'!F30+'Mutual Security'!F30+'National Affiliated'!F30+'Natl American'!F30+'National Heritage'!F30+'New Jersey Life'!F30+'Old Colony Life'!F30+'Old Faithful'!F30+'Pacific Standard'!F30+'Red Rock'!F30+SeeChange!F30+'States General'!F30+Statesman!F30+'Summit National'!F30+Supreme!F30+Underwriters!F30+Unison!F30+'United Republic'!F30+Universe!F30+Villanova!F30</f>
        <v>0</v>
      </c>
      <c r="G30" s="1">
        <f t="shared" si="0"/>
        <v>54675391.366931431</v>
      </c>
      <c r="H30" s="1">
        <f>+'Alabama Life'!G30+'American Chambers'!G30+'American Educators'!G30+'American Integrity'!G30+'Amer Life Asr'!G30+'American Medical'!G30+'Amer Std Life Acc'!G30+AmerWstrn!G30+'AMS Life'!G30+'Andrew Jackson'!G30+'Bankers Commercial'!G30+Benicorp!G30+Centennial!G30+'Coastal States'!G30+'Confed Life (CLIC)'!G30+'Consolidated National'!G30+'Consumers Mutual'!G30+'Consumers United'!G30+'Corporate Life'!G30+'Diamond Benefits'!G30+'EBL Life'!G30+'Family Guaranty'!G30+'Fidelity Bankers'!G30+'First Natl'!G30+'Franklin American'!G30+'Franklin Protective'!G30+'George Washington'!G30+'Golden State'!G30+'Guarantee Security'!G30+Imerica!G30+'Inter-American'!G30+'International Fin'!G30+'Investment Life of America'!G30+'Investors Equity'!G30+'Kentucky Central'!G30+Legion!G30+'London Pac'!G30+'Medical Savings'!G30+'Midwest Life'!G30+'Mutual Benefit'!G30+'Mutual Security'!G30+'National Affiliated'!G30+'Natl American'!G30+'National Heritage'!G30+'New Jersey Life'!G30+'Old Colony Life'!G30+'Old Faithful'!G30+'Pacific Standard'!G30+'Red Rock'!G30+SeeChange!G30+'States General'!G30+Statesman!G30+'Summit National'!G30+Supreme!G30+Underwriters!G30+Unison!G30+'United Republic'!G30+Universe!G30+Villanova!G30</f>
        <v>54675391.366931438</v>
      </c>
      <c r="I30" s="1">
        <f t="shared" si="1"/>
        <v>0</v>
      </c>
      <c r="K30" s="1" t="s">
        <v>481</v>
      </c>
      <c r="L30" s="1">
        <f>Summary!TOTAL_68489</f>
        <v>473627.79736712511</v>
      </c>
    </row>
    <row r="31" spans="1:12">
      <c r="A31" s="1" t="s">
        <v>52</v>
      </c>
      <c r="B31" s="1">
        <f>+'Alabama Life'!B31+'American Chambers'!B31+'American Educators'!B31+'American Integrity'!B31+'Amer Life Asr'!B31+'American Medical'!B31+'Amer Std Life Acc'!B31+AmerWstrn!B31+'AMS Life'!B31+'Andrew Jackson'!B31+'Bankers Commercial'!B31+Benicorp!B31+Centennial!B31+'Coastal States'!B31+'Confed Life (CLIC)'!B31+'Consolidated National'!B31+'Consumers Mutual'!B31+'Consumers United'!B31+'Corporate Life'!B31+'Diamond Benefits'!B31+'EBL Life'!B31+'Family Guaranty'!B31+'Fidelity Bankers'!B31+'First Natl'!B31+'Franklin American'!B31+'Franklin Protective'!B31+'George Washington'!B31+'Golden State'!B31+'Guarantee Security'!B31+Imerica!B31+'Inter-American'!B31+'International Fin'!B31+'Investment Life of America'!B31+'Investors Equity'!B31+'Kentucky Central'!B31+Legion!B31+'London Pac'!B31+'Medical Savings'!B31+'Midwest Life'!B31+'Mutual Benefit'!B31+'Mutual Security'!B31+'National Affiliated'!B31+'Natl American'!B31+'National Heritage'!B31+'New Jersey Life'!B31+'Old Colony Life'!B31+'Old Faithful'!B31+'Pacific Standard'!B31+'Red Rock'!B31+SeeChange!B31+'States General'!B31+Statesman!B31+'Summit National'!B31+Supreme!B31+Underwriters!B31+Unison!B31+'United Republic'!B31+Universe!B31+Villanova!B31</f>
        <v>2691504.8736298415</v>
      </c>
      <c r="C31" s="1">
        <f>+'Alabama Life'!C31+'American Chambers'!C31+'American Educators'!C31+'American Integrity'!C31+'Amer Life Asr'!C31+'American Medical'!C31+'Amer Std Life Acc'!C31+AmerWstrn!C31+'AMS Life'!C31+'Andrew Jackson'!C31+'Bankers Commercial'!C31+Benicorp!C31+Centennial!C31+'Coastal States'!C31+'Confed Life (CLIC)'!C31+'Consolidated National'!C31+'Consumers Mutual'!C31+'Consumers United'!C31+'Corporate Life'!C31+'Diamond Benefits'!C31+'EBL Life'!C31+'Family Guaranty'!C31+'Fidelity Bankers'!C31+'First Natl'!C31+'Franklin American'!C31+'Franklin Protective'!C31+'George Washington'!C31+'Golden State'!C31+'Guarantee Security'!C31+Imerica!C31+'Inter-American'!C31+'International Fin'!C31+'Investment Life of America'!C31+'Investors Equity'!C31+'Kentucky Central'!C31+Legion!C31+'London Pac'!C31+'Medical Savings'!C31+'Midwest Life'!C31+'Mutual Benefit'!C31+'Mutual Security'!C31+'National Affiliated'!C31+'Natl American'!C31+'National Heritage'!C31+'New Jersey Life'!C31+'Old Colony Life'!C31+'Old Faithful'!C31+'Pacific Standard'!C31+'Red Rock'!C31+SeeChange!C31+'States General'!C31+Statesman!C31+'Summit National'!C31+Supreme!C31+Underwriters!C31+Unison!C31+'United Republic'!C31+Universe!C31+Villanova!C31</f>
        <v>8964203.9151122663</v>
      </c>
      <c r="D31" s="1">
        <f>+'Alabama Life'!D31+'American Chambers'!D31+'American Educators'!D31+'American Integrity'!D31+'Amer Life Asr'!D31+'American Medical'!D31+'Amer Std Life Acc'!D31+AmerWstrn!D31+'AMS Life'!D31+'Andrew Jackson'!D31+'Bankers Commercial'!D31+Benicorp!D31+Centennial!D31+'Coastal States'!D31+'Confed Life (CLIC)'!D31+'Consolidated National'!D31+'Consumers Mutual'!D31+'Consumers United'!D31+'Corporate Life'!D31+'Diamond Benefits'!D31+'EBL Life'!D31+'Family Guaranty'!D31+'Fidelity Bankers'!D31+'First Natl'!D31+'Franklin American'!D31+'Franklin Protective'!D31+'George Washington'!D31+'Golden State'!D31+'Guarantee Security'!D31+Imerica!D31+'Inter-American'!D31+'International Fin'!D31+'Investment Life of America'!D31+'Investors Equity'!D31+'Kentucky Central'!D31+Legion!D31+'London Pac'!D31+'Medical Savings'!D31+'Midwest Life'!D31+'Mutual Benefit'!D31+'Mutual Security'!D31+'National Affiliated'!D31+'Natl American'!D31+'National Heritage'!D31+'New Jersey Life'!D31+'Old Colony Life'!D31+'Old Faithful'!D31+'Pacific Standard'!D31+'Red Rock'!D31+SeeChange!D31+'States General'!D31+Statesman!D31+'Summit National'!D31+Supreme!D31+Underwriters!D31+Unison!D31+'United Republic'!D31+Universe!D31+Villanova!D31</f>
        <v>6020642.5373447798</v>
      </c>
      <c r="E31" s="1">
        <f>+'Alabama Life'!E31+'American Chambers'!E31+'American Educators'!E31+'American Integrity'!E31+'Amer Life Asr'!E31+'American Medical'!E31+'Amer Std Life Acc'!E31+AmerWstrn!E31+'AMS Life'!E31+'Andrew Jackson'!E31+'Bankers Commercial'!E31+Benicorp!E31+Centennial!E31+'Coastal States'!E31+'Confed Life (CLIC)'!E31+'Consolidated National'!E31+'Consumers Mutual'!E31+'Consumers United'!E31+'Corporate Life'!E31+'Diamond Benefits'!E31+'EBL Life'!E31+'Family Guaranty'!E31+'Fidelity Bankers'!E31+'First Natl'!E31+'Franklin American'!E31+'Franklin Protective'!E31+'George Washington'!E31+'Golden State'!E31+'Guarantee Security'!E31+Imerica!E31+'Inter-American'!E31+'International Fin'!E31+'Investment Life of America'!E31+'Investors Equity'!E31+'Kentucky Central'!E31+Legion!E31+'London Pac'!E31+'Medical Savings'!E31+'Midwest Life'!E31+'Mutual Benefit'!E31+'Mutual Security'!E31+'National Affiliated'!E31+'Natl American'!E31+'National Heritage'!E31+'New Jersey Life'!E31+'Old Colony Life'!E31+'Old Faithful'!E31+'Pacific Standard'!E31+'Red Rock'!E31+SeeChange!E31+'States General'!E31+Statesman!E31+'Summit National'!E31+Supreme!E31+Underwriters!E31+Unison!E31+'United Republic'!E31+Universe!E31+Villanova!E31</f>
        <v>27443.965790575112</v>
      </c>
      <c r="F31" s="1">
        <f>+'Alabama Life'!F31+'American Chambers'!F31+'American Educators'!F31+'American Integrity'!F31+'Amer Life Asr'!F31+'American Medical'!F31+'Amer Std Life Acc'!F31+AmerWstrn!F31+'AMS Life'!F31+'Andrew Jackson'!F31+'Bankers Commercial'!F31+Benicorp!F31+Centennial!F31+'Coastal States'!F31+'Confed Life (CLIC)'!F31+'Consolidated National'!F31+'Consumers Mutual'!F31+'Consumers United'!F31+'Corporate Life'!F31+'Diamond Benefits'!F31+'EBL Life'!F31+'Family Guaranty'!F31+'Fidelity Bankers'!F31+'First Natl'!F31+'Franklin American'!F31+'Franklin Protective'!F31+'George Washington'!F31+'Golden State'!F31+'Guarantee Security'!F31+Imerica!F31+'Inter-American'!F31+'International Fin'!F31+'Investment Life of America'!F31+'Investors Equity'!F31+'Kentucky Central'!F31+Legion!F31+'London Pac'!F31+'Medical Savings'!F31+'Midwest Life'!F31+'Mutual Benefit'!F31+'Mutual Security'!F31+'National Affiliated'!F31+'Natl American'!F31+'National Heritage'!F31+'New Jersey Life'!F31+'Old Colony Life'!F31+'Old Faithful'!F31+'Pacific Standard'!F31+'Red Rock'!F31+SeeChange!F31+'States General'!F31+Statesman!F31+'Summit National'!F31+Supreme!F31+Underwriters!F31+Unison!F31+'United Republic'!F31+Universe!F31+Villanova!F31</f>
        <v>0</v>
      </c>
      <c r="G31" s="1">
        <f t="shared" si="0"/>
        <v>17703795.29187746</v>
      </c>
      <c r="H31" s="1">
        <f>+'Alabama Life'!G31+'American Chambers'!G31+'American Educators'!G31+'American Integrity'!G31+'Amer Life Asr'!G31+'American Medical'!G31+'Amer Std Life Acc'!G31+AmerWstrn!G31+'AMS Life'!G31+'Andrew Jackson'!G31+'Bankers Commercial'!G31+Benicorp!G31+Centennial!G31+'Coastal States'!G31+'Confed Life (CLIC)'!G31+'Consolidated National'!G31+'Consumers Mutual'!G31+'Consumers United'!G31+'Corporate Life'!G31+'Diamond Benefits'!G31+'EBL Life'!G31+'Family Guaranty'!G31+'Fidelity Bankers'!G31+'First Natl'!G31+'Franklin American'!G31+'Franklin Protective'!G31+'George Washington'!G31+'Golden State'!G31+'Guarantee Security'!G31+Imerica!G31+'Inter-American'!G31+'International Fin'!G31+'Investment Life of America'!G31+'Investors Equity'!G31+'Kentucky Central'!G31+Legion!G31+'London Pac'!G31+'Medical Savings'!G31+'Midwest Life'!G31+'Mutual Benefit'!G31+'Mutual Security'!G31+'National Affiliated'!G31+'Natl American'!G31+'National Heritage'!G31+'New Jersey Life'!G31+'Old Colony Life'!G31+'Old Faithful'!G31+'Pacific Standard'!G31+'Red Rock'!G31+SeeChange!G31+'States General'!G31+Statesman!G31+'Summit National'!G31+Supreme!G31+Underwriters!G31+Unison!G31+'United Republic'!G31+Universe!G31+Villanova!G31</f>
        <v>17703795.291877467</v>
      </c>
      <c r="I31" s="1">
        <f t="shared" si="1"/>
        <v>0</v>
      </c>
      <c r="K31" s="1" t="s">
        <v>488</v>
      </c>
      <c r="L31" s="1">
        <f>Summary!TOTAL_98655</f>
        <v>12583422.18711181</v>
      </c>
    </row>
    <row r="32" spans="1:12">
      <c r="A32" s="1" t="s">
        <v>53</v>
      </c>
      <c r="B32" s="1">
        <f>+'Alabama Life'!B32+'American Chambers'!B32+'American Educators'!B32+'American Integrity'!B32+'Amer Life Asr'!B32+'American Medical'!B32+'Amer Std Life Acc'!B32+AmerWstrn!B32+'AMS Life'!B32+'Andrew Jackson'!B32+'Bankers Commercial'!B32+Benicorp!B32+Centennial!B32+'Coastal States'!B32+'Confed Life (CLIC)'!B32+'Consolidated National'!B32+'Consumers Mutual'!B32+'Consumers United'!B32+'Corporate Life'!B32+'Diamond Benefits'!B32+'EBL Life'!B32+'Family Guaranty'!B32+'Fidelity Bankers'!B32+'First Natl'!B32+'Franklin American'!B32+'Franklin Protective'!B32+'George Washington'!B32+'Golden State'!B32+'Guarantee Security'!B32+Imerica!B32+'Inter-American'!B32+'International Fin'!B32+'Investment Life of America'!B32+'Investors Equity'!B32+'Kentucky Central'!B32+Legion!B32+'London Pac'!B32+'Medical Savings'!B32+'Midwest Life'!B32+'Mutual Benefit'!B32+'Mutual Security'!B32+'National Affiliated'!B32+'Natl American'!B32+'National Heritage'!B32+'New Jersey Life'!B32+'Old Colony Life'!B32+'Old Faithful'!B32+'Pacific Standard'!B32+'Red Rock'!B32+SeeChange!B32+'States General'!B32+Statesman!B32+'Summit National'!B32+Supreme!B32+Underwriters!B32+Unison!B32+'United Republic'!B32+Universe!B32+Villanova!B32</f>
        <v>719449.9912715432</v>
      </c>
      <c r="C32" s="1">
        <f>+'Alabama Life'!C32+'American Chambers'!C32+'American Educators'!C32+'American Integrity'!C32+'Amer Life Asr'!C32+'American Medical'!C32+'Amer Std Life Acc'!C32+AmerWstrn!C32+'AMS Life'!C32+'Andrew Jackson'!C32+'Bankers Commercial'!C32+Benicorp!C32+Centennial!C32+'Coastal States'!C32+'Confed Life (CLIC)'!C32+'Consolidated National'!C32+'Consumers Mutual'!C32+'Consumers United'!C32+'Corporate Life'!C32+'Diamond Benefits'!C32+'EBL Life'!C32+'Family Guaranty'!C32+'Fidelity Bankers'!C32+'First Natl'!C32+'Franklin American'!C32+'Franklin Protective'!C32+'George Washington'!C32+'Golden State'!C32+'Guarantee Security'!C32+Imerica!C32+'Inter-American'!C32+'International Fin'!C32+'Investment Life of America'!C32+'Investors Equity'!C32+'Kentucky Central'!C32+Legion!C32+'London Pac'!C32+'Medical Savings'!C32+'Midwest Life'!C32+'Mutual Benefit'!C32+'Mutual Security'!C32+'National Affiliated'!C32+'Natl American'!C32+'National Heritage'!C32+'New Jersey Life'!C32+'Old Colony Life'!C32+'Old Faithful'!C32+'Pacific Standard'!C32+'Red Rock'!C32+SeeChange!C32+'States General'!C32+Statesman!C32+'Summit National'!C32+Supreme!C32+Underwriters!C32+Unison!C32+'United Republic'!C32+Universe!C32+Villanova!C32</f>
        <v>2348746.6793222516</v>
      </c>
      <c r="D32" s="1">
        <f>+'Alabama Life'!D32+'American Chambers'!D32+'American Educators'!D32+'American Integrity'!D32+'Amer Life Asr'!D32+'American Medical'!D32+'Amer Std Life Acc'!D32+AmerWstrn!D32+'AMS Life'!D32+'Andrew Jackson'!D32+'Bankers Commercial'!D32+Benicorp!D32+Centennial!D32+'Coastal States'!D32+'Confed Life (CLIC)'!D32+'Consolidated National'!D32+'Consumers Mutual'!D32+'Consumers United'!D32+'Corporate Life'!D32+'Diamond Benefits'!D32+'EBL Life'!D32+'Family Guaranty'!D32+'Fidelity Bankers'!D32+'First Natl'!D32+'Franklin American'!D32+'Franklin Protective'!D32+'George Washington'!D32+'Golden State'!D32+'Guarantee Security'!D32+Imerica!D32+'Inter-American'!D32+'International Fin'!D32+'Investment Life of America'!D32+'Investors Equity'!D32+'Kentucky Central'!D32+Legion!D32+'London Pac'!D32+'Medical Savings'!D32+'Midwest Life'!D32+'Mutual Benefit'!D32+'Mutual Security'!D32+'National Affiliated'!D32+'Natl American'!D32+'National Heritage'!D32+'New Jersey Life'!D32+'Old Colony Life'!D32+'Old Faithful'!D32+'Pacific Standard'!D32+'Red Rock'!D32+SeeChange!D32+'States General'!D32+Statesman!D32+'Summit National'!D32+Supreme!D32+Underwriters!D32+Unison!D32+'United Republic'!D32+Universe!D32+Villanova!D32</f>
        <v>1098473.2581540144</v>
      </c>
      <c r="E32" s="1">
        <f>+'Alabama Life'!E32+'American Chambers'!E32+'American Educators'!E32+'American Integrity'!E32+'Amer Life Asr'!E32+'American Medical'!E32+'Amer Std Life Acc'!E32+AmerWstrn!E32+'AMS Life'!E32+'Andrew Jackson'!E32+'Bankers Commercial'!E32+Benicorp!E32+Centennial!E32+'Coastal States'!E32+'Confed Life (CLIC)'!E32+'Consolidated National'!E32+'Consumers Mutual'!E32+'Consumers United'!E32+'Corporate Life'!E32+'Diamond Benefits'!E32+'EBL Life'!E32+'Family Guaranty'!E32+'Fidelity Bankers'!E32+'First Natl'!E32+'Franklin American'!E32+'Franklin Protective'!E32+'George Washington'!E32+'Golden State'!E32+'Guarantee Security'!E32+Imerica!E32+'Inter-American'!E32+'International Fin'!E32+'Investment Life of America'!E32+'Investors Equity'!E32+'Kentucky Central'!E32+Legion!E32+'London Pac'!E32+'Medical Savings'!E32+'Midwest Life'!E32+'Mutual Benefit'!E32+'Mutual Security'!E32+'National Affiliated'!E32+'Natl American'!E32+'National Heritage'!E32+'New Jersey Life'!E32+'Old Colony Life'!E32+'Old Faithful'!E32+'Pacific Standard'!E32+'Red Rock'!E32+SeeChange!E32+'States General'!E32+Statesman!E32+'Summit National'!E32+Supreme!E32+Underwriters!E32+Unison!E32+'United Republic'!E32+Universe!E32+Villanova!E32</f>
        <v>0</v>
      </c>
      <c r="F32" s="1">
        <f>+'Alabama Life'!F32+'American Chambers'!F32+'American Educators'!F32+'American Integrity'!F32+'Amer Life Asr'!F32+'American Medical'!F32+'Amer Std Life Acc'!F32+AmerWstrn!F32+'AMS Life'!F32+'Andrew Jackson'!F32+'Bankers Commercial'!F32+Benicorp!F32+Centennial!F32+'Coastal States'!F32+'Confed Life (CLIC)'!F32+'Consolidated National'!F32+'Consumers Mutual'!F32+'Consumers United'!F32+'Corporate Life'!F32+'Diamond Benefits'!F32+'EBL Life'!F32+'Family Guaranty'!F32+'Fidelity Bankers'!F32+'First Natl'!F32+'Franklin American'!F32+'Franklin Protective'!F32+'George Washington'!F32+'Golden State'!F32+'Guarantee Security'!F32+Imerica!F32+'Inter-American'!F32+'International Fin'!F32+'Investment Life of America'!F32+'Investors Equity'!F32+'Kentucky Central'!F32+Legion!F32+'London Pac'!F32+'Medical Savings'!F32+'Midwest Life'!F32+'Mutual Benefit'!F32+'Mutual Security'!F32+'National Affiliated'!F32+'Natl American'!F32+'National Heritage'!F32+'New Jersey Life'!F32+'Old Colony Life'!F32+'Old Faithful'!F32+'Pacific Standard'!F32+'Red Rock'!F32+SeeChange!F32+'States General'!F32+Statesman!F32+'Summit National'!F32+Supreme!F32+Underwriters!F32+Unison!F32+'United Republic'!F32+Universe!F32+Villanova!F32</f>
        <v>0</v>
      </c>
      <c r="G32" s="1">
        <f t="shared" si="0"/>
        <v>4166669.9287478095</v>
      </c>
      <c r="H32" s="1">
        <f>+'Alabama Life'!G32+'American Chambers'!G32+'American Educators'!G32+'American Integrity'!G32+'Amer Life Asr'!G32+'American Medical'!G32+'Amer Std Life Acc'!G32+AmerWstrn!G32+'AMS Life'!G32+'Andrew Jackson'!G32+'Bankers Commercial'!G32+Benicorp!G32+Centennial!G32+'Coastal States'!G32+'Confed Life (CLIC)'!G32+'Consolidated National'!G32+'Consumers Mutual'!G32+'Consumers United'!G32+'Corporate Life'!G32+'Diamond Benefits'!G32+'EBL Life'!G32+'Family Guaranty'!G32+'Fidelity Bankers'!G32+'First Natl'!G32+'Franklin American'!G32+'Franklin Protective'!G32+'George Washington'!G32+'Golden State'!G32+'Guarantee Security'!G32+Imerica!G32+'Inter-American'!G32+'International Fin'!G32+'Investment Life of America'!G32+'Investors Equity'!G32+'Kentucky Central'!G32+Legion!G32+'London Pac'!G32+'Medical Savings'!G32+'Midwest Life'!G32+'Mutual Benefit'!G32+'Mutual Security'!G32+'National Affiliated'!G32+'Natl American'!G32+'National Heritage'!G32+'New Jersey Life'!G32+'Old Colony Life'!G32+'Old Faithful'!G32+'Pacific Standard'!G32+'Red Rock'!G32+SeeChange!G32+'States General'!G32+Statesman!G32+'Summit National'!G32+Supreme!G32+Underwriters!G32+Unison!G32+'United Republic'!G32+Universe!G32+Villanova!G32</f>
        <v>4166669.9287478095</v>
      </c>
      <c r="I32" s="1">
        <f t="shared" si="1"/>
        <v>0</v>
      </c>
      <c r="K32" s="1" t="s">
        <v>491</v>
      </c>
      <c r="L32" s="1">
        <f>Summary!TOTAL_63770</f>
        <v>1804983.0999999989</v>
      </c>
    </row>
    <row r="33" spans="1:12">
      <c r="A33" s="1" t="s">
        <v>54</v>
      </c>
      <c r="B33" s="1">
        <f>+'Alabama Life'!B33+'American Chambers'!B33+'American Educators'!B33+'American Integrity'!B33+'Amer Life Asr'!B33+'American Medical'!B33+'Amer Std Life Acc'!B33+AmerWstrn!B33+'AMS Life'!B33+'Andrew Jackson'!B33+'Bankers Commercial'!B33+Benicorp!B33+Centennial!B33+'Coastal States'!B33+'Confed Life (CLIC)'!B33+'Consolidated National'!B33+'Consumers Mutual'!B33+'Consumers United'!B33+'Corporate Life'!B33+'Diamond Benefits'!B33+'EBL Life'!B33+'Family Guaranty'!B33+'Fidelity Bankers'!B33+'First Natl'!B33+'Franklin American'!B33+'Franklin Protective'!B33+'George Washington'!B33+'Golden State'!B33+'Guarantee Security'!B33+Imerica!B33+'Inter-American'!B33+'International Fin'!B33+'Investment Life of America'!B33+'Investors Equity'!B33+'Kentucky Central'!B33+Legion!B33+'London Pac'!B33+'Medical Savings'!B33+'Midwest Life'!B33+'Mutual Benefit'!B33+'Mutual Security'!B33+'National Affiliated'!B33+'Natl American'!B33+'National Heritage'!B33+'New Jersey Life'!B33+'Old Colony Life'!B33+'Old Faithful'!B33+'Pacific Standard'!B33+'Red Rock'!B33+SeeChange!B33+'States General'!B33+Statesman!B33+'Summit National'!B33+Supreme!B33+Underwriters!B33+Unison!B33+'United Republic'!B33+Universe!B33+Villanova!B33</f>
        <v>2311422.539333974</v>
      </c>
      <c r="C33" s="1">
        <f>+'Alabama Life'!C33+'American Chambers'!C33+'American Educators'!C33+'American Integrity'!C33+'Amer Life Asr'!C33+'American Medical'!C33+'Amer Std Life Acc'!C33+AmerWstrn!C33+'AMS Life'!C33+'Andrew Jackson'!C33+'Bankers Commercial'!C33+Benicorp!C33+Centennial!C33+'Coastal States'!C33+'Confed Life (CLIC)'!C33+'Consolidated National'!C33+'Consumers Mutual'!C33+'Consumers United'!C33+'Corporate Life'!C33+'Diamond Benefits'!C33+'EBL Life'!C33+'Family Guaranty'!C33+'Fidelity Bankers'!C33+'First Natl'!C33+'Franklin American'!C33+'Franklin Protective'!C33+'George Washington'!C33+'Golden State'!C33+'Guarantee Security'!C33+Imerica!C33+'Inter-American'!C33+'International Fin'!C33+'Investment Life of America'!C33+'Investors Equity'!C33+'Kentucky Central'!C33+Legion!C33+'London Pac'!C33+'Medical Savings'!C33+'Midwest Life'!C33+'Mutual Benefit'!C33+'Mutual Security'!C33+'National Affiliated'!C33+'Natl American'!C33+'National Heritage'!C33+'New Jersey Life'!C33+'Old Colony Life'!C33+'Old Faithful'!C33+'Pacific Standard'!C33+'Red Rock'!C33+SeeChange!C33+'States General'!C33+Statesman!C33+'Summit National'!C33+Supreme!C33+Underwriters!C33+Unison!C33+'United Republic'!C33+Universe!C33+Villanova!C33</f>
        <v>8341470.6716862293</v>
      </c>
      <c r="D33" s="1">
        <f>+'Alabama Life'!D33+'American Chambers'!D33+'American Educators'!D33+'American Integrity'!D33+'Amer Life Asr'!D33+'American Medical'!D33+'Amer Std Life Acc'!D33+AmerWstrn!D33+'AMS Life'!D33+'Andrew Jackson'!D33+'Bankers Commercial'!D33+Benicorp!D33+Centennial!D33+'Coastal States'!D33+'Confed Life (CLIC)'!D33+'Consolidated National'!D33+'Consumers Mutual'!D33+'Consumers United'!D33+'Corporate Life'!D33+'Diamond Benefits'!D33+'EBL Life'!D33+'Family Guaranty'!D33+'Fidelity Bankers'!D33+'First Natl'!D33+'Franklin American'!D33+'Franklin Protective'!D33+'George Washington'!D33+'Golden State'!D33+'Guarantee Security'!D33+Imerica!D33+'Inter-American'!D33+'International Fin'!D33+'Investment Life of America'!D33+'Investors Equity'!D33+'Kentucky Central'!D33+Legion!D33+'London Pac'!D33+'Medical Savings'!D33+'Midwest Life'!D33+'Mutual Benefit'!D33+'Mutual Security'!D33+'National Affiliated'!D33+'Natl American'!D33+'National Heritage'!D33+'New Jersey Life'!D33+'Old Colony Life'!D33+'Old Faithful'!D33+'Pacific Standard'!D33+'Red Rock'!D33+SeeChange!D33+'States General'!D33+Statesman!D33+'Summit National'!D33+Supreme!D33+Underwriters!D33+Unison!D33+'United Republic'!D33+Universe!D33+Villanova!D33</f>
        <v>2478660.350422102</v>
      </c>
      <c r="E33" s="1">
        <f>+'Alabama Life'!E33+'American Chambers'!E33+'American Educators'!E33+'American Integrity'!E33+'Amer Life Asr'!E33+'American Medical'!E33+'Amer Std Life Acc'!E33+AmerWstrn!E33+'AMS Life'!E33+'Andrew Jackson'!E33+'Bankers Commercial'!E33+Benicorp!E33+Centennial!E33+'Coastal States'!E33+'Confed Life (CLIC)'!E33+'Consolidated National'!E33+'Consumers Mutual'!E33+'Consumers United'!E33+'Corporate Life'!E33+'Diamond Benefits'!E33+'EBL Life'!E33+'Family Guaranty'!E33+'Fidelity Bankers'!E33+'First Natl'!E33+'Franklin American'!E33+'Franklin Protective'!E33+'George Washington'!E33+'Golden State'!E33+'Guarantee Security'!E33+Imerica!E33+'Inter-American'!E33+'International Fin'!E33+'Investment Life of America'!E33+'Investors Equity'!E33+'Kentucky Central'!E33+Legion!E33+'London Pac'!E33+'Medical Savings'!E33+'Midwest Life'!E33+'Mutual Benefit'!E33+'Mutual Security'!E33+'National Affiliated'!E33+'Natl American'!E33+'National Heritage'!E33+'New Jersey Life'!E33+'Old Colony Life'!E33+'Old Faithful'!E33+'Pacific Standard'!E33+'Red Rock'!E33+SeeChange!E33+'States General'!E33+Statesman!E33+'Summit National'!E33+Supreme!E33+Underwriters!E33+Unison!E33+'United Republic'!E33+Universe!E33+Villanova!E33</f>
        <v>0</v>
      </c>
      <c r="F33" s="1">
        <f>+'Alabama Life'!F33+'American Chambers'!F33+'American Educators'!F33+'American Integrity'!F33+'Amer Life Asr'!F33+'American Medical'!F33+'Amer Std Life Acc'!F33+AmerWstrn!F33+'AMS Life'!F33+'Andrew Jackson'!F33+'Bankers Commercial'!F33+Benicorp!F33+Centennial!F33+'Coastal States'!F33+'Confed Life (CLIC)'!F33+'Consolidated National'!F33+'Consumers Mutual'!F33+'Consumers United'!F33+'Corporate Life'!F33+'Diamond Benefits'!F33+'EBL Life'!F33+'Family Guaranty'!F33+'Fidelity Bankers'!F33+'First Natl'!F33+'Franklin American'!F33+'Franklin Protective'!F33+'George Washington'!F33+'Golden State'!F33+'Guarantee Security'!F33+Imerica!F33+'Inter-American'!F33+'International Fin'!F33+'Investment Life of America'!F33+'Investors Equity'!F33+'Kentucky Central'!F33+Legion!F33+'London Pac'!F33+'Medical Savings'!F33+'Midwest Life'!F33+'Mutual Benefit'!F33+'Mutual Security'!F33+'National Affiliated'!F33+'Natl American'!F33+'National Heritage'!F33+'New Jersey Life'!F33+'Old Colony Life'!F33+'Old Faithful'!F33+'Pacific Standard'!F33+'Red Rock'!F33+SeeChange!F33+'States General'!F33+Statesman!F33+'Summit National'!F33+Supreme!F33+Underwriters!F33+Unison!F33+'United Republic'!F33+Universe!F33+Villanova!F33</f>
        <v>0</v>
      </c>
      <c r="G33" s="1">
        <f t="shared" si="0"/>
        <v>13131553.561442304</v>
      </c>
      <c r="H33" s="1">
        <f>+'Alabama Life'!G33+'American Chambers'!G33+'American Educators'!G33+'American Integrity'!G33+'Amer Life Asr'!G33+'American Medical'!G33+'Amer Std Life Acc'!G33+AmerWstrn!G33+'AMS Life'!G33+'Andrew Jackson'!G33+'Bankers Commercial'!G33+Benicorp!G33+Centennial!G33+'Coastal States'!G33+'Confed Life (CLIC)'!G33+'Consolidated National'!G33+'Consumers Mutual'!G33+'Consumers United'!G33+'Corporate Life'!G33+'Diamond Benefits'!G33+'EBL Life'!G33+'Family Guaranty'!G33+'Fidelity Bankers'!G33+'First Natl'!G33+'Franklin American'!G33+'Franklin Protective'!G33+'George Washington'!G33+'Golden State'!G33+'Guarantee Security'!G33+Imerica!G33+'Inter-American'!G33+'International Fin'!G33+'Investment Life of America'!G33+'Investors Equity'!G33+'Kentucky Central'!G33+Legion!G33+'London Pac'!G33+'Medical Savings'!G33+'Midwest Life'!G33+'Mutual Benefit'!G33+'Mutual Security'!G33+'National Affiliated'!G33+'Natl American'!G33+'National Heritage'!G33+'New Jersey Life'!G33+'Old Colony Life'!G33+'Old Faithful'!G33+'Pacific Standard'!G33+'Red Rock'!G33+SeeChange!G33+'States General'!G33+Statesman!G33+'Summit National'!G33+Supreme!G33+Underwriters!G33+Unison!G33+'United Republic'!G33+Universe!G33+Villanova!G33</f>
        <v>13131553.561442306</v>
      </c>
      <c r="I33" s="1">
        <f t="shared" si="1"/>
        <v>0</v>
      </c>
      <c r="K33" s="1" t="s">
        <v>497</v>
      </c>
      <c r="L33" s="1">
        <f>Summary!TOTAL_63924</f>
        <v>1600680.8539999998</v>
      </c>
    </row>
    <row r="34" spans="1:12">
      <c r="A34" s="1" t="s">
        <v>55</v>
      </c>
      <c r="B34" s="1">
        <f>+'Alabama Life'!B34+'American Chambers'!B34+'American Educators'!B34+'American Integrity'!B34+'Amer Life Asr'!B34+'American Medical'!B34+'Amer Std Life Acc'!B34+AmerWstrn!B34+'AMS Life'!B34+'Andrew Jackson'!B34+'Bankers Commercial'!B34+Benicorp!B34+Centennial!B34+'Coastal States'!B34+'Confed Life (CLIC)'!B34+'Consolidated National'!B34+'Consumers Mutual'!B34+'Consumers United'!B34+'Corporate Life'!B34+'Diamond Benefits'!B34+'EBL Life'!B34+'Family Guaranty'!B34+'Fidelity Bankers'!B34+'First Natl'!B34+'Franklin American'!B34+'Franklin Protective'!B34+'George Washington'!B34+'Golden State'!B34+'Guarantee Security'!B34+Imerica!B34+'Inter-American'!B34+'International Fin'!B34+'Investment Life of America'!B34+'Investors Equity'!B34+'Kentucky Central'!B34+Legion!B34+'London Pac'!B34+'Medical Savings'!B34+'Midwest Life'!B34+'Mutual Benefit'!B34+'Mutual Security'!B34+'National Affiliated'!B34+'Natl American'!B34+'National Heritage'!B34+'New Jersey Life'!B34+'Old Colony Life'!B34+'Old Faithful'!B34+'Pacific Standard'!B34+'Red Rock'!B34+SeeChange!B34+'States General'!B34+Statesman!B34+'Summit National'!B34+Supreme!B34+Underwriters!B34+Unison!B34+'United Republic'!B34+Universe!B34+Villanova!B34</f>
        <v>450615.88835616707</v>
      </c>
      <c r="C34" s="1">
        <f>+'Alabama Life'!C34+'American Chambers'!C34+'American Educators'!C34+'American Integrity'!C34+'Amer Life Asr'!C34+'American Medical'!C34+'Amer Std Life Acc'!C34+AmerWstrn!C34+'AMS Life'!C34+'Andrew Jackson'!C34+'Bankers Commercial'!C34+Benicorp!C34+Centennial!C34+'Coastal States'!C34+'Confed Life (CLIC)'!C34+'Consolidated National'!C34+'Consumers Mutual'!C34+'Consumers United'!C34+'Corporate Life'!C34+'Diamond Benefits'!C34+'EBL Life'!C34+'Family Guaranty'!C34+'Fidelity Bankers'!C34+'First Natl'!C34+'Franklin American'!C34+'Franklin Protective'!C34+'George Washington'!C34+'Golden State'!C34+'Guarantee Security'!C34+Imerica!C34+'Inter-American'!C34+'International Fin'!C34+'Investment Life of America'!C34+'Investors Equity'!C34+'Kentucky Central'!C34+Legion!C34+'London Pac'!C34+'Medical Savings'!C34+'Midwest Life'!C34+'Mutual Benefit'!C34+'Mutual Security'!C34+'National Affiliated'!C34+'Natl American'!C34+'National Heritage'!C34+'New Jersey Life'!C34+'Old Colony Life'!C34+'Old Faithful'!C34+'Pacific Standard'!C34+'Red Rock'!C34+SeeChange!C34+'States General'!C34+Statesman!C34+'Summit National'!C34+Supreme!C34+Underwriters!C34+Unison!C34+'United Republic'!C34+Universe!C34+Villanova!C34</f>
        <v>1700940.48388081</v>
      </c>
      <c r="D34" s="1">
        <f>+'Alabama Life'!D34+'American Chambers'!D34+'American Educators'!D34+'American Integrity'!D34+'Amer Life Asr'!D34+'American Medical'!D34+'Amer Std Life Acc'!D34+AmerWstrn!D34+'AMS Life'!D34+'Andrew Jackson'!D34+'Bankers Commercial'!D34+Benicorp!D34+Centennial!D34+'Coastal States'!D34+'Confed Life (CLIC)'!D34+'Consolidated National'!D34+'Consumers Mutual'!D34+'Consumers United'!D34+'Corporate Life'!D34+'Diamond Benefits'!D34+'EBL Life'!D34+'Family Guaranty'!D34+'Fidelity Bankers'!D34+'First Natl'!D34+'Franklin American'!D34+'Franklin Protective'!D34+'George Washington'!D34+'Golden State'!D34+'Guarantee Security'!D34+Imerica!D34+'Inter-American'!D34+'International Fin'!D34+'Investment Life of America'!D34+'Investors Equity'!D34+'Kentucky Central'!D34+Legion!D34+'London Pac'!D34+'Medical Savings'!D34+'Midwest Life'!D34+'Mutual Benefit'!D34+'Mutual Security'!D34+'National Affiliated'!D34+'Natl American'!D34+'National Heritage'!D34+'New Jersey Life'!D34+'Old Colony Life'!D34+'Old Faithful'!D34+'Pacific Standard'!D34+'Red Rock'!D34+SeeChange!D34+'States General'!D34+Statesman!D34+'Summit National'!D34+Supreme!D34+Underwriters!D34+Unison!D34+'United Republic'!D34+Universe!D34+Villanova!D34</f>
        <v>3771450.8818628825</v>
      </c>
      <c r="E34" s="1">
        <f>+'Alabama Life'!E34+'American Chambers'!E34+'American Educators'!E34+'American Integrity'!E34+'Amer Life Asr'!E34+'American Medical'!E34+'Amer Std Life Acc'!E34+AmerWstrn!E34+'AMS Life'!E34+'Andrew Jackson'!E34+'Bankers Commercial'!E34+Benicorp!E34+Centennial!E34+'Coastal States'!E34+'Confed Life (CLIC)'!E34+'Consolidated National'!E34+'Consumers Mutual'!E34+'Consumers United'!E34+'Corporate Life'!E34+'Diamond Benefits'!E34+'EBL Life'!E34+'Family Guaranty'!E34+'Fidelity Bankers'!E34+'First Natl'!E34+'Franklin American'!E34+'Franklin Protective'!E34+'George Washington'!E34+'Golden State'!E34+'Guarantee Security'!E34+Imerica!E34+'Inter-American'!E34+'International Fin'!E34+'Investment Life of America'!E34+'Investors Equity'!E34+'Kentucky Central'!E34+Legion!E34+'London Pac'!E34+'Medical Savings'!E34+'Midwest Life'!E34+'Mutual Benefit'!E34+'Mutual Security'!E34+'National Affiliated'!E34+'Natl American'!E34+'National Heritage'!E34+'New Jersey Life'!E34+'Old Colony Life'!E34+'Old Faithful'!E34+'Pacific Standard'!E34+'Red Rock'!E34+SeeChange!E34+'States General'!E34+Statesman!E34+'Summit National'!E34+Supreme!E34+Underwriters!E34+Unison!E34+'United Republic'!E34+Universe!E34+Villanova!E34</f>
        <v>0</v>
      </c>
      <c r="F34" s="1">
        <f>+'Alabama Life'!F34+'American Chambers'!F34+'American Educators'!F34+'American Integrity'!F34+'Amer Life Asr'!F34+'American Medical'!F34+'Amer Std Life Acc'!F34+AmerWstrn!F34+'AMS Life'!F34+'Andrew Jackson'!F34+'Bankers Commercial'!F34+Benicorp!F34+Centennial!F34+'Coastal States'!F34+'Confed Life (CLIC)'!F34+'Consolidated National'!F34+'Consumers Mutual'!F34+'Consumers United'!F34+'Corporate Life'!F34+'Diamond Benefits'!F34+'EBL Life'!F34+'Family Guaranty'!F34+'Fidelity Bankers'!F34+'First Natl'!F34+'Franklin American'!F34+'Franklin Protective'!F34+'George Washington'!F34+'Golden State'!F34+'Guarantee Security'!F34+Imerica!F34+'Inter-American'!F34+'International Fin'!F34+'Investment Life of America'!F34+'Investors Equity'!F34+'Kentucky Central'!F34+Legion!F34+'London Pac'!F34+'Medical Savings'!F34+'Midwest Life'!F34+'Mutual Benefit'!F34+'Mutual Security'!F34+'National Affiliated'!F34+'Natl American'!F34+'National Heritage'!F34+'New Jersey Life'!F34+'Old Colony Life'!F34+'Old Faithful'!F34+'Pacific Standard'!F34+'Red Rock'!F34+SeeChange!F34+'States General'!F34+Statesman!F34+'Summit National'!F34+Supreme!F34+Underwriters!F34+Unison!F34+'United Republic'!F34+Universe!F34+Villanova!F34</f>
        <v>0</v>
      </c>
      <c r="G34" s="1">
        <f t="shared" si="0"/>
        <v>5923007.2540998589</v>
      </c>
      <c r="H34" s="1">
        <f>+'Alabama Life'!G34+'American Chambers'!G34+'American Educators'!G34+'American Integrity'!G34+'Amer Life Asr'!G34+'American Medical'!G34+'Amer Std Life Acc'!G34+AmerWstrn!G34+'AMS Life'!G34+'Andrew Jackson'!G34+'Bankers Commercial'!G34+Benicorp!G34+Centennial!G34+'Coastal States'!G34+'Confed Life (CLIC)'!G34+'Consolidated National'!G34+'Consumers Mutual'!G34+'Consumers United'!G34+'Corporate Life'!G34+'Diamond Benefits'!G34+'EBL Life'!G34+'Family Guaranty'!G34+'Fidelity Bankers'!G34+'First Natl'!G34+'Franklin American'!G34+'Franklin Protective'!G34+'George Washington'!G34+'Golden State'!G34+'Guarantee Security'!G34+Imerica!G34+'Inter-American'!G34+'International Fin'!G34+'Investment Life of America'!G34+'Investors Equity'!G34+'Kentucky Central'!G34+Legion!G34+'London Pac'!G34+'Medical Savings'!G34+'Midwest Life'!G34+'Mutual Benefit'!G34+'Mutual Security'!G34+'National Affiliated'!G34+'Natl American'!G34+'National Heritage'!G34+'New Jersey Life'!G34+'Old Colony Life'!G34+'Old Faithful'!G34+'Pacific Standard'!G34+'Red Rock'!G34+SeeChange!G34+'States General'!G34+Statesman!G34+'Summit National'!G34+Supreme!G34+Underwriters!G34+Unison!G34+'United Republic'!G34+Universe!G34+Villanova!G34</f>
        <v>5923007.2540998608</v>
      </c>
      <c r="I34" s="1">
        <f t="shared" si="1"/>
        <v>0</v>
      </c>
      <c r="K34" s="1" t="s">
        <v>502</v>
      </c>
      <c r="L34" s="1">
        <f>Summary!TOTAL_84271</f>
        <v>106918498.54317257</v>
      </c>
    </row>
    <row r="35" spans="1:12">
      <c r="A35" s="1" t="s">
        <v>56</v>
      </c>
      <c r="B35" s="1">
        <f>+'Alabama Life'!B35+'American Chambers'!B35+'American Educators'!B35+'American Integrity'!B35+'Amer Life Asr'!B35+'American Medical'!B35+'Amer Std Life Acc'!B35+AmerWstrn!B35+'AMS Life'!B35+'Andrew Jackson'!B35+'Bankers Commercial'!B35+Benicorp!B35+Centennial!B35+'Coastal States'!B35+'Confed Life (CLIC)'!B35+'Consolidated National'!B35+'Consumers Mutual'!B35+'Consumers United'!B35+'Corporate Life'!B35+'Diamond Benefits'!B35+'EBL Life'!B35+'Family Guaranty'!B35+'Fidelity Bankers'!B35+'First Natl'!B35+'Franklin American'!B35+'Franklin Protective'!B35+'George Washington'!B35+'Golden State'!B35+'Guarantee Security'!B35+Imerica!B35+'Inter-American'!B35+'International Fin'!B35+'Investment Life of America'!B35+'Investors Equity'!B35+'Kentucky Central'!B35+Legion!B35+'London Pac'!B35+'Medical Savings'!B35+'Midwest Life'!B35+'Mutual Benefit'!B35+'Mutual Security'!B35+'National Affiliated'!B35+'Natl American'!B35+'National Heritage'!B35+'New Jersey Life'!B35+'Old Colony Life'!B35+'Old Faithful'!B35+'Pacific Standard'!B35+'Red Rock'!B35+SeeChange!B35+'States General'!B35+Statesman!B35+'Summit National'!B35+Supreme!B35+Underwriters!B35+Unison!B35+'United Republic'!B35+Universe!B35+Villanova!B35</f>
        <v>551106.02030964289</v>
      </c>
      <c r="C35" s="1">
        <f>+'Alabama Life'!C35+'American Chambers'!C35+'American Educators'!C35+'American Integrity'!C35+'Amer Life Asr'!C35+'American Medical'!C35+'Amer Std Life Acc'!C35+AmerWstrn!C35+'AMS Life'!C35+'Andrew Jackson'!C35+'Bankers Commercial'!C35+Benicorp!C35+Centennial!C35+'Coastal States'!C35+'Confed Life (CLIC)'!C35+'Consolidated National'!C35+'Consumers Mutual'!C35+'Consumers United'!C35+'Corporate Life'!C35+'Diamond Benefits'!C35+'EBL Life'!C35+'Family Guaranty'!C35+'Fidelity Bankers'!C35+'First Natl'!C35+'Franklin American'!C35+'Franklin Protective'!C35+'George Washington'!C35+'Golden State'!C35+'Guarantee Security'!C35+Imerica!C35+'Inter-American'!C35+'International Fin'!C35+'Investment Life of America'!C35+'Investors Equity'!C35+'Kentucky Central'!C35+Legion!C35+'London Pac'!C35+'Medical Savings'!C35+'Midwest Life'!C35+'Mutual Benefit'!C35+'Mutual Security'!C35+'National Affiliated'!C35+'Natl American'!C35+'National Heritage'!C35+'New Jersey Life'!C35+'Old Colony Life'!C35+'Old Faithful'!C35+'Pacific Standard'!C35+'Red Rock'!C35+SeeChange!C35+'States General'!C35+Statesman!C35+'Summit National'!C35+Supreme!C35+Underwriters!C35+Unison!C35+'United Republic'!C35+Universe!C35+Villanova!C35</f>
        <v>435407.27634376386</v>
      </c>
      <c r="D35" s="1">
        <f>+'Alabama Life'!D35+'American Chambers'!D35+'American Educators'!D35+'American Integrity'!D35+'Amer Life Asr'!D35+'American Medical'!D35+'Amer Std Life Acc'!D35+AmerWstrn!D35+'AMS Life'!D35+'Andrew Jackson'!D35+'Bankers Commercial'!D35+Benicorp!D35+Centennial!D35+'Coastal States'!D35+'Confed Life (CLIC)'!D35+'Consolidated National'!D35+'Consumers Mutual'!D35+'Consumers United'!D35+'Corporate Life'!D35+'Diamond Benefits'!D35+'EBL Life'!D35+'Family Guaranty'!D35+'Fidelity Bankers'!D35+'First Natl'!D35+'Franklin American'!D35+'Franklin Protective'!D35+'George Washington'!D35+'Golden State'!D35+'Guarantee Security'!D35+Imerica!D35+'Inter-American'!D35+'International Fin'!D35+'Investment Life of America'!D35+'Investors Equity'!D35+'Kentucky Central'!D35+Legion!D35+'London Pac'!D35+'Medical Savings'!D35+'Midwest Life'!D35+'Mutual Benefit'!D35+'Mutual Security'!D35+'National Affiliated'!D35+'Natl American'!D35+'National Heritage'!D35+'New Jersey Life'!D35+'Old Colony Life'!D35+'Old Faithful'!D35+'Pacific Standard'!D35+'Red Rock'!D35+SeeChange!D35+'States General'!D35+Statesman!D35+'Summit National'!D35+Supreme!D35+Underwriters!D35+Unison!D35+'United Republic'!D35+Universe!D35+Villanova!D35</f>
        <v>183545.17952446415</v>
      </c>
      <c r="E35" s="1">
        <f>+'Alabama Life'!E35+'American Chambers'!E35+'American Educators'!E35+'American Integrity'!E35+'Amer Life Asr'!E35+'American Medical'!E35+'Amer Std Life Acc'!E35+AmerWstrn!E35+'AMS Life'!E35+'Andrew Jackson'!E35+'Bankers Commercial'!E35+Benicorp!E35+Centennial!E35+'Coastal States'!E35+'Confed Life (CLIC)'!E35+'Consolidated National'!E35+'Consumers Mutual'!E35+'Consumers United'!E35+'Corporate Life'!E35+'Diamond Benefits'!E35+'EBL Life'!E35+'Family Guaranty'!E35+'Fidelity Bankers'!E35+'First Natl'!E35+'Franklin American'!E35+'Franklin Protective'!E35+'George Washington'!E35+'Golden State'!E35+'Guarantee Security'!E35+Imerica!E35+'Inter-American'!E35+'International Fin'!E35+'Investment Life of America'!E35+'Investors Equity'!E35+'Kentucky Central'!E35+Legion!E35+'London Pac'!E35+'Medical Savings'!E35+'Midwest Life'!E35+'Mutual Benefit'!E35+'Mutual Security'!E35+'National Affiliated'!E35+'Natl American'!E35+'National Heritage'!E35+'New Jersey Life'!E35+'Old Colony Life'!E35+'Old Faithful'!E35+'Pacific Standard'!E35+'Red Rock'!E35+SeeChange!E35+'States General'!E35+Statesman!E35+'Summit National'!E35+Supreme!E35+Underwriters!E35+Unison!E35+'United Republic'!E35+Universe!E35+Villanova!E35</f>
        <v>607576.32708864158</v>
      </c>
      <c r="F35" s="1">
        <f>+'Alabama Life'!F35+'American Chambers'!F35+'American Educators'!F35+'American Integrity'!F35+'Amer Life Asr'!F35+'American Medical'!F35+'Amer Std Life Acc'!F35+AmerWstrn!F35+'AMS Life'!F35+'Andrew Jackson'!F35+'Bankers Commercial'!F35+Benicorp!F35+Centennial!F35+'Coastal States'!F35+'Confed Life (CLIC)'!F35+'Consolidated National'!F35+'Consumers Mutual'!F35+'Consumers United'!F35+'Corporate Life'!F35+'Diamond Benefits'!F35+'EBL Life'!F35+'Family Guaranty'!F35+'Fidelity Bankers'!F35+'First Natl'!F35+'Franklin American'!F35+'Franklin Protective'!F35+'George Washington'!F35+'Golden State'!F35+'Guarantee Security'!F35+Imerica!F35+'Inter-American'!F35+'International Fin'!F35+'Investment Life of America'!F35+'Investors Equity'!F35+'Kentucky Central'!F35+Legion!F35+'London Pac'!F35+'Medical Savings'!F35+'Midwest Life'!F35+'Mutual Benefit'!F35+'Mutual Security'!F35+'National Affiliated'!F35+'Natl American'!F35+'National Heritage'!F35+'New Jersey Life'!F35+'Old Colony Life'!F35+'Old Faithful'!F35+'Pacific Standard'!F35+'Red Rock'!F35+SeeChange!F35+'States General'!F35+Statesman!F35+'Summit National'!F35+Supreme!F35+Underwriters!F35+Unison!F35+'United Republic'!F35+Universe!F35+Villanova!F35</f>
        <v>0</v>
      </c>
      <c r="G35" s="1">
        <f t="shared" si="0"/>
        <v>1777634.8032665122</v>
      </c>
      <c r="H35" s="1">
        <f>+'Alabama Life'!G35+'American Chambers'!G35+'American Educators'!G35+'American Integrity'!G35+'Amer Life Asr'!G35+'American Medical'!G35+'Amer Std Life Acc'!G35+AmerWstrn!G35+'AMS Life'!G35+'Andrew Jackson'!G35+'Bankers Commercial'!G35+Benicorp!G35+Centennial!G35+'Coastal States'!G35+'Confed Life (CLIC)'!G35+'Consolidated National'!G35+'Consumers Mutual'!G35+'Consumers United'!G35+'Corporate Life'!G35+'Diamond Benefits'!G35+'EBL Life'!G35+'Family Guaranty'!G35+'Fidelity Bankers'!G35+'First Natl'!G35+'Franklin American'!G35+'Franklin Protective'!G35+'George Washington'!G35+'Golden State'!G35+'Guarantee Security'!G35+Imerica!G35+'Inter-American'!G35+'International Fin'!G35+'Investment Life of America'!G35+'Investors Equity'!G35+'Kentucky Central'!G35+Legion!G35+'London Pac'!G35+'Medical Savings'!G35+'Midwest Life'!G35+'Mutual Benefit'!G35+'Mutual Security'!G35+'National Affiliated'!G35+'Natl American'!G35+'National Heritage'!G35+'New Jersey Life'!G35+'Old Colony Life'!G35+'Old Faithful'!G35+'Pacific Standard'!G35+'Red Rock'!G35+SeeChange!G35+'States General'!G35+Statesman!G35+'Summit National'!G35+Supreme!G35+Underwriters!G35+Unison!G35+'United Republic'!G35+Universe!G35+Villanova!G35</f>
        <v>1777634.8032665125</v>
      </c>
      <c r="I35" s="1">
        <f t="shared" si="1"/>
        <v>0</v>
      </c>
      <c r="K35" s="1" t="s">
        <v>508</v>
      </c>
      <c r="L35" s="1">
        <f>Summary!TOTAL_63533</f>
        <v>11497817.278988643</v>
      </c>
    </row>
    <row r="36" spans="1:12">
      <c r="A36" s="1" t="s">
        <v>57</v>
      </c>
      <c r="B36" s="1">
        <f>+'Alabama Life'!B36+'American Chambers'!B36+'American Educators'!B36+'American Integrity'!B36+'Amer Life Asr'!B36+'American Medical'!B36+'Amer Std Life Acc'!B36+AmerWstrn!B36+'AMS Life'!B36+'Andrew Jackson'!B36+'Bankers Commercial'!B36+Benicorp!B36+Centennial!B36+'Coastal States'!B36+'Confed Life (CLIC)'!B36+'Consolidated National'!B36+'Consumers Mutual'!B36+'Consumers United'!B36+'Corporate Life'!B36+'Diamond Benefits'!B36+'EBL Life'!B36+'Family Guaranty'!B36+'Fidelity Bankers'!B36+'First Natl'!B36+'Franklin American'!B36+'Franklin Protective'!B36+'George Washington'!B36+'Golden State'!B36+'Guarantee Security'!B36+Imerica!B36+'Inter-American'!B36+'International Fin'!B36+'Investment Life of America'!B36+'Investors Equity'!B36+'Kentucky Central'!B36+Legion!B36+'London Pac'!B36+'Medical Savings'!B36+'Midwest Life'!B36+'Mutual Benefit'!B36+'Mutual Security'!B36+'National Affiliated'!B36+'Natl American'!B36+'National Heritage'!B36+'New Jersey Life'!B36+'Old Colony Life'!B36+'Old Faithful'!B36+'Pacific Standard'!B36+'Red Rock'!B36+SeeChange!B36+'States General'!B36+Statesman!B36+'Summit National'!B36+Supreme!B36+Underwriters!B36+Unison!B36+'United Republic'!B36+Universe!B36+Villanova!B36</f>
        <v>18355901.976159204</v>
      </c>
      <c r="C36" s="1">
        <f>+'Alabama Life'!C36+'American Chambers'!C36+'American Educators'!C36+'American Integrity'!C36+'Amer Life Asr'!C36+'American Medical'!C36+'Amer Std Life Acc'!C36+AmerWstrn!C36+'AMS Life'!C36+'Andrew Jackson'!C36+'Bankers Commercial'!C36+Benicorp!C36+Centennial!C36+'Coastal States'!C36+'Confed Life (CLIC)'!C36+'Consolidated National'!C36+'Consumers Mutual'!C36+'Consumers United'!C36+'Corporate Life'!C36+'Diamond Benefits'!C36+'EBL Life'!C36+'Family Guaranty'!C36+'Fidelity Bankers'!C36+'First Natl'!C36+'Franklin American'!C36+'Franklin Protective'!C36+'George Washington'!C36+'Golden State'!C36+'Guarantee Security'!C36+Imerica!C36+'Inter-American'!C36+'International Fin'!C36+'Investment Life of America'!C36+'Investors Equity'!C36+'Kentucky Central'!C36+Legion!C36+'London Pac'!C36+'Medical Savings'!C36+'Midwest Life'!C36+'Mutual Benefit'!C36+'Mutual Security'!C36+'National Affiliated'!C36+'Natl American'!C36+'National Heritage'!C36+'New Jersey Life'!C36+'Old Colony Life'!C36+'Old Faithful'!C36+'Pacific Standard'!C36+'Red Rock'!C36+SeeChange!C36+'States General'!C36+Statesman!C36+'Summit National'!C36+Supreme!C36+Underwriters!C36+Unison!C36+'United Republic'!C36+Universe!C36+Villanova!C36</f>
        <v>1452839.8207427303</v>
      </c>
      <c r="D36" s="1">
        <f>+'Alabama Life'!D36+'American Chambers'!D36+'American Educators'!D36+'American Integrity'!D36+'Amer Life Asr'!D36+'American Medical'!D36+'Amer Std Life Acc'!D36+AmerWstrn!D36+'AMS Life'!D36+'Andrew Jackson'!D36+'Bankers Commercial'!D36+Benicorp!D36+Centennial!D36+'Coastal States'!D36+'Confed Life (CLIC)'!D36+'Consolidated National'!D36+'Consumers Mutual'!D36+'Consumers United'!D36+'Corporate Life'!D36+'Diamond Benefits'!D36+'EBL Life'!D36+'Family Guaranty'!D36+'Fidelity Bankers'!D36+'First Natl'!D36+'Franklin American'!D36+'Franklin Protective'!D36+'George Washington'!D36+'Golden State'!D36+'Guarantee Security'!D36+Imerica!D36+'Inter-American'!D36+'International Fin'!D36+'Investment Life of America'!D36+'Investors Equity'!D36+'Kentucky Central'!D36+Legion!D36+'London Pac'!D36+'Medical Savings'!D36+'Midwest Life'!D36+'Mutual Benefit'!D36+'Mutual Security'!D36+'National Affiliated'!D36+'Natl American'!D36+'National Heritage'!D36+'New Jersey Life'!D36+'Old Colony Life'!D36+'Old Faithful'!D36+'Pacific Standard'!D36+'Red Rock'!D36+SeeChange!D36+'States General'!D36+Statesman!D36+'Summit National'!D36+Supreme!D36+Underwriters!D36+Unison!D36+'United Republic'!D36+Universe!D36+Villanova!D36</f>
        <v>419891.76910027128</v>
      </c>
      <c r="E36" s="1">
        <f>+'Alabama Life'!E36+'American Chambers'!E36+'American Educators'!E36+'American Integrity'!E36+'Amer Life Asr'!E36+'American Medical'!E36+'Amer Std Life Acc'!E36+AmerWstrn!E36+'AMS Life'!E36+'Andrew Jackson'!E36+'Bankers Commercial'!E36+Benicorp!E36+Centennial!E36+'Coastal States'!E36+'Confed Life (CLIC)'!E36+'Consolidated National'!E36+'Consumers Mutual'!E36+'Consumers United'!E36+'Corporate Life'!E36+'Diamond Benefits'!E36+'EBL Life'!E36+'Family Guaranty'!E36+'Fidelity Bankers'!E36+'First Natl'!E36+'Franklin American'!E36+'Franklin Protective'!E36+'George Washington'!E36+'Golden State'!E36+'Guarantee Security'!E36+Imerica!E36+'Inter-American'!E36+'International Fin'!E36+'Investment Life of America'!E36+'Investors Equity'!E36+'Kentucky Central'!E36+Legion!E36+'London Pac'!E36+'Medical Savings'!E36+'Midwest Life'!E36+'Mutual Benefit'!E36+'Mutual Security'!E36+'National Affiliated'!E36+'Natl American'!E36+'National Heritage'!E36+'New Jersey Life'!E36+'Old Colony Life'!E36+'Old Faithful'!E36+'Pacific Standard'!E36+'Red Rock'!E36+SeeChange!E36+'States General'!E36+Statesman!E36+'Summit National'!E36+Supreme!E36+Underwriters!E36+Unison!E36+'United Republic'!E36+Universe!E36+Villanova!E36</f>
        <v>3461099.7262478308</v>
      </c>
      <c r="F36" s="1">
        <f>+'Alabama Life'!F36+'American Chambers'!F36+'American Educators'!F36+'American Integrity'!F36+'Amer Life Asr'!F36+'American Medical'!F36+'Amer Std Life Acc'!F36+AmerWstrn!F36+'AMS Life'!F36+'Andrew Jackson'!F36+'Bankers Commercial'!F36+Benicorp!F36+Centennial!F36+'Coastal States'!F36+'Confed Life (CLIC)'!F36+'Consolidated National'!F36+'Consumers Mutual'!F36+'Consumers United'!F36+'Corporate Life'!F36+'Diamond Benefits'!F36+'EBL Life'!F36+'Family Guaranty'!F36+'Fidelity Bankers'!F36+'First Natl'!F36+'Franklin American'!F36+'Franklin Protective'!F36+'George Washington'!F36+'Golden State'!F36+'Guarantee Security'!F36+Imerica!F36+'Inter-American'!F36+'International Fin'!F36+'Investment Life of America'!F36+'Investors Equity'!F36+'Kentucky Central'!F36+Legion!F36+'London Pac'!F36+'Medical Savings'!F36+'Midwest Life'!F36+'Mutual Benefit'!F36+'Mutual Security'!F36+'National Affiliated'!F36+'Natl American'!F36+'National Heritage'!F36+'New Jersey Life'!F36+'Old Colony Life'!F36+'Old Faithful'!F36+'Pacific Standard'!F36+'Red Rock'!F36+SeeChange!F36+'States General'!F36+Statesman!F36+'Summit National'!F36+Supreme!F36+Underwriters!F36+Unison!F36+'United Republic'!F36+Universe!F36+Villanova!F36</f>
        <v>0</v>
      </c>
      <c r="G36" s="1">
        <f t="shared" si="0"/>
        <v>23689733.292250037</v>
      </c>
      <c r="H36" s="1">
        <f>+'Alabama Life'!G36+'American Chambers'!G36+'American Educators'!G36+'American Integrity'!G36+'Amer Life Asr'!G36+'American Medical'!G36+'Amer Std Life Acc'!G36+AmerWstrn!G36+'AMS Life'!G36+'Andrew Jackson'!G36+'Bankers Commercial'!G36+Benicorp!G36+Centennial!G36+'Coastal States'!G36+'Confed Life (CLIC)'!G36+'Consolidated National'!G36+'Consumers Mutual'!G36+'Consumers United'!G36+'Corporate Life'!G36+'Diamond Benefits'!G36+'EBL Life'!G36+'Family Guaranty'!G36+'Fidelity Bankers'!G36+'First Natl'!G36+'Franklin American'!G36+'Franklin Protective'!G36+'George Washington'!G36+'Golden State'!G36+'Guarantee Security'!G36+Imerica!G36+'Inter-American'!G36+'International Fin'!G36+'Investment Life of America'!G36+'Investors Equity'!G36+'Kentucky Central'!G36+Legion!G36+'London Pac'!G36+'Medical Savings'!G36+'Midwest Life'!G36+'Mutual Benefit'!G36+'Mutual Security'!G36+'National Affiliated'!G36+'Natl American'!G36+'National Heritage'!G36+'New Jersey Life'!G36+'Old Colony Life'!G36+'Old Faithful'!G36+'Pacific Standard'!G36+'Red Rock'!G36+SeeChange!G36+'States General'!G36+Statesman!G36+'Summit National'!G36+Supreme!G36+Underwriters!G36+Unison!G36+'United Republic'!G36+Universe!G36+Villanova!G36</f>
        <v>23689733.292250037</v>
      </c>
      <c r="I36" s="1">
        <f t="shared" si="1"/>
        <v>0</v>
      </c>
      <c r="K36" s="1" t="s">
        <v>514</v>
      </c>
      <c r="L36" s="1">
        <f>Summary!TOTAL_67210</f>
        <v>107771804.22937052</v>
      </c>
    </row>
    <row r="37" spans="1:12">
      <c r="A37" s="1" t="s">
        <v>58</v>
      </c>
      <c r="B37" s="1">
        <f>+'Alabama Life'!B37+'American Chambers'!B37+'American Educators'!B37+'American Integrity'!B37+'Amer Life Asr'!B37+'American Medical'!B37+'Amer Std Life Acc'!B37+AmerWstrn!B37+'AMS Life'!B37+'Andrew Jackson'!B37+'Bankers Commercial'!B37+Benicorp!B37+Centennial!B37+'Coastal States'!B37+'Confed Life (CLIC)'!B37+'Consolidated National'!B37+'Consumers Mutual'!B37+'Consumers United'!B37+'Corporate Life'!B37+'Diamond Benefits'!B37+'EBL Life'!B37+'Family Guaranty'!B37+'Fidelity Bankers'!B37+'First Natl'!B37+'Franklin American'!B37+'Franklin Protective'!B37+'George Washington'!B37+'Golden State'!B37+'Guarantee Security'!B37+Imerica!B37+'Inter-American'!B37+'International Fin'!B37+'Investment Life of America'!B37+'Investors Equity'!B37+'Kentucky Central'!B37+Legion!B37+'London Pac'!B37+'Medical Savings'!B37+'Midwest Life'!B37+'Mutual Benefit'!B37+'Mutual Security'!B37+'National Affiliated'!B37+'Natl American'!B37+'National Heritage'!B37+'New Jersey Life'!B37+'Old Colony Life'!B37+'Old Faithful'!B37+'Pacific Standard'!B37+'Red Rock'!B37+SeeChange!B37+'States General'!B37+Statesman!B37+'Summit National'!B37+Supreme!B37+Underwriters!B37+Unison!B37+'United Republic'!B37+Universe!B37+Villanova!B37</f>
        <v>797040.38932492502</v>
      </c>
      <c r="C37" s="1">
        <f>+'Alabama Life'!C37+'American Chambers'!C37+'American Educators'!C37+'American Integrity'!C37+'Amer Life Asr'!C37+'American Medical'!C37+'Amer Std Life Acc'!C37+AmerWstrn!C37+'AMS Life'!C37+'Andrew Jackson'!C37+'Bankers Commercial'!C37+Benicorp!C37+Centennial!C37+'Coastal States'!C37+'Confed Life (CLIC)'!C37+'Consolidated National'!C37+'Consumers Mutual'!C37+'Consumers United'!C37+'Corporate Life'!C37+'Diamond Benefits'!C37+'EBL Life'!C37+'Family Guaranty'!C37+'Fidelity Bankers'!C37+'First Natl'!C37+'Franklin American'!C37+'Franklin Protective'!C37+'George Washington'!C37+'Golden State'!C37+'Guarantee Security'!C37+Imerica!C37+'Inter-American'!C37+'International Fin'!C37+'Investment Life of America'!C37+'Investors Equity'!C37+'Kentucky Central'!C37+Legion!C37+'London Pac'!C37+'Medical Savings'!C37+'Midwest Life'!C37+'Mutual Benefit'!C37+'Mutual Security'!C37+'National Affiliated'!C37+'Natl American'!C37+'National Heritage'!C37+'New Jersey Life'!C37+'Old Colony Life'!C37+'Old Faithful'!C37+'Pacific Standard'!C37+'Red Rock'!C37+SeeChange!C37+'States General'!C37+Statesman!C37+'Summit National'!C37+Supreme!C37+Underwriters!C37+Unison!C37+'United Republic'!C37+Universe!C37+Villanova!C37</f>
        <v>1692210.8977568902</v>
      </c>
      <c r="D37" s="1">
        <f>+'Alabama Life'!D37+'American Chambers'!D37+'American Educators'!D37+'American Integrity'!D37+'Amer Life Asr'!D37+'American Medical'!D37+'Amer Std Life Acc'!D37+AmerWstrn!D37+'AMS Life'!D37+'Andrew Jackson'!D37+'Bankers Commercial'!D37+Benicorp!D37+Centennial!D37+'Coastal States'!D37+'Confed Life (CLIC)'!D37+'Consolidated National'!D37+'Consumers Mutual'!D37+'Consumers United'!D37+'Corporate Life'!D37+'Diamond Benefits'!D37+'EBL Life'!D37+'Family Guaranty'!D37+'Fidelity Bankers'!D37+'First Natl'!D37+'Franklin American'!D37+'Franklin Protective'!D37+'George Washington'!D37+'Golden State'!D37+'Guarantee Security'!D37+Imerica!D37+'Inter-American'!D37+'International Fin'!D37+'Investment Life of America'!D37+'Investors Equity'!D37+'Kentucky Central'!D37+Legion!D37+'London Pac'!D37+'Medical Savings'!D37+'Midwest Life'!D37+'Mutual Benefit'!D37+'Mutual Security'!D37+'National Affiliated'!D37+'Natl American'!D37+'National Heritage'!D37+'New Jersey Life'!D37+'Old Colony Life'!D37+'Old Faithful'!D37+'Pacific Standard'!D37+'Red Rock'!D37+SeeChange!D37+'States General'!D37+Statesman!D37+'Summit National'!D37+Supreme!D37+Underwriters!D37+Unison!D37+'United Republic'!D37+Universe!D37+Villanova!D37</f>
        <v>-128611.61694126757</v>
      </c>
      <c r="E37" s="1">
        <f>+'Alabama Life'!E37+'American Chambers'!E37+'American Educators'!E37+'American Integrity'!E37+'Amer Life Asr'!E37+'American Medical'!E37+'Amer Std Life Acc'!E37+AmerWstrn!E37+'AMS Life'!E37+'Andrew Jackson'!E37+'Bankers Commercial'!E37+Benicorp!E37+Centennial!E37+'Coastal States'!E37+'Confed Life (CLIC)'!E37+'Consolidated National'!E37+'Consumers Mutual'!E37+'Consumers United'!E37+'Corporate Life'!E37+'Diamond Benefits'!E37+'EBL Life'!E37+'Family Guaranty'!E37+'Fidelity Bankers'!E37+'First Natl'!E37+'Franklin American'!E37+'Franklin Protective'!E37+'George Washington'!E37+'Golden State'!E37+'Guarantee Security'!E37+Imerica!E37+'Inter-American'!E37+'International Fin'!E37+'Investment Life of America'!E37+'Investors Equity'!E37+'Kentucky Central'!E37+Legion!E37+'London Pac'!E37+'Medical Savings'!E37+'Midwest Life'!E37+'Mutual Benefit'!E37+'Mutual Security'!E37+'National Affiliated'!E37+'Natl American'!E37+'National Heritage'!E37+'New Jersey Life'!E37+'Old Colony Life'!E37+'Old Faithful'!E37+'Pacific Standard'!E37+'Red Rock'!E37+SeeChange!E37+'States General'!E37+Statesman!E37+'Summit National'!E37+Supreme!E37+Underwriters!E37+Unison!E37+'United Republic'!E37+Universe!E37+Villanova!E37</f>
        <v>0</v>
      </c>
      <c r="F37" s="1">
        <f>+'Alabama Life'!F37+'American Chambers'!F37+'American Educators'!F37+'American Integrity'!F37+'Amer Life Asr'!F37+'American Medical'!F37+'Amer Std Life Acc'!F37+AmerWstrn!F37+'AMS Life'!F37+'Andrew Jackson'!F37+'Bankers Commercial'!F37+Benicorp!F37+Centennial!F37+'Coastal States'!F37+'Confed Life (CLIC)'!F37+'Consolidated National'!F37+'Consumers Mutual'!F37+'Consumers United'!F37+'Corporate Life'!F37+'Diamond Benefits'!F37+'EBL Life'!F37+'Family Guaranty'!F37+'Fidelity Bankers'!F37+'First Natl'!F37+'Franklin American'!F37+'Franklin Protective'!F37+'George Washington'!F37+'Golden State'!F37+'Guarantee Security'!F37+Imerica!F37+'Inter-American'!F37+'International Fin'!F37+'Investment Life of America'!F37+'Investors Equity'!F37+'Kentucky Central'!F37+Legion!F37+'London Pac'!F37+'Medical Savings'!F37+'Midwest Life'!F37+'Mutual Benefit'!F37+'Mutual Security'!F37+'National Affiliated'!F37+'Natl American'!F37+'National Heritage'!F37+'New Jersey Life'!F37+'Old Colony Life'!F37+'Old Faithful'!F37+'Pacific Standard'!F37+'Red Rock'!F37+SeeChange!F37+'States General'!F37+Statesman!F37+'Summit National'!F37+Supreme!F37+Underwriters!F37+Unison!F37+'United Republic'!F37+Universe!F37+Villanova!F37</f>
        <v>0</v>
      </c>
      <c r="G37" s="1">
        <f t="shared" si="0"/>
        <v>2360639.6701405477</v>
      </c>
      <c r="H37" s="1">
        <f>+'Alabama Life'!G37+'American Chambers'!G37+'American Educators'!G37+'American Integrity'!G37+'Amer Life Asr'!G37+'American Medical'!G37+'Amer Std Life Acc'!G37+AmerWstrn!G37+'AMS Life'!G37+'Andrew Jackson'!G37+'Bankers Commercial'!G37+Benicorp!G37+Centennial!G37+'Coastal States'!G37+'Confed Life (CLIC)'!G37+'Consolidated National'!G37+'Consumers Mutual'!G37+'Consumers United'!G37+'Corporate Life'!G37+'Diamond Benefits'!G37+'EBL Life'!G37+'Family Guaranty'!G37+'Fidelity Bankers'!G37+'First Natl'!G37+'Franklin American'!G37+'Franklin Protective'!G37+'George Washington'!G37+'Golden State'!G37+'Guarantee Security'!G37+Imerica!G37+'Inter-American'!G37+'International Fin'!G37+'Investment Life of America'!G37+'Investors Equity'!G37+'Kentucky Central'!G37+Legion!G37+'London Pac'!G37+'Medical Savings'!G37+'Midwest Life'!G37+'Mutual Benefit'!G37+'Mutual Security'!G37+'National Affiliated'!G37+'Natl American'!G37+'National Heritage'!G37+'New Jersey Life'!G37+'Old Colony Life'!G37+'Old Faithful'!G37+'Pacific Standard'!G37+'Red Rock'!G37+SeeChange!G37+'States General'!G37+Statesman!G37+'Summit National'!G37+Supreme!G37+Underwriters!G37+Unison!G37+'United Republic'!G37+Universe!G37+Villanova!G37</f>
        <v>2360639.6701405472</v>
      </c>
      <c r="I37" s="1">
        <f t="shared" si="1"/>
        <v>0</v>
      </c>
      <c r="K37" s="1" t="s">
        <v>519</v>
      </c>
      <c r="L37" s="1">
        <f>Summary!TOTAL_64084</f>
        <v>1874315.0259775603</v>
      </c>
    </row>
    <row r="38" spans="1:12">
      <c r="A38" s="1" t="s">
        <v>59</v>
      </c>
      <c r="B38" s="1">
        <f>+'Alabama Life'!B38+'American Chambers'!B38+'American Educators'!B38+'American Integrity'!B38+'Amer Life Asr'!B38+'American Medical'!B38+'Amer Std Life Acc'!B38+AmerWstrn!B38+'AMS Life'!B38+'Andrew Jackson'!B38+'Bankers Commercial'!B38+Benicorp!B38+Centennial!B38+'Coastal States'!B38+'Confed Life (CLIC)'!B38+'Consolidated National'!B38+'Consumers Mutual'!B38+'Consumers United'!B38+'Corporate Life'!B38+'Diamond Benefits'!B38+'EBL Life'!B38+'Family Guaranty'!B38+'Fidelity Bankers'!B38+'First Natl'!B38+'Franklin American'!B38+'Franklin Protective'!B38+'George Washington'!B38+'Golden State'!B38+'Guarantee Security'!B38+Imerica!B38+'Inter-American'!B38+'International Fin'!B38+'Investment Life of America'!B38+'Investors Equity'!B38+'Kentucky Central'!B38+Legion!B38+'London Pac'!B38+'Medical Savings'!B38+'Midwest Life'!B38+'Mutual Benefit'!B38+'Mutual Security'!B38+'National Affiliated'!B38+'Natl American'!B38+'National Heritage'!B38+'New Jersey Life'!B38+'Old Colony Life'!B38+'Old Faithful'!B38+'Pacific Standard'!B38+'Red Rock'!B38+SeeChange!B38+'States General'!B38+Statesman!B38+'Summit National'!B38+Supreme!B38+Underwriters!B38+Unison!B38+'United Republic'!B38+Universe!B38+Villanova!B38</f>
        <v>-36964.970106366323</v>
      </c>
      <c r="C38" s="1">
        <f>+'Alabama Life'!C38+'American Chambers'!C38+'American Educators'!C38+'American Integrity'!C38+'Amer Life Asr'!C38+'American Medical'!C38+'Amer Std Life Acc'!C38+AmerWstrn!C38+'AMS Life'!C38+'Andrew Jackson'!C38+'Bankers Commercial'!C38+Benicorp!C38+Centennial!C38+'Coastal States'!C38+'Confed Life (CLIC)'!C38+'Consolidated National'!C38+'Consumers Mutual'!C38+'Consumers United'!C38+'Corporate Life'!C38+'Diamond Benefits'!C38+'EBL Life'!C38+'Family Guaranty'!C38+'Fidelity Bankers'!C38+'First Natl'!C38+'Franklin American'!C38+'Franklin Protective'!C38+'George Washington'!C38+'Golden State'!C38+'Guarantee Security'!C38+Imerica!C38+'Inter-American'!C38+'International Fin'!C38+'Investment Life of America'!C38+'Investors Equity'!C38+'Kentucky Central'!C38+Legion!C38+'London Pac'!C38+'Medical Savings'!C38+'Midwest Life'!C38+'Mutual Benefit'!C38+'Mutual Security'!C38+'National Affiliated'!C38+'Natl American'!C38+'National Heritage'!C38+'New Jersey Life'!C38+'Old Colony Life'!C38+'Old Faithful'!C38+'Pacific Standard'!C38+'Red Rock'!C38+SeeChange!C38+'States General'!C38+Statesman!C38+'Summit National'!C38+Supreme!C38+Underwriters!C38+Unison!C38+'United Republic'!C38+Universe!C38+Villanova!C38</f>
        <v>-265512.21401918307</v>
      </c>
      <c r="D38" s="1">
        <f>+'Alabama Life'!D38+'American Chambers'!D38+'American Educators'!D38+'American Integrity'!D38+'Amer Life Asr'!D38+'American Medical'!D38+'Amer Std Life Acc'!D38+AmerWstrn!D38+'AMS Life'!D38+'Andrew Jackson'!D38+'Bankers Commercial'!D38+Benicorp!D38+Centennial!D38+'Coastal States'!D38+'Confed Life (CLIC)'!D38+'Consolidated National'!D38+'Consumers Mutual'!D38+'Consumers United'!D38+'Corporate Life'!D38+'Diamond Benefits'!D38+'EBL Life'!D38+'Family Guaranty'!D38+'Fidelity Bankers'!D38+'First Natl'!D38+'Franklin American'!D38+'Franklin Protective'!D38+'George Washington'!D38+'Golden State'!D38+'Guarantee Security'!D38+Imerica!D38+'Inter-American'!D38+'International Fin'!D38+'Investment Life of America'!D38+'Investors Equity'!D38+'Kentucky Central'!D38+Legion!D38+'London Pac'!D38+'Medical Savings'!D38+'Midwest Life'!D38+'Mutual Benefit'!D38+'Mutual Security'!D38+'National Affiliated'!D38+'Natl American'!D38+'National Heritage'!D38+'New Jersey Life'!D38+'Old Colony Life'!D38+'Old Faithful'!D38+'Pacific Standard'!D38+'Red Rock'!D38+SeeChange!D38+'States General'!D38+Statesman!D38+'Summit National'!D38+Supreme!D38+Underwriters!D38+Unison!D38+'United Republic'!D38+Universe!D38+Villanova!D38</f>
        <v>-76969.752548816075</v>
      </c>
      <c r="E38" s="1">
        <f>+'Alabama Life'!E38+'American Chambers'!E38+'American Educators'!E38+'American Integrity'!E38+'Amer Life Asr'!E38+'American Medical'!E38+'Amer Std Life Acc'!E38+AmerWstrn!E38+'AMS Life'!E38+'Andrew Jackson'!E38+'Bankers Commercial'!E38+Benicorp!E38+Centennial!E38+'Coastal States'!E38+'Confed Life (CLIC)'!E38+'Consolidated National'!E38+'Consumers Mutual'!E38+'Consumers United'!E38+'Corporate Life'!E38+'Diamond Benefits'!E38+'EBL Life'!E38+'Family Guaranty'!E38+'Fidelity Bankers'!E38+'First Natl'!E38+'Franklin American'!E38+'Franklin Protective'!E38+'George Washington'!E38+'Golden State'!E38+'Guarantee Security'!E38+Imerica!E38+'Inter-American'!E38+'International Fin'!E38+'Investment Life of America'!E38+'Investors Equity'!E38+'Kentucky Central'!E38+Legion!E38+'London Pac'!E38+'Medical Savings'!E38+'Midwest Life'!E38+'Mutual Benefit'!E38+'Mutual Security'!E38+'National Affiliated'!E38+'Natl American'!E38+'National Heritage'!E38+'New Jersey Life'!E38+'Old Colony Life'!E38+'Old Faithful'!E38+'Pacific Standard'!E38+'Red Rock'!E38+SeeChange!E38+'States General'!E38+Statesman!E38+'Summit National'!E38+Supreme!E38+Underwriters!E38+Unison!E38+'United Republic'!E38+Universe!E38+Villanova!E38</f>
        <v>-9646.7778394741181</v>
      </c>
      <c r="F38" s="1">
        <f>+'Alabama Life'!F38+'American Chambers'!F38+'American Educators'!F38+'American Integrity'!F38+'Amer Life Asr'!F38+'American Medical'!F38+'Amer Std Life Acc'!F38+AmerWstrn!F38+'AMS Life'!F38+'Andrew Jackson'!F38+'Bankers Commercial'!F38+Benicorp!F38+Centennial!F38+'Coastal States'!F38+'Confed Life (CLIC)'!F38+'Consolidated National'!F38+'Consumers Mutual'!F38+'Consumers United'!F38+'Corporate Life'!F38+'Diamond Benefits'!F38+'EBL Life'!F38+'Family Guaranty'!F38+'Fidelity Bankers'!F38+'First Natl'!F38+'Franklin American'!F38+'Franklin Protective'!F38+'George Washington'!F38+'Golden State'!F38+'Guarantee Security'!F38+Imerica!F38+'Inter-American'!F38+'International Fin'!F38+'Investment Life of America'!F38+'Investors Equity'!F38+'Kentucky Central'!F38+Legion!F38+'London Pac'!F38+'Medical Savings'!F38+'Midwest Life'!F38+'Mutual Benefit'!F38+'Mutual Security'!F38+'National Affiliated'!F38+'Natl American'!F38+'National Heritage'!F38+'New Jersey Life'!F38+'Old Colony Life'!F38+'Old Faithful'!F38+'Pacific Standard'!F38+'Red Rock'!F38+SeeChange!F38+'States General'!F38+Statesman!F38+'Summit National'!F38+Supreme!F38+Underwriters!F38+Unison!F38+'United Republic'!F38+Universe!F38+Villanova!F38</f>
        <v>0</v>
      </c>
      <c r="G38" s="1">
        <f t="shared" ref="G38:G58" si="2">SUM(B38:F38)</f>
        <v>-389093.71451383957</v>
      </c>
      <c r="H38" s="1">
        <f>+'Alabama Life'!G38+'American Chambers'!G38+'American Educators'!G38+'American Integrity'!G38+'Amer Life Asr'!G38+'American Medical'!G38+'Amer Std Life Acc'!G38+AmerWstrn!G38+'AMS Life'!G38+'Andrew Jackson'!G38+'Bankers Commercial'!G38+Benicorp!G38+Centennial!G38+'Coastal States'!G38+'Confed Life (CLIC)'!G38+'Consolidated National'!G38+'Consumers Mutual'!G38+'Consumers United'!G38+'Corporate Life'!G38+'Diamond Benefits'!G38+'EBL Life'!G38+'Family Guaranty'!G38+'Fidelity Bankers'!G38+'First Natl'!G38+'Franklin American'!G38+'Franklin Protective'!G38+'George Washington'!G38+'Golden State'!G38+'Guarantee Security'!G38+Imerica!G38+'Inter-American'!G38+'International Fin'!G38+'Investment Life of America'!G38+'Investors Equity'!G38+'Kentucky Central'!G38+Legion!G38+'London Pac'!G38+'Medical Savings'!G38+'Midwest Life'!G38+'Mutual Benefit'!G38+'Mutual Security'!G38+'National Affiliated'!G38+'Natl American'!G38+'National Heritage'!G38+'New Jersey Life'!G38+'Old Colony Life'!G38+'Old Faithful'!G38+'Pacific Standard'!G38+'Red Rock'!G38+SeeChange!G38+'States General'!G38+Statesman!G38+'Summit National'!G38+Supreme!G38+Underwriters!G38+Unison!G38+'United Republic'!G38+Universe!G38+Villanova!G38</f>
        <v>-389093.71451383963</v>
      </c>
      <c r="I38" s="1">
        <f t="shared" ref="I38:I58" si="3">G38-H38</f>
        <v>0</v>
      </c>
      <c r="K38" s="1" t="s">
        <v>524</v>
      </c>
      <c r="L38" s="1">
        <f>Summary!TOTAL_76015</f>
        <v>15757958.124517085</v>
      </c>
    </row>
    <row r="39" spans="1:12">
      <c r="A39" s="1" t="s">
        <v>60</v>
      </c>
      <c r="B39" s="1">
        <f>+'Alabama Life'!B39+'American Chambers'!B39+'American Educators'!B39+'American Integrity'!B39+'Amer Life Asr'!B39+'American Medical'!B39+'Amer Std Life Acc'!B39+AmerWstrn!B39+'AMS Life'!B39+'Andrew Jackson'!B39+'Bankers Commercial'!B39+Benicorp!B39+Centennial!B39+'Coastal States'!B39+'Confed Life (CLIC)'!B39+'Consolidated National'!B39+'Consumers Mutual'!B39+'Consumers United'!B39+'Corporate Life'!B39+'Diamond Benefits'!B39+'EBL Life'!B39+'Family Guaranty'!B39+'Fidelity Bankers'!B39+'First Natl'!B39+'Franklin American'!B39+'Franklin Protective'!B39+'George Washington'!B39+'Golden State'!B39+'Guarantee Security'!B39+Imerica!B39+'Inter-American'!B39+'International Fin'!B39+'Investment Life of America'!B39+'Investors Equity'!B39+'Kentucky Central'!B39+Legion!B39+'London Pac'!B39+'Medical Savings'!B39+'Midwest Life'!B39+'Mutual Benefit'!B39+'Mutual Security'!B39+'National Affiliated'!B39+'Natl American'!B39+'National Heritage'!B39+'New Jersey Life'!B39+'Old Colony Life'!B39+'Old Faithful'!B39+'Pacific Standard'!B39+'Red Rock'!B39+SeeChange!B39+'States General'!B39+Statesman!B39+'Summit National'!B39+Supreme!B39+Underwriters!B39+Unison!B39+'United Republic'!B39+Universe!B39+Villanova!B39</f>
        <v>10342327.780830346</v>
      </c>
      <c r="C39" s="1">
        <f>+'Alabama Life'!C39+'American Chambers'!C39+'American Educators'!C39+'American Integrity'!C39+'Amer Life Asr'!C39+'American Medical'!C39+'Amer Std Life Acc'!C39+AmerWstrn!C39+'AMS Life'!C39+'Andrew Jackson'!C39+'Bankers Commercial'!C39+Benicorp!C39+Centennial!C39+'Coastal States'!C39+'Confed Life (CLIC)'!C39+'Consolidated National'!C39+'Consumers Mutual'!C39+'Consumers United'!C39+'Corporate Life'!C39+'Diamond Benefits'!C39+'EBL Life'!C39+'Family Guaranty'!C39+'Fidelity Bankers'!C39+'First Natl'!C39+'Franklin American'!C39+'Franklin Protective'!C39+'George Washington'!C39+'Golden State'!C39+'Guarantee Security'!C39+Imerica!C39+'Inter-American'!C39+'International Fin'!C39+'Investment Life of America'!C39+'Investors Equity'!C39+'Kentucky Central'!C39+Legion!C39+'London Pac'!C39+'Medical Savings'!C39+'Midwest Life'!C39+'Mutual Benefit'!C39+'Mutual Security'!C39+'National Affiliated'!C39+'Natl American'!C39+'National Heritage'!C39+'New Jersey Life'!C39+'Old Colony Life'!C39+'Old Faithful'!C39+'Pacific Standard'!C39+'Red Rock'!C39+SeeChange!C39+'States General'!C39+Statesman!C39+'Summit National'!C39+Supreme!C39+Underwriters!C39+Unison!C39+'United Republic'!C39+Universe!C39+Villanova!C39</f>
        <v>13531551.625670722</v>
      </c>
      <c r="D39" s="1">
        <f>+'Alabama Life'!D39+'American Chambers'!D39+'American Educators'!D39+'American Integrity'!D39+'Amer Life Asr'!D39+'American Medical'!D39+'Amer Std Life Acc'!D39+AmerWstrn!D39+'AMS Life'!D39+'Andrew Jackson'!D39+'Bankers Commercial'!D39+Benicorp!D39+Centennial!D39+'Coastal States'!D39+'Confed Life (CLIC)'!D39+'Consolidated National'!D39+'Consumers Mutual'!D39+'Consumers United'!D39+'Corporate Life'!D39+'Diamond Benefits'!D39+'EBL Life'!D39+'Family Guaranty'!D39+'Fidelity Bankers'!D39+'First Natl'!D39+'Franklin American'!D39+'Franklin Protective'!D39+'George Washington'!D39+'Golden State'!D39+'Guarantee Security'!D39+Imerica!D39+'Inter-American'!D39+'International Fin'!D39+'Investment Life of America'!D39+'Investors Equity'!D39+'Kentucky Central'!D39+Legion!D39+'London Pac'!D39+'Medical Savings'!D39+'Midwest Life'!D39+'Mutual Benefit'!D39+'Mutual Security'!D39+'National Affiliated'!D39+'Natl American'!D39+'National Heritage'!D39+'New Jersey Life'!D39+'Old Colony Life'!D39+'Old Faithful'!D39+'Pacific Standard'!D39+'Red Rock'!D39+SeeChange!D39+'States General'!D39+Statesman!D39+'Summit National'!D39+Supreme!D39+Underwriters!D39+Unison!D39+'United Republic'!D39+Universe!D39+Villanova!D39</f>
        <v>-270429.03677539813</v>
      </c>
      <c r="E39" s="1">
        <f>+'Alabama Life'!E39+'American Chambers'!E39+'American Educators'!E39+'American Integrity'!E39+'Amer Life Asr'!E39+'American Medical'!E39+'Amer Std Life Acc'!E39+AmerWstrn!E39+'AMS Life'!E39+'Andrew Jackson'!E39+'Bankers Commercial'!E39+Benicorp!E39+Centennial!E39+'Coastal States'!E39+'Confed Life (CLIC)'!E39+'Consolidated National'!E39+'Consumers Mutual'!E39+'Consumers United'!E39+'Corporate Life'!E39+'Diamond Benefits'!E39+'EBL Life'!E39+'Family Guaranty'!E39+'Fidelity Bankers'!E39+'First Natl'!E39+'Franklin American'!E39+'Franklin Protective'!E39+'George Washington'!E39+'Golden State'!E39+'Guarantee Security'!E39+Imerica!E39+'Inter-American'!E39+'International Fin'!E39+'Investment Life of America'!E39+'Investors Equity'!E39+'Kentucky Central'!E39+Legion!E39+'London Pac'!E39+'Medical Savings'!E39+'Midwest Life'!E39+'Mutual Benefit'!E39+'Mutual Security'!E39+'National Affiliated'!E39+'Natl American'!E39+'National Heritage'!E39+'New Jersey Life'!E39+'Old Colony Life'!E39+'Old Faithful'!E39+'Pacific Standard'!E39+'Red Rock'!E39+SeeChange!E39+'States General'!E39+Statesman!E39+'Summit National'!E39+Supreme!E39+Underwriters!E39+Unison!E39+'United Republic'!E39+Universe!E39+Villanova!E39</f>
        <v>219176.06225038791</v>
      </c>
      <c r="F39" s="1">
        <f>+'Alabama Life'!F39+'American Chambers'!F39+'American Educators'!F39+'American Integrity'!F39+'Amer Life Asr'!F39+'American Medical'!F39+'Amer Std Life Acc'!F39+AmerWstrn!F39+'AMS Life'!F39+'Andrew Jackson'!F39+'Bankers Commercial'!F39+Benicorp!F39+Centennial!F39+'Coastal States'!F39+'Confed Life (CLIC)'!F39+'Consolidated National'!F39+'Consumers Mutual'!F39+'Consumers United'!F39+'Corporate Life'!F39+'Diamond Benefits'!F39+'EBL Life'!F39+'Family Guaranty'!F39+'Fidelity Bankers'!F39+'First Natl'!F39+'Franklin American'!F39+'Franklin Protective'!F39+'George Washington'!F39+'Golden State'!F39+'Guarantee Security'!F39+Imerica!F39+'Inter-American'!F39+'International Fin'!F39+'Investment Life of America'!F39+'Investors Equity'!F39+'Kentucky Central'!F39+Legion!F39+'London Pac'!F39+'Medical Savings'!F39+'Midwest Life'!F39+'Mutual Benefit'!F39+'Mutual Security'!F39+'National Affiliated'!F39+'Natl American'!F39+'National Heritage'!F39+'New Jersey Life'!F39+'Old Colony Life'!F39+'Old Faithful'!F39+'Pacific Standard'!F39+'Red Rock'!F39+SeeChange!F39+'States General'!F39+Statesman!F39+'Summit National'!F39+Supreme!F39+Underwriters!F39+Unison!F39+'United Republic'!F39+Universe!F39+Villanova!F39</f>
        <v>0</v>
      </c>
      <c r="G39" s="1">
        <f t="shared" si="2"/>
        <v>23822626.431976058</v>
      </c>
      <c r="H39" s="1">
        <f>+'Alabama Life'!G39+'American Chambers'!G39+'American Educators'!G39+'American Integrity'!G39+'Amer Life Asr'!G39+'American Medical'!G39+'Amer Std Life Acc'!G39+AmerWstrn!G39+'AMS Life'!G39+'Andrew Jackson'!G39+'Bankers Commercial'!G39+Benicorp!G39+Centennial!G39+'Coastal States'!G39+'Confed Life (CLIC)'!G39+'Consolidated National'!G39+'Consumers Mutual'!G39+'Consumers United'!G39+'Corporate Life'!G39+'Diamond Benefits'!G39+'EBL Life'!G39+'Family Guaranty'!G39+'Fidelity Bankers'!G39+'First Natl'!G39+'Franklin American'!G39+'Franklin Protective'!G39+'George Washington'!G39+'Golden State'!G39+'Guarantee Security'!G39+Imerica!G39+'Inter-American'!G39+'International Fin'!G39+'Investment Life of America'!G39+'Investors Equity'!G39+'Kentucky Central'!G39+Legion!G39+'London Pac'!G39+'Medical Savings'!G39+'Midwest Life'!G39+'Mutual Benefit'!G39+'Mutual Security'!G39+'National Affiliated'!G39+'Natl American'!G39+'National Heritage'!G39+'New Jersey Life'!G39+'Old Colony Life'!G39+'Old Faithful'!G39+'Pacific Standard'!G39+'Red Rock'!G39+SeeChange!G39+'States General'!G39+Statesman!G39+'Summit National'!G39+Supreme!G39+Underwriters!G39+Unison!G39+'United Republic'!G39+Universe!G39+Villanova!G39</f>
        <v>23822626.431976054</v>
      </c>
      <c r="I39" s="1">
        <f t="shared" si="3"/>
        <v>0</v>
      </c>
      <c r="K39" s="1" t="s">
        <v>530</v>
      </c>
      <c r="L39" s="1">
        <f>Summary!TOTAL_64874</f>
        <v>37078074.870000005</v>
      </c>
    </row>
    <row r="40" spans="1:12">
      <c r="A40" s="1" t="s">
        <v>61</v>
      </c>
      <c r="B40" s="1">
        <f>+'Alabama Life'!B40+'American Chambers'!B40+'American Educators'!B40+'American Integrity'!B40+'Amer Life Asr'!B40+'American Medical'!B40+'Amer Std Life Acc'!B40+AmerWstrn!B40+'AMS Life'!B40+'Andrew Jackson'!B40+'Bankers Commercial'!B40+Benicorp!B40+Centennial!B40+'Coastal States'!B40+'Confed Life (CLIC)'!B40+'Consolidated National'!B40+'Consumers Mutual'!B40+'Consumers United'!B40+'Corporate Life'!B40+'Diamond Benefits'!B40+'EBL Life'!B40+'Family Guaranty'!B40+'Fidelity Bankers'!B40+'First Natl'!B40+'Franklin American'!B40+'Franklin Protective'!B40+'George Washington'!B40+'Golden State'!B40+'Guarantee Security'!B40+Imerica!B40+'Inter-American'!B40+'International Fin'!B40+'Investment Life of America'!B40+'Investors Equity'!B40+'Kentucky Central'!B40+Legion!B40+'London Pac'!B40+'Medical Savings'!B40+'Midwest Life'!B40+'Mutual Benefit'!B40+'Mutual Security'!B40+'National Affiliated'!B40+'Natl American'!B40+'National Heritage'!B40+'New Jersey Life'!B40+'Old Colony Life'!B40+'Old Faithful'!B40+'Pacific Standard'!B40+'Red Rock'!B40+SeeChange!B40+'States General'!B40+Statesman!B40+'Summit National'!B40+Supreme!B40+Underwriters!B40+Unison!B40+'United Republic'!B40+Universe!B40+Villanova!B40</f>
        <v>767887.77543516736</v>
      </c>
      <c r="C40" s="1">
        <f>+'Alabama Life'!C40+'American Chambers'!C40+'American Educators'!C40+'American Integrity'!C40+'Amer Life Asr'!C40+'American Medical'!C40+'Amer Std Life Acc'!C40+AmerWstrn!C40+'AMS Life'!C40+'Andrew Jackson'!C40+'Bankers Commercial'!C40+Benicorp!C40+Centennial!C40+'Coastal States'!C40+'Confed Life (CLIC)'!C40+'Consolidated National'!C40+'Consumers Mutual'!C40+'Consumers United'!C40+'Corporate Life'!C40+'Diamond Benefits'!C40+'EBL Life'!C40+'Family Guaranty'!C40+'Fidelity Bankers'!C40+'First Natl'!C40+'Franklin American'!C40+'Franklin Protective'!C40+'George Washington'!C40+'Golden State'!C40+'Guarantee Security'!C40+Imerica!C40+'Inter-American'!C40+'International Fin'!C40+'Investment Life of America'!C40+'Investors Equity'!C40+'Kentucky Central'!C40+Legion!C40+'London Pac'!C40+'Medical Savings'!C40+'Midwest Life'!C40+'Mutual Benefit'!C40+'Mutual Security'!C40+'National Affiliated'!C40+'Natl American'!C40+'National Heritage'!C40+'New Jersey Life'!C40+'Old Colony Life'!C40+'Old Faithful'!C40+'Pacific Standard'!C40+'Red Rock'!C40+SeeChange!C40+'States General'!C40+Statesman!C40+'Summit National'!C40+Supreme!C40+Underwriters!C40+Unison!C40+'United Republic'!C40+Universe!C40+Villanova!C40</f>
        <v>2192382.1271813982</v>
      </c>
      <c r="D40" s="1">
        <f>+'Alabama Life'!D40+'American Chambers'!D40+'American Educators'!D40+'American Integrity'!D40+'Amer Life Asr'!D40+'American Medical'!D40+'Amer Std Life Acc'!D40+AmerWstrn!D40+'AMS Life'!D40+'Andrew Jackson'!D40+'Bankers Commercial'!D40+Benicorp!D40+Centennial!D40+'Coastal States'!D40+'Confed Life (CLIC)'!D40+'Consolidated National'!D40+'Consumers Mutual'!D40+'Consumers United'!D40+'Corporate Life'!D40+'Diamond Benefits'!D40+'EBL Life'!D40+'Family Guaranty'!D40+'Fidelity Bankers'!D40+'First Natl'!D40+'Franklin American'!D40+'Franklin Protective'!D40+'George Washington'!D40+'Golden State'!D40+'Guarantee Security'!D40+Imerica!D40+'Inter-American'!D40+'International Fin'!D40+'Investment Life of America'!D40+'Investors Equity'!D40+'Kentucky Central'!D40+Legion!D40+'London Pac'!D40+'Medical Savings'!D40+'Midwest Life'!D40+'Mutual Benefit'!D40+'Mutual Security'!D40+'National Affiliated'!D40+'Natl American'!D40+'National Heritage'!D40+'New Jersey Life'!D40+'Old Colony Life'!D40+'Old Faithful'!D40+'Pacific Standard'!D40+'Red Rock'!D40+SeeChange!D40+'States General'!D40+Statesman!D40+'Summit National'!D40+Supreme!D40+Underwriters!D40+Unison!D40+'United Republic'!D40+Universe!D40+Villanova!D40</f>
        <v>1210513.4135330361</v>
      </c>
      <c r="E40" s="1">
        <f>+'Alabama Life'!E40+'American Chambers'!E40+'American Educators'!E40+'American Integrity'!E40+'Amer Life Asr'!E40+'American Medical'!E40+'Amer Std Life Acc'!E40+AmerWstrn!E40+'AMS Life'!E40+'Andrew Jackson'!E40+'Bankers Commercial'!E40+Benicorp!E40+Centennial!E40+'Coastal States'!E40+'Confed Life (CLIC)'!E40+'Consolidated National'!E40+'Consumers Mutual'!E40+'Consumers United'!E40+'Corporate Life'!E40+'Diamond Benefits'!E40+'EBL Life'!E40+'Family Guaranty'!E40+'Fidelity Bankers'!E40+'First Natl'!E40+'Franklin American'!E40+'Franklin Protective'!E40+'George Washington'!E40+'Golden State'!E40+'Guarantee Security'!E40+Imerica!E40+'Inter-American'!E40+'International Fin'!E40+'Investment Life of America'!E40+'Investors Equity'!E40+'Kentucky Central'!E40+Legion!E40+'London Pac'!E40+'Medical Savings'!E40+'Midwest Life'!E40+'Mutual Benefit'!E40+'Mutual Security'!E40+'National Affiliated'!E40+'Natl American'!E40+'National Heritage'!E40+'New Jersey Life'!E40+'Old Colony Life'!E40+'Old Faithful'!E40+'Pacific Standard'!E40+'Red Rock'!E40+SeeChange!E40+'States General'!E40+Statesman!E40+'Summit National'!E40+Supreme!E40+Underwriters!E40+Unison!E40+'United Republic'!E40+Universe!E40+Villanova!E40</f>
        <v>0</v>
      </c>
      <c r="F40" s="1">
        <f>+'Alabama Life'!F40+'American Chambers'!F40+'American Educators'!F40+'American Integrity'!F40+'Amer Life Asr'!F40+'American Medical'!F40+'Amer Std Life Acc'!F40+AmerWstrn!F40+'AMS Life'!F40+'Andrew Jackson'!F40+'Bankers Commercial'!F40+Benicorp!F40+Centennial!F40+'Coastal States'!F40+'Confed Life (CLIC)'!F40+'Consolidated National'!F40+'Consumers Mutual'!F40+'Consumers United'!F40+'Corporate Life'!F40+'Diamond Benefits'!F40+'EBL Life'!F40+'Family Guaranty'!F40+'Fidelity Bankers'!F40+'First Natl'!F40+'Franklin American'!F40+'Franklin Protective'!F40+'George Washington'!F40+'Golden State'!F40+'Guarantee Security'!F40+Imerica!F40+'Inter-American'!F40+'International Fin'!F40+'Investment Life of America'!F40+'Investors Equity'!F40+'Kentucky Central'!F40+Legion!F40+'London Pac'!F40+'Medical Savings'!F40+'Midwest Life'!F40+'Mutual Benefit'!F40+'Mutual Security'!F40+'National Affiliated'!F40+'Natl American'!F40+'National Heritage'!F40+'New Jersey Life'!F40+'Old Colony Life'!F40+'Old Faithful'!F40+'Pacific Standard'!F40+'Red Rock'!F40+SeeChange!F40+'States General'!F40+Statesman!F40+'Summit National'!F40+Supreme!F40+Underwriters!F40+Unison!F40+'United Republic'!F40+Universe!F40+Villanova!F40</f>
        <v>0</v>
      </c>
      <c r="G40" s="1">
        <f t="shared" si="2"/>
        <v>4170783.3161496017</v>
      </c>
      <c r="H40" s="1">
        <f>+'Alabama Life'!G40+'American Chambers'!G40+'American Educators'!G40+'American Integrity'!G40+'Amer Life Asr'!G40+'American Medical'!G40+'Amer Std Life Acc'!G40+AmerWstrn!G40+'AMS Life'!G40+'Andrew Jackson'!G40+'Bankers Commercial'!G40+Benicorp!G40+Centennial!G40+'Coastal States'!G40+'Confed Life (CLIC)'!G40+'Consolidated National'!G40+'Consumers Mutual'!G40+'Consumers United'!G40+'Corporate Life'!G40+'Diamond Benefits'!G40+'EBL Life'!G40+'Family Guaranty'!G40+'Fidelity Bankers'!G40+'First Natl'!G40+'Franklin American'!G40+'Franklin Protective'!G40+'George Washington'!G40+'Golden State'!G40+'Guarantee Security'!G40+Imerica!G40+'Inter-American'!G40+'International Fin'!G40+'Investment Life of America'!G40+'Investors Equity'!G40+'Kentucky Central'!G40+Legion!G40+'London Pac'!G40+'Medical Savings'!G40+'Midwest Life'!G40+'Mutual Benefit'!G40+'Mutual Security'!G40+'National Affiliated'!G40+'Natl American'!G40+'National Heritage'!G40+'New Jersey Life'!G40+'Old Colony Life'!G40+'Old Faithful'!G40+'Pacific Standard'!G40+'Red Rock'!G40+SeeChange!G40+'States General'!G40+Statesman!G40+'Summit National'!G40+Supreme!G40+Underwriters!G40+Unison!G40+'United Republic'!G40+Universe!G40+Villanova!G40</f>
        <v>4170783.3161496017</v>
      </c>
      <c r="I40" s="1">
        <f t="shared" si="3"/>
        <v>0</v>
      </c>
      <c r="K40" s="1" t="s">
        <v>537</v>
      </c>
      <c r="L40" s="1">
        <f>Summary!TOTAL_65188</f>
        <v>-12501289.675266903</v>
      </c>
    </row>
    <row r="41" spans="1:12">
      <c r="A41" s="1" t="s">
        <v>62</v>
      </c>
      <c r="B41" s="1">
        <f>+'Alabama Life'!B41+'American Chambers'!B41+'American Educators'!B41+'American Integrity'!B41+'Amer Life Asr'!B41+'American Medical'!B41+'Amer Std Life Acc'!B41+AmerWstrn!B41+'AMS Life'!B41+'Andrew Jackson'!B41+'Bankers Commercial'!B41+Benicorp!B41+Centennial!B41+'Coastal States'!B41+'Confed Life (CLIC)'!B41+'Consolidated National'!B41+'Consumers Mutual'!B41+'Consumers United'!B41+'Corporate Life'!B41+'Diamond Benefits'!B41+'EBL Life'!B41+'Family Guaranty'!B41+'Fidelity Bankers'!B41+'First Natl'!B41+'Franklin American'!B41+'Franklin Protective'!B41+'George Washington'!B41+'Golden State'!B41+'Guarantee Security'!B41+Imerica!B41+'Inter-American'!B41+'International Fin'!B41+'Investment Life of America'!B41+'Investors Equity'!B41+'Kentucky Central'!B41+Legion!B41+'London Pac'!B41+'Medical Savings'!B41+'Midwest Life'!B41+'Mutual Benefit'!B41+'Mutual Security'!B41+'National Affiliated'!B41+'Natl American'!B41+'National Heritage'!B41+'New Jersey Life'!B41+'Old Colony Life'!B41+'Old Faithful'!B41+'Pacific Standard'!B41+'Red Rock'!B41+SeeChange!B41+'States General'!B41+Statesman!B41+'Summit National'!B41+Supreme!B41+Underwriters!B41+Unison!B41+'United Republic'!B41+Universe!B41+Villanova!B41</f>
        <v>9769635.4872992132</v>
      </c>
      <c r="C41" s="1">
        <f>+'Alabama Life'!C41+'American Chambers'!C41+'American Educators'!C41+'American Integrity'!C41+'Amer Life Asr'!C41+'American Medical'!C41+'Amer Std Life Acc'!C41+AmerWstrn!C41+'AMS Life'!C41+'Andrew Jackson'!C41+'Bankers Commercial'!C41+Benicorp!C41+Centennial!C41+'Coastal States'!C41+'Confed Life (CLIC)'!C41+'Consolidated National'!C41+'Consumers Mutual'!C41+'Consumers United'!C41+'Corporate Life'!C41+'Diamond Benefits'!C41+'EBL Life'!C41+'Family Guaranty'!C41+'Fidelity Bankers'!C41+'First Natl'!C41+'Franklin American'!C41+'Franklin Protective'!C41+'George Washington'!C41+'Golden State'!C41+'Guarantee Security'!C41+Imerica!C41+'Inter-American'!C41+'International Fin'!C41+'Investment Life of America'!C41+'Investors Equity'!C41+'Kentucky Central'!C41+Legion!C41+'London Pac'!C41+'Medical Savings'!C41+'Midwest Life'!C41+'Mutual Benefit'!C41+'Mutual Security'!C41+'National Affiliated'!C41+'Natl American'!C41+'National Heritage'!C41+'New Jersey Life'!C41+'Old Colony Life'!C41+'Old Faithful'!C41+'Pacific Standard'!C41+'Red Rock'!C41+SeeChange!C41+'States General'!C41+Statesman!C41+'Summit National'!C41+Supreme!C41+Underwriters!C41+Unison!C41+'United Republic'!C41+Universe!C41+Villanova!C41</f>
        <v>19796892.807808839</v>
      </c>
      <c r="D41" s="1">
        <f>+'Alabama Life'!D41+'American Chambers'!D41+'American Educators'!D41+'American Integrity'!D41+'Amer Life Asr'!D41+'American Medical'!D41+'Amer Std Life Acc'!D41+AmerWstrn!D41+'AMS Life'!D41+'Andrew Jackson'!D41+'Bankers Commercial'!D41+Benicorp!D41+Centennial!D41+'Coastal States'!D41+'Confed Life (CLIC)'!D41+'Consolidated National'!D41+'Consumers Mutual'!D41+'Consumers United'!D41+'Corporate Life'!D41+'Diamond Benefits'!D41+'EBL Life'!D41+'Family Guaranty'!D41+'Fidelity Bankers'!D41+'First Natl'!D41+'Franklin American'!D41+'Franklin Protective'!D41+'George Washington'!D41+'Golden State'!D41+'Guarantee Security'!D41+Imerica!D41+'Inter-American'!D41+'International Fin'!D41+'Investment Life of America'!D41+'Investors Equity'!D41+'Kentucky Central'!D41+Legion!D41+'London Pac'!D41+'Medical Savings'!D41+'Midwest Life'!D41+'Mutual Benefit'!D41+'Mutual Security'!D41+'National Affiliated'!D41+'Natl American'!D41+'National Heritage'!D41+'New Jersey Life'!D41+'Old Colony Life'!D41+'Old Faithful'!D41+'Pacific Standard'!D41+'Red Rock'!D41+SeeChange!D41+'States General'!D41+Statesman!D41+'Summit National'!D41+Supreme!D41+Underwriters!D41+Unison!D41+'United Republic'!D41+Universe!D41+Villanova!D41</f>
        <v>8606891.6062687617</v>
      </c>
      <c r="E41" s="1">
        <f>+'Alabama Life'!E41+'American Chambers'!E41+'American Educators'!E41+'American Integrity'!E41+'Amer Life Asr'!E41+'American Medical'!E41+'Amer Std Life Acc'!E41+AmerWstrn!E41+'AMS Life'!E41+'Andrew Jackson'!E41+'Bankers Commercial'!E41+Benicorp!E41+Centennial!E41+'Coastal States'!E41+'Confed Life (CLIC)'!E41+'Consolidated National'!E41+'Consumers Mutual'!E41+'Consumers United'!E41+'Corporate Life'!E41+'Diamond Benefits'!E41+'EBL Life'!E41+'Family Guaranty'!E41+'Fidelity Bankers'!E41+'First Natl'!E41+'Franklin American'!E41+'Franklin Protective'!E41+'George Washington'!E41+'Golden State'!E41+'Guarantee Security'!E41+Imerica!E41+'Inter-American'!E41+'International Fin'!E41+'Investment Life of America'!E41+'Investors Equity'!E41+'Kentucky Central'!E41+Legion!E41+'London Pac'!E41+'Medical Savings'!E41+'Midwest Life'!E41+'Mutual Benefit'!E41+'Mutual Security'!E41+'National Affiliated'!E41+'Natl American'!E41+'National Heritage'!E41+'New Jersey Life'!E41+'Old Colony Life'!E41+'Old Faithful'!E41+'Pacific Standard'!E41+'Red Rock'!E41+SeeChange!E41+'States General'!E41+Statesman!E41+'Summit National'!E41+Supreme!E41+Underwriters!E41+Unison!E41+'United Republic'!E41+Universe!E41+Villanova!E41</f>
        <v>486636.95491450676</v>
      </c>
      <c r="F41" s="1">
        <f>+'Alabama Life'!F41+'American Chambers'!F41+'American Educators'!F41+'American Integrity'!F41+'Amer Life Asr'!F41+'American Medical'!F41+'Amer Std Life Acc'!F41+AmerWstrn!F41+'AMS Life'!F41+'Andrew Jackson'!F41+'Bankers Commercial'!F41+Benicorp!F41+Centennial!F41+'Coastal States'!F41+'Confed Life (CLIC)'!F41+'Consolidated National'!F41+'Consumers Mutual'!F41+'Consumers United'!F41+'Corporate Life'!F41+'Diamond Benefits'!F41+'EBL Life'!F41+'Family Guaranty'!F41+'Fidelity Bankers'!F41+'First Natl'!F41+'Franklin American'!F41+'Franklin Protective'!F41+'George Washington'!F41+'Golden State'!F41+'Guarantee Security'!F41+Imerica!F41+'Inter-American'!F41+'International Fin'!F41+'Investment Life of America'!F41+'Investors Equity'!F41+'Kentucky Central'!F41+Legion!F41+'London Pac'!F41+'Medical Savings'!F41+'Midwest Life'!F41+'Mutual Benefit'!F41+'Mutual Security'!F41+'National Affiliated'!F41+'Natl American'!F41+'National Heritage'!F41+'New Jersey Life'!F41+'Old Colony Life'!F41+'Old Faithful'!F41+'Pacific Standard'!F41+'Red Rock'!F41+SeeChange!F41+'States General'!F41+Statesman!F41+'Summit National'!F41+Supreme!F41+Underwriters!F41+Unison!F41+'United Republic'!F41+Universe!F41+Villanova!F41</f>
        <v>0</v>
      </c>
      <c r="G41" s="1">
        <f t="shared" si="2"/>
        <v>38660056.856291324</v>
      </c>
      <c r="H41" s="1">
        <f>+'Alabama Life'!G41+'American Chambers'!G41+'American Educators'!G41+'American Integrity'!G41+'Amer Life Asr'!G41+'American Medical'!G41+'Amer Std Life Acc'!G41+AmerWstrn!G41+'AMS Life'!G41+'Andrew Jackson'!G41+'Bankers Commercial'!G41+Benicorp!G41+Centennial!G41+'Coastal States'!G41+'Confed Life (CLIC)'!G41+'Consolidated National'!G41+'Consumers Mutual'!G41+'Consumers United'!G41+'Corporate Life'!G41+'Diamond Benefits'!G41+'EBL Life'!G41+'Family Guaranty'!G41+'Fidelity Bankers'!G41+'First Natl'!G41+'Franklin American'!G41+'Franklin Protective'!G41+'George Washington'!G41+'Golden State'!G41+'Guarantee Security'!G41+Imerica!G41+'Inter-American'!G41+'International Fin'!G41+'Investment Life of America'!G41+'Investors Equity'!G41+'Kentucky Central'!G41+Legion!G41+'London Pac'!G41+'Medical Savings'!G41+'Midwest Life'!G41+'Mutual Benefit'!G41+'Mutual Security'!G41+'National Affiliated'!G41+'Natl American'!G41+'National Heritage'!G41+'New Jersey Life'!G41+'Old Colony Life'!G41+'Old Faithful'!G41+'Pacific Standard'!G41+'Red Rock'!G41+SeeChange!G41+'States General'!G41+Statesman!G41+'Summit National'!G41+Supreme!G41+Underwriters!G41+Unison!G41+'United Republic'!G41+Universe!G41+Villanova!G41</f>
        <v>38660056.856291316</v>
      </c>
      <c r="I41" s="1">
        <f t="shared" si="3"/>
        <v>0</v>
      </c>
      <c r="K41" s="1" t="s">
        <v>544</v>
      </c>
      <c r="L41" s="1">
        <f>Summary!TOTAL_24422</f>
        <v>410967.5164547048</v>
      </c>
    </row>
    <row r="42" spans="1:12">
      <c r="A42" s="1" t="s">
        <v>63</v>
      </c>
      <c r="B42" s="1">
        <f>+'Alabama Life'!B42+'American Chambers'!B42+'American Educators'!B42+'American Integrity'!B42+'Amer Life Asr'!B42+'American Medical'!B42+'Amer Std Life Acc'!B42+AmerWstrn!B42+'AMS Life'!B42+'Andrew Jackson'!B42+'Bankers Commercial'!B42+Benicorp!B42+Centennial!B42+'Coastal States'!B42+'Confed Life (CLIC)'!B42+'Consolidated National'!B42+'Consumers Mutual'!B42+'Consumers United'!B42+'Corporate Life'!B42+'Diamond Benefits'!B42+'EBL Life'!B42+'Family Guaranty'!B42+'Fidelity Bankers'!B42+'First Natl'!B42+'Franklin American'!B42+'Franklin Protective'!B42+'George Washington'!B42+'Golden State'!B42+'Guarantee Security'!B42+Imerica!B42+'Inter-American'!B42+'International Fin'!B42+'Investment Life of America'!B42+'Investors Equity'!B42+'Kentucky Central'!B42+Legion!B42+'London Pac'!B42+'Medical Savings'!B42+'Midwest Life'!B42+'Mutual Benefit'!B42+'Mutual Security'!B42+'National Affiliated'!B42+'Natl American'!B42+'National Heritage'!B42+'New Jersey Life'!B42+'Old Colony Life'!B42+'Old Faithful'!B42+'Pacific Standard'!B42+'Red Rock'!B42+SeeChange!B42+'States General'!B42+Statesman!B42+'Summit National'!B42+Supreme!B42+Underwriters!B42+Unison!B42+'United Republic'!B42+Universe!B42+Villanova!B42</f>
        <v>5512148.2578000808</v>
      </c>
      <c r="C42" s="1">
        <f>+'Alabama Life'!C42+'American Chambers'!C42+'American Educators'!C42+'American Integrity'!C42+'Amer Life Asr'!C42+'American Medical'!C42+'Amer Std Life Acc'!C42+AmerWstrn!C42+'AMS Life'!C42+'Andrew Jackson'!C42+'Bankers Commercial'!C42+Benicorp!C42+Centennial!C42+'Coastal States'!C42+'Confed Life (CLIC)'!C42+'Consolidated National'!C42+'Consumers Mutual'!C42+'Consumers United'!C42+'Corporate Life'!C42+'Diamond Benefits'!C42+'EBL Life'!C42+'Family Guaranty'!C42+'Fidelity Bankers'!C42+'First Natl'!C42+'Franklin American'!C42+'Franklin Protective'!C42+'George Washington'!C42+'Golden State'!C42+'Guarantee Security'!C42+Imerica!C42+'Inter-American'!C42+'International Fin'!C42+'Investment Life of America'!C42+'Investors Equity'!C42+'Kentucky Central'!C42+Legion!C42+'London Pac'!C42+'Medical Savings'!C42+'Midwest Life'!C42+'Mutual Benefit'!C42+'Mutual Security'!C42+'National Affiliated'!C42+'Natl American'!C42+'National Heritage'!C42+'New Jersey Life'!C42+'Old Colony Life'!C42+'Old Faithful'!C42+'Pacific Standard'!C42+'Red Rock'!C42+SeeChange!C42+'States General'!C42+Statesman!C42+'Summit National'!C42+Supreme!C42+Underwriters!C42+Unison!C42+'United Republic'!C42+Universe!C42+Villanova!C42</f>
        <v>11103626.686769661</v>
      </c>
      <c r="D42" s="1">
        <f>+'Alabama Life'!D42+'American Chambers'!D42+'American Educators'!D42+'American Integrity'!D42+'Amer Life Asr'!D42+'American Medical'!D42+'Amer Std Life Acc'!D42+AmerWstrn!D42+'AMS Life'!D42+'Andrew Jackson'!D42+'Bankers Commercial'!D42+Benicorp!D42+Centennial!D42+'Coastal States'!D42+'Confed Life (CLIC)'!D42+'Consolidated National'!D42+'Consumers Mutual'!D42+'Consumers United'!D42+'Corporate Life'!D42+'Diamond Benefits'!D42+'EBL Life'!D42+'Family Guaranty'!D42+'Fidelity Bankers'!D42+'First Natl'!D42+'Franklin American'!D42+'Franklin Protective'!D42+'George Washington'!D42+'Golden State'!D42+'Guarantee Security'!D42+Imerica!D42+'Inter-American'!D42+'International Fin'!D42+'Investment Life of America'!D42+'Investors Equity'!D42+'Kentucky Central'!D42+Legion!D42+'London Pac'!D42+'Medical Savings'!D42+'Midwest Life'!D42+'Mutual Benefit'!D42+'Mutual Security'!D42+'National Affiliated'!D42+'Natl American'!D42+'National Heritage'!D42+'New Jersey Life'!D42+'Old Colony Life'!D42+'Old Faithful'!D42+'Pacific Standard'!D42+'Red Rock'!D42+SeeChange!D42+'States General'!D42+Statesman!D42+'Summit National'!D42+Supreme!D42+Underwriters!D42+Unison!D42+'United Republic'!D42+Universe!D42+Villanova!D42</f>
        <v>3302368.1233551977</v>
      </c>
      <c r="E42" s="1">
        <f>+'Alabama Life'!E42+'American Chambers'!E42+'American Educators'!E42+'American Integrity'!E42+'Amer Life Asr'!E42+'American Medical'!E42+'Amer Std Life Acc'!E42+AmerWstrn!E42+'AMS Life'!E42+'Andrew Jackson'!E42+'Bankers Commercial'!E42+Benicorp!E42+Centennial!E42+'Coastal States'!E42+'Confed Life (CLIC)'!E42+'Consolidated National'!E42+'Consumers Mutual'!E42+'Consumers United'!E42+'Corporate Life'!E42+'Diamond Benefits'!E42+'EBL Life'!E42+'Family Guaranty'!E42+'Fidelity Bankers'!E42+'First Natl'!E42+'Franklin American'!E42+'Franklin Protective'!E42+'George Washington'!E42+'Golden State'!E42+'Guarantee Security'!E42+Imerica!E42+'Inter-American'!E42+'International Fin'!E42+'Investment Life of America'!E42+'Investors Equity'!E42+'Kentucky Central'!E42+Legion!E42+'London Pac'!E42+'Medical Savings'!E42+'Midwest Life'!E42+'Mutual Benefit'!E42+'Mutual Security'!E42+'National Affiliated'!E42+'Natl American'!E42+'National Heritage'!E42+'New Jersey Life'!E42+'Old Colony Life'!E42+'Old Faithful'!E42+'Pacific Standard'!E42+'Red Rock'!E42+SeeChange!E42+'States General'!E42+Statesman!E42+'Summit National'!E42+Supreme!E42+Underwriters!E42+Unison!E42+'United Republic'!E42+Universe!E42+Villanova!E42</f>
        <v>0</v>
      </c>
      <c r="F42" s="1">
        <f>+'Alabama Life'!F42+'American Chambers'!F42+'American Educators'!F42+'American Integrity'!F42+'Amer Life Asr'!F42+'American Medical'!F42+'Amer Std Life Acc'!F42+AmerWstrn!F42+'AMS Life'!F42+'Andrew Jackson'!F42+'Bankers Commercial'!F42+Benicorp!F42+Centennial!F42+'Coastal States'!F42+'Confed Life (CLIC)'!F42+'Consolidated National'!F42+'Consumers Mutual'!F42+'Consumers United'!F42+'Corporate Life'!F42+'Diamond Benefits'!F42+'EBL Life'!F42+'Family Guaranty'!F42+'Fidelity Bankers'!F42+'First Natl'!F42+'Franklin American'!F42+'Franklin Protective'!F42+'George Washington'!F42+'Golden State'!F42+'Guarantee Security'!F42+Imerica!F42+'Inter-American'!F42+'International Fin'!F42+'Investment Life of America'!F42+'Investors Equity'!F42+'Kentucky Central'!F42+Legion!F42+'London Pac'!F42+'Medical Savings'!F42+'Midwest Life'!F42+'Mutual Benefit'!F42+'Mutual Security'!F42+'National Affiliated'!F42+'Natl American'!F42+'National Heritage'!F42+'New Jersey Life'!F42+'Old Colony Life'!F42+'Old Faithful'!F42+'Pacific Standard'!F42+'Red Rock'!F42+SeeChange!F42+'States General'!F42+Statesman!F42+'Summit National'!F42+Supreme!F42+Underwriters!F42+Unison!F42+'United Republic'!F42+Universe!F42+Villanova!F42</f>
        <v>0</v>
      </c>
      <c r="G42" s="1">
        <f t="shared" si="2"/>
        <v>19918143.067924939</v>
      </c>
      <c r="H42" s="1">
        <f>+'Alabama Life'!G42+'American Chambers'!G42+'American Educators'!G42+'American Integrity'!G42+'Amer Life Asr'!G42+'American Medical'!G42+'Amer Std Life Acc'!G42+AmerWstrn!G42+'AMS Life'!G42+'Andrew Jackson'!G42+'Bankers Commercial'!G42+Benicorp!G42+Centennial!G42+'Coastal States'!G42+'Confed Life (CLIC)'!G42+'Consolidated National'!G42+'Consumers Mutual'!G42+'Consumers United'!G42+'Corporate Life'!G42+'Diamond Benefits'!G42+'EBL Life'!G42+'Family Guaranty'!G42+'Fidelity Bankers'!G42+'First Natl'!G42+'Franklin American'!G42+'Franklin Protective'!G42+'George Washington'!G42+'Golden State'!G42+'Guarantee Security'!G42+Imerica!G42+'Inter-American'!G42+'International Fin'!G42+'Investment Life of America'!G42+'Investors Equity'!G42+'Kentucky Central'!G42+Legion!G42+'London Pac'!G42+'Medical Savings'!G42+'Midwest Life'!G42+'Mutual Benefit'!G42+'Mutual Security'!G42+'National Affiliated'!G42+'Natl American'!G42+'National Heritage'!G42+'New Jersey Life'!G42+'Old Colony Life'!G42+'Old Faithful'!G42+'Pacific Standard'!G42+'Red Rock'!G42+SeeChange!G42+'States General'!G42+Statesman!G42+'Summit National'!G42+Supreme!G42+Underwriters!G42+Unison!G42+'United Republic'!G42+Universe!G42+Villanova!G42</f>
        <v>19918143.067924943</v>
      </c>
      <c r="I42" s="1">
        <f t="shared" si="3"/>
        <v>0</v>
      </c>
      <c r="K42" s="1" t="s">
        <v>549</v>
      </c>
      <c r="L42" s="1">
        <f>Summary!TOTAL_68934</f>
        <v>96324078.240000188</v>
      </c>
    </row>
    <row r="43" spans="1:12">
      <c r="A43" s="1" t="s">
        <v>64</v>
      </c>
      <c r="B43" s="1">
        <f>+'Alabama Life'!B43+'American Chambers'!B43+'American Educators'!B43+'American Integrity'!B43+'Amer Life Asr'!B43+'American Medical'!B43+'Amer Std Life Acc'!B43+AmerWstrn!B43+'AMS Life'!B43+'Andrew Jackson'!B43+'Bankers Commercial'!B43+Benicorp!B43+Centennial!B43+'Coastal States'!B43+'Confed Life (CLIC)'!B43+'Consolidated National'!B43+'Consumers Mutual'!B43+'Consumers United'!B43+'Corporate Life'!B43+'Diamond Benefits'!B43+'EBL Life'!B43+'Family Guaranty'!B43+'Fidelity Bankers'!B43+'First Natl'!B43+'Franklin American'!B43+'Franklin Protective'!B43+'George Washington'!B43+'Golden State'!B43+'Guarantee Security'!B43+Imerica!B43+'Inter-American'!B43+'International Fin'!B43+'Investment Life of America'!B43+'Investors Equity'!B43+'Kentucky Central'!B43+Legion!B43+'London Pac'!B43+'Medical Savings'!B43+'Midwest Life'!B43+'Mutual Benefit'!B43+'Mutual Security'!B43+'National Affiliated'!B43+'Natl American'!B43+'National Heritage'!B43+'New Jersey Life'!B43+'Old Colony Life'!B43+'Old Faithful'!B43+'Pacific Standard'!B43+'Red Rock'!B43+SeeChange!B43+'States General'!B43+Statesman!B43+'Summit National'!B43+Supreme!B43+Underwriters!B43+Unison!B43+'United Republic'!B43+Universe!B43+Villanova!B43</f>
        <v>2013229.4570076186</v>
      </c>
      <c r="C43" s="1">
        <f>+'Alabama Life'!C43+'American Chambers'!C43+'American Educators'!C43+'American Integrity'!C43+'Amer Life Asr'!C43+'American Medical'!C43+'Amer Std Life Acc'!C43+AmerWstrn!C43+'AMS Life'!C43+'Andrew Jackson'!C43+'Bankers Commercial'!C43+Benicorp!C43+Centennial!C43+'Coastal States'!C43+'Confed Life (CLIC)'!C43+'Consolidated National'!C43+'Consumers Mutual'!C43+'Consumers United'!C43+'Corporate Life'!C43+'Diamond Benefits'!C43+'EBL Life'!C43+'Family Guaranty'!C43+'Fidelity Bankers'!C43+'First Natl'!C43+'Franklin American'!C43+'Franklin Protective'!C43+'George Washington'!C43+'Golden State'!C43+'Guarantee Security'!C43+Imerica!C43+'Inter-American'!C43+'International Fin'!C43+'Investment Life of America'!C43+'Investors Equity'!C43+'Kentucky Central'!C43+Legion!C43+'London Pac'!C43+'Medical Savings'!C43+'Midwest Life'!C43+'Mutual Benefit'!C43+'Mutual Security'!C43+'National Affiliated'!C43+'Natl American'!C43+'National Heritage'!C43+'New Jersey Life'!C43+'Old Colony Life'!C43+'Old Faithful'!C43+'Pacific Standard'!C43+'Red Rock'!C43+SeeChange!C43+'States General'!C43+Statesman!C43+'Summit National'!C43+Supreme!C43+Underwriters!C43+Unison!C43+'United Republic'!C43+Universe!C43+Villanova!C43</f>
        <v>2563492.5500622415</v>
      </c>
      <c r="D43" s="1">
        <f>+'Alabama Life'!D43+'American Chambers'!D43+'American Educators'!D43+'American Integrity'!D43+'Amer Life Asr'!D43+'American Medical'!D43+'Amer Std Life Acc'!D43+AmerWstrn!D43+'AMS Life'!D43+'Andrew Jackson'!D43+'Bankers Commercial'!D43+Benicorp!D43+Centennial!D43+'Coastal States'!D43+'Confed Life (CLIC)'!D43+'Consolidated National'!D43+'Consumers Mutual'!D43+'Consumers United'!D43+'Corporate Life'!D43+'Diamond Benefits'!D43+'EBL Life'!D43+'Family Guaranty'!D43+'Fidelity Bankers'!D43+'First Natl'!D43+'Franklin American'!D43+'Franklin Protective'!D43+'George Washington'!D43+'Golden State'!D43+'Guarantee Security'!D43+Imerica!D43+'Inter-American'!D43+'International Fin'!D43+'Investment Life of America'!D43+'Investors Equity'!D43+'Kentucky Central'!D43+Legion!D43+'London Pac'!D43+'Medical Savings'!D43+'Midwest Life'!D43+'Mutual Benefit'!D43+'Mutual Security'!D43+'National Affiliated'!D43+'Natl American'!D43+'National Heritage'!D43+'New Jersey Life'!D43+'Old Colony Life'!D43+'Old Faithful'!D43+'Pacific Standard'!D43+'Red Rock'!D43+SeeChange!D43+'States General'!D43+Statesman!D43+'Summit National'!D43+Supreme!D43+Underwriters!D43+Unison!D43+'United Republic'!D43+Universe!D43+Villanova!D43</f>
        <v>1124808.2160238512</v>
      </c>
      <c r="E43" s="1">
        <f>+'Alabama Life'!E43+'American Chambers'!E43+'American Educators'!E43+'American Integrity'!E43+'Amer Life Asr'!E43+'American Medical'!E43+'Amer Std Life Acc'!E43+AmerWstrn!E43+'AMS Life'!E43+'Andrew Jackson'!E43+'Bankers Commercial'!E43+Benicorp!E43+Centennial!E43+'Coastal States'!E43+'Confed Life (CLIC)'!E43+'Consolidated National'!E43+'Consumers Mutual'!E43+'Consumers United'!E43+'Corporate Life'!E43+'Diamond Benefits'!E43+'EBL Life'!E43+'Family Guaranty'!E43+'Fidelity Bankers'!E43+'First Natl'!E43+'Franklin American'!E43+'Franklin Protective'!E43+'George Washington'!E43+'Golden State'!E43+'Guarantee Security'!E43+Imerica!E43+'Inter-American'!E43+'International Fin'!E43+'Investment Life of America'!E43+'Investors Equity'!E43+'Kentucky Central'!E43+Legion!E43+'London Pac'!E43+'Medical Savings'!E43+'Midwest Life'!E43+'Mutual Benefit'!E43+'Mutual Security'!E43+'National Affiliated'!E43+'Natl American'!E43+'National Heritage'!E43+'New Jersey Life'!E43+'Old Colony Life'!E43+'Old Faithful'!E43+'Pacific Standard'!E43+'Red Rock'!E43+SeeChange!E43+'States General'!E43+Statesman!E43+'Summit National'!E43+Supreme!E43+Underwriters!E43+Unison!E43+'United Republic'!E43+Universe!E43+Villanova!E43</f>
        <v>0</v>
      </c>
      <c r="F43" s="1">
        <f>+'Alabama Life'!F43+'American Chambers'!F43+'American Educators'!F43+'American Integrity'!F43+'Amer Life Asr'!F43+'American Medical'!F43+'Amer Std Life Acc'!F43+AmerWstrn!F43+'AMS Life'!F43+'Andrew Jackson'!F43+'Bankers Commercial'!F43+Benicorp!F43+Centennial!F43+'Coastal States'!F43+'Confed Life (CLIC)'!F43+'Consolidated National'!F43+'Consumers Mutual'!F43+'Consumers United'!F43+'Corporate Life'!F43+'Diamond Benefits'!F43+'EBL Life'!F43+'Family Guaranty'!F43+'Fidelity Bankers'!F43+'First Natl'!F43+'Franklin American'!F43+'Franklin Protective'!F43+'George Washington'!F43+'Golden State'!F43+'Guarantee Security'!F43+Imerica!F43+'Inter-American'!F43+'International Fin'!F43+'Investment Life of America'!F43+'Investors Equity'!F43+'Kentucky Central'!F43+Legion!F43+'London Pac'!F43+'Medical Savings'!F43+'Midwest Life'!F43+'Mutual Benefit'!F43+'Mutual Security'!F43+'National Affiliated'!F43+'Natl American'!F43+'National Heritage'!F43+'New Jersey Life'!F43+'Old Colony Life'!F43+'Old Faithful'!F43+'Pacific Standard'!F43+'Red Rock'!F43+SeeChange!F43+'States General'!F43+Statesman!F43+'Summit National'!F43+Supreme!F43+Underwriters!F43+Unison!F43+'United Republic'!F43+Universe!F43+Villanova!F43</f>
        <v>0</v>
      </c>
      <c r="G43" s="1">
        <f t="shared" si="2"/>
        <v>5701530.2230937108</v>
      </c>
      <c r="H43" s="1">
        <f>+'Alabama Life'!G43+'American Chambers'!G43+'American Educators'!G43+'American Integrity'!G43+'Amer Life Asr'!G43+'American Medical'!G43+'Amer Std Life Acc'!G43+AmerWstrn!G43+'AMS Life'!G43+'Andrew Jackson'!G43+'Bankers Commercial'!G43+Benicorp!G43+Centennial!G43+'Coastal States'!G43+'Confed Life (CLIC)'!G43+'Consolidated National'!G43+'Consumers Mutual'!G43+'Consumers United'!G43+'Corporate Life'!G43+'Diamond Benefits'!G43+'EBL Life'!G43+'Family Guaranty'!G43+'Fidelity Bankers'!G43+'First Natl'!G43+'Franklin American'!G43+'Franklin Protective'!G43+'George Washington'!G43+'Golden State'!G43+'Guarantee Security'!G43+Imerica!G43+'Inter-American'!G43+'International Fin'!G43+'Investment Life of America'!G43+'Investors Equity'!G43+'Kentucky Central'!G43+Legion!G43+'London Pac'!G43+'Medical Savings'!G43+'Midwest Life'!G43+'Mutual Benefit'!G43+'Mutual Security'!G43+'National Affiliated'!G43+'Natl American'!G43+'National Heritage'!G43+'New Jersey Life'!G43+'Old Colony Life'!G43+'Old Faithful'!G43+'Pacific Standard'!G43+'Red Rock'!G43+SeeChange!G43+'States General'!G43+Statesman!G43+'Summit National'!G43+Supreme!G43+Underwriters!G43+Unison!G43+'United Republic'!G43+Universe!G43+Villanova!G43</f>
        <v>5701530.2230937108</v>
      </c>
      <c r="I43" s="1">
        <f t="shared" si="3"/>
        <v>0</v>
      </c>
      <c r="K43" s="1" t="s">
        <v>555</v>
      </c>
      <c r="L43" s="1">
        <f>Summary!TOTAL_74217A</f>
        <v>25705698.670000002</v>
      </c>
    </row>
    <row r="44" spans="1:12">
      <c r="A44" s="1" t="s">
        <v>65</v>
      </c>
      <c r="B44" s="1">
        <f>+'Alabama Life'!B44+'American Chambers'!B44+'American Educators'!B44+'American Integrity'!B44+'Amer Life Asr'!B44+'American Medical'!B44+'Amer Std Life Acc'!B44+AmerWstrn!B44+'AMS Life'!B44+'Andrew Jackson'!B44+'Bankers Commercial'!B44+Benicorp!B44+Centennial!B44+'Coastal States'!B44+'Confed Life (CLIC)'!B44+'Consolidated National'!B44+'Consumers Mutual'!B44+'Consumers United'!B44+'Corporate Life'!B44+'Diamond Benefits'!B44+'EBL Life'!B44+'Family Guaranty'!B44+'Fidelity Bankers'!B44+'First Natl'!B44+'Franklin American'!B44+'Franklin Protective'!B44+'George Washington'!B44+'Golden State'!B44+'Guarantee Security'!B44+Imerica!B44+'Inter-American'!B44+'International Fin'!B44+'Investment Life of America'!B44+'Investors Equity'!B44+'Kentucky Central'!B44+Legion!B44+'London Pac'!B44+'Medical Savings'!B44+'Midwest Life'!B44+'Mutual Benefit'!B44+'Mutual Security'!B44+'National Affiliated'!B44+'Natl American'!B44+'National Heritage'!B44+'New Jersey Life'!B44+'Old Colony Life'!B44+'Old Faithful'!B44+'Pacific Standard'!B44+'Red Rock'!B44+SeeChange!B44+'States General'!B44+Statesman!B44+'Summit National'!B44+Supreme!B44+Underwriters!B44+Unison!B44+'United Republic'!B44+Universe!B44+Villanova!B44</f>
        <v>23596243.107326627</v>
      </c>
      <c r="C44" s="1">
        <f>+'Alabama Life'!C44+'American Chambers'!C44+'American Educators'!C44+'American Integrity'!C44+'Amer Life Asr'!C44+'American Medical'!C44+'Amer Std Life Acc'!C44+AmerWstrn!C44+'AMS Life'!C44+'Andrew Jackson'!C44+'Bankers Commercial'!C44+Benicorp!C44+Centennial!C44+'Coastal States'!C44+'Confed Life (CLIC)'!C44+'Consolidated National'!C44+'Consumers Mutual'!C44+'Consumers United'!C44+'Corporate Life'!C44+'Diamond Benefits'!C44+'EBL Life'!C44+'Family Guaranty'!C44+'Fidelity Bankers'!C44+'First Natl'!C44+'Franklin American'!C44+'Franklin Protective'!C44+'George Washington'!C44+'Golden State'!C44+'Guarantee Security'!C44+Imerica!C44+'Inter-American'!C44+'International Fin'!C44+'Investment Life of America'!C44+'Investors Equity'!C44+'Kentucky Central'!C44+Legion!C44+'London Pac'!C44+'Medical Savings'!C44+'Midwest Life'!C44+'Mutual Benefit'!C44+'Mutual Security'!C44+'National Affiliated'!C44+'Natl American'!C44+'National Heritage'!C44+'New Jersey Life'!C44+'Old Colony Life'!C44+'Old Faithful'!C44+'Pacific Standard'!C44+'Red Rock'!C44+SeeChange!C44+'States General'!C44+Statesman!C44+'Summit National'!C44+Supreme!C44+Underwriters!C44+Unison!C44+'United Republic'!C44+Universe!C44+Villanova!C44</f>
        <v>181115526.44782668</v>
      </c>
      <c r="D44" s="1">
        <f>+'Alabama Life'!D44+'American Chambers'!D44+'American Educators'!D44+'American Integrity'!D44+'Amer Life Asr'!D44+'American Medical'!D44+'Amer Std Life Acc'!D44+AmerWstrn!D44+'AMS Life'!D44+'Andrew Jackson'!D44+'Bankers Commercial'!D44+Benicorp!D44+Centennial!D44+'Coastal States'!D44+'Confed Life (CLIC)'!D44+'Consolidated National'!D44+'Consumers Mutual'!D44+'Consumers United'!D44+'Corporate Life'!D44+'Diamond Benefits'!D44+'EBL Life'!D44+'Family Guaranty'!D44+'Fidelity Bankers'!D44+'First Natl'!D44+'Franklin American'!D44+'Franklin Protective'!D44+'George Washington'!D44+'Golden State'!D44+'Guarantee Security'!D44+Imerica!D44+'Inter-American'!D44+'International Fin'!D44+'Investment Life of America'!D44+'Investors Equity'!D44+'Kentucky Central'!D44+Legion!D44+'London Pac'!D44+'Medical Savings'!D44+'Midwest Life'!D44+'Mutual Benefit'!D44+'Mutual Security'!D44+'National Affiliated'!D44+'Natl American'!D44+'National Heritage'!D44+'New Jersey Life'!D44+'Old Colony Life'!D44+'Old Faithful'!D44+'Pacific Standard'!D44+'Red Rock'!D44+SeeChange!D44+'States General'!D44+Statesman!D44+'Summit National'!D44+Supreme!D44+Underwriters!D44+Unison!D44+'United Republic'!D44+Universe!D44+Villanova!D44</f>
        <v>620150.6545742749</v>
      </c>
      <c r="E44" s="1">
        <f>+'Alabama Life'!E44+'American Chambers'!E44+'American Educators'!E44+'American Integrity'!E44+'Amer Life Asr'!E44+'American Medical'!E44+'Amer Std Life Acc'!E44+AmerWstrn!E44+'AMS Life'!E44+'Andrew Jackson'!E44+'Bankers Commercial'!E44+Benicorp!E44+Centennial!E44+'Coastal States'!E44+'Confed Life (CLIC)'!E44+'Consolidated National'!E44+'Consumers Mutual'!E44+'Consumers United'!E44+'Corporate Life'!E44+'Diamond Benefits'!E44+'EBL Life'!E44+'Family Guaranty'!E44+'Fidelity Bankers'!E44+'First Natl'!E44+'Franklin American'!E44+'Franklin Protective'!E44+'George Washington'!E44+'Golden State'!E44+'Guarantee Security'!E44+Imerica!E44+'Inter-American'!E44+'International Fin'!E44+'Investment Life of America'!E44+'Investors Equity'!E44+'Kentucky Central'!E44+Legion!E44+'London Pac'!E44+'Medical Savings'!E44+'Midwest Life'!E44+'Mutual Benefit'!E44+'Mutual Security'!E44+'National Affiliated'!E44+'Natl American'!E44+'National Heritage'!E44+'New Jersey Life'!E44+'Old Colony Life'!E44+'Old Faithful'!E44+'Pacific Standard'!E44+'Red Rock'!E44+SeeChange!E44+'States General'!E44+Statesman!E44+'Summit National'!E44+Supreme!E44+Underwriters!E44+Unison!E44+'United Republic'!E44+Universe!E44+Villanova!E44</f>
        <v>1528919.5140483719</v>
      </c>
      <c r="F44" s="1">
        <f>+'Alabama Life'!F44+'American Chambers'!F44+'American Educators'!F44+'American Integrity'!F44+'Amer Life Asr'!F44+'American Medical'!F44+'Amer Std Life Acc'!F44+AmerWstrn!F44+'AMS Life'!F44+'Andrew Jackson'!F44+'Bankers Commercial'!F44+Benicorp!F44+Centennial!F44+'Coastal States'!F44+'Confed Life (CLIC)'!F44+'Consolidated National'!F44+'Consumers Mutual'!F44+'Consumers United'!F44+'Corporate Life'!F44+'Diamond Benefits'!F44+'EBL Life'!F44+'Family Guaranty'!F44+'Fidelity Bankers'!F44+'First Natl'!F44+'Franklin American'!F44+'Franklin Protective'!F44+'George Washington'!F44+'Golden State'!F44+'Guarantee Security'!F44+Imerica!F44+'Inter-American'!F44+'International Fin'!F44+'Investment Life of America'!F44+'Investors Equity'!F44+'Kentucky Central'!F44+Legion!F44+'London Pac'!F44+'Medical Savings'!F44+'Midwest Life'!F44+'Mutual Benefit'!F44+'Mutual Security'!F44+'National Affiliated'!F44+'Natl American'!F44+'National Heritage'!F44+'New Jersey Life'!F44+'Old Colony Life'!F44+'Old Faithful'!F44+'Pacific Standard'!F44+'Red Rock'!F44+SeeChange!F44+'States General'!F44+Statesman!F44+'Summit National'!F44+Supreme!F44+Underwriters!F44+Unison!F44+'United Republic'!F44+Universe!F44+Villanova!F44</f>
        <v>0</v>
      </c>
      <c r="G44" s="1">
        <f t="shared" si="2"/>
        <v>206860839.72377595</v>
      </c>
      <c r="H44" s="1">
        <f>+'Alabama Life'!G44+'American Chambers'!G44+'American Educators'!G44+'American Integrity'!G44+'Amer Life Asr'!G44+'American Medical'!G44+'Amer Std Life Acc'!G44+AmerWstrn!G44+'AMS Life'!G44+'Andrew Jackson'!G44+'Bankers Commercial'!G44+Benicorp!G44+Centennial!G44+'Coastal States'!G44+'Confed Life (CLIC)'!G44+'Consolidated National'!G44+'Consumers Mutual'!G44+'Consumers United'!G44+'Corporate Life'!G44+'Diamond Benefits'!G44+'EBL Life'!G44+'Family Guaranty'!G44+'Fidelity Bankers'!G44+'First Natl'!G44+'Franklin American'!G44+'Franklin Protective'!G44+'George Washington'!G44+'Golden State'!G44+'Guarantee Security'!G44+Imerica!G44+'Inter-American'!G44+'International Fin'!G44+'Investment Life of America'!G44+'Investors Equity'!G44+'Kentucky Central'!G44+Legion!G44+'London Pac'!G44+'Medical Savings'!G44+'Midwest Life'!G44+'Mutual Benefit'!G44+'Mutual Security'!G44+'National Affiliated'!G44+'Natl American'!G44+'National Heritage'!G44+'New Jersey Life'!G44+'Old Colony Life'!G44+'Old Faithful'!G44+'Pacific Standard'!G44+'Red Rock'!G44+SeeChange!G44+'States General'!G44+Statesman!G44+'Summit National'!G44+Supreme!G44+Underwriters!G44+Unison!G44+'United Republic'!G44+Universe!G44+Villanova!G44</f>
        <v>206860839.72377598</v>
      </c>
      <c r="I44" s="1">
        <f t="shared" si="3"/>
        <v>0</v>
      </c>
      <c r="K44" s="1" t="s">
        <v>560</v>
      </c>
      <c r="L44" s="1">
        <f>Summary!TOTAL_66060</f>
        <v>33016710.040000003</v>
      </c>
    </row>
    <row r="45" spans="1:12">
      <c r="A45" s="1" t="s">
        <v>66</v>
      </c>
      <c r="B45" s="1">
        <f>+'Alabama Life'!B45+'American Chambers'!B45+'American Educators'!B45+'American Integrity'!B45+'Amer Life Asr'!B45+'American Medical'!B45+'Amer Std Life Acc'!B45+AmerWstrn!B45+'AMS Life'!B45+'Andrew Jackson'!B45+'Bankers Commercial'!B45+Benicorp!B45+Centennial!B45+'Coastal States'!B45+'Confed Life (CLIC)'!B45+'Consolidated National'!B45+'Consumers Mutual'!B45+'Consumers United'!B45+'Corporate Life'!B45+'Diamond Benefits'!B45+'EBL Life'!B45+'Family Guaranty'!B45+'Fidelity Bankers'!B45+'First Natl'!B45+'Franklin American'!B45+'Franklin Protective'!B45+'George Washington'!B45+'Golden State'!B45+'Guarantee Security'!B45+Imerica!B45+'Inter-American'!B45+'International Fin'!B45+'Investment Life of America'!B45+'Investors Equity'!B45+'Kentucky Central'!B45+Legion!B45+'London Pac'!B45+'Medical Savings'!B45+'Midwest Life'!B45+'Mutual Benefit'!B45+'Mutual Security'!B45+'National Affiliated'!B45+'Natl American'!B45+'National Heritage'!B45+'New Jersey Life'!B45+'Old Colony Life'!B45+'Old Faithful'!B45+'Pacific Standard'!B45+'Red Rock'!B45+SeeChange!B45+'States General'!B45+Statesman!B45+'Summit National'!B45+Supreme!B45+Underwriters!B45+Unison!B45+'United Republic'!B45+Universe!B45+Villanova!B45</f>
        <v>48209.837063656196</v>
      </c>
      <c r="C45" s="1">
        <f>+'Alabama Life'!C45+'American Chambers'!C45+'American Educators'!C45+'American Integrity'!C45+'Amer Life Asr'!C45+'American Medical'!C45+'Amer Std Life Acc'!C45+AmerWstrn!C45+'AMS Life'!C45+'Andrew Jackson'!C45+'Bankers Commercial'!C45+Benicorp!C45+Centennial!C45+'Coastal States'!C45+'Confed Life (CLIC)'!C45+'Consolidated National'!C45+'Consumers Mutual'!C45+'Consumers United'!C45+'Corporate Life'!C45+'Diamond Benefits'!C45+'EBL Life'!C45+'Family Guaranty'!C45+'Fidelity Bankers'!C45+'First Natl'!C45+'Franklin American'!C45+'Franklin Protective'!C45+'George Washington'!C45+'Golden State'!C45+'Guarantee Security'!C45+Imerica!C45+'Inter-American'!C45+'International Fin'!C45+'Investment Life of America'!C45+'Investors Equity'!C45+'Kentucky Central'!C45+Legion!C45+'London Pac'!C45+'Medical Savings'!C45+'Midwest Life'!C45+'Mutual Benefit'!C45+'Mutual Security'!C45+'National Affiliated'!C45+'Natl American'!C45+'National Heritage'!C45+'New Jersey Life'!C45+'Old Colony Life'!C45+'Old Faithful'!C45+'Pacific Standard'!C45+'Red Rock'!C45+SeeChange!C45+'States General'!C45+Statesman!C45+'Summit National'!C45+Supreme!C45+Underwriters!C45+Unison!C45+'United Republic'!C45+Universe!C45+Villanova!C45</f>
        <v>-29.597756015416877</v>
      </c>
      <c r="D45" s="1">
        <f>+'Alabama Life'!D45+'American Chambers'!D45+'American Educators'!D45+'American Integrity'!D45+'Amer Life Asr'!D45+'American Medical'!D45+'Amer Std Life Acc'!D45+AmerWstrn!D45+'AMS Life'!D45+'Andrew Jackson'!D45+'Bankers Commercial'!D45+Benicorp!D45+Centennial!D45+'Coastal States'!D45+'Confed Life (CLIC)'!D45+'Consolidated National'!D45+'Consumers Mutual'!D45+'Consumers United'!D45+'Corporate Life'!D45+'Diamond Benefits'!D45+'EBL Life'!D45+'Family Guaranty'!D45+'Fidelity Bankers'!D45+'First Natl'!D45+'Franklin American'!D45+'Franklin Protective'!D45+'George Washington'!D45+'Golden State'!D45+'Guarantee Security'!D45+Imerica!D45+'Inter-American'!D45+'International Fin'!D45+'Investment Life of America'!D45+'Investors Equity'!D45+'Kentucky Central'!D45+Legion!D45+'London Pac'!D45+'Medical Savings'!D45+'Midwest Life'!D45+'Mutual Benefit'!D45+'Mutual Security'!D45+'National Affiliated'!D45+'Natl American'!D45+'National Heritage'!D45+'New Jersey Life'!D45+'Old Colony Life'!D45+'Old Faithful'!D45+'Pacific Standard'!D45+'Red Rock'!D45+SeeChange!D45+'States General'!D45+Statesman!D45+'Summit National'!D45+Supreme!D45+Underwriters!D45+Unison!D45+'United Republic'!D45+Universe!D45+Villanova!D45</f>
        <v>-7567.2698410309822</v>
      </c>
      <c r="E45" s="1">
        <f>+'Alabama Life'!E45+'American Chambers'!E45+'American Educators'!E45+'American Integrity'!E45+'Amer Life Asr'!E45+'American Medical'!E45+'Amer Std Life Acc'!E45+AmerWstrn!E45+'AMS Life'!E45+'Andrew Jackson'!E45+'Bankers Commercial'!E45+Benicorp!E45+Centennial!E45+'Coastal States'!E45+'Confed Life (CLIC)'!E45+'Consolidated National'!E45+'Consumers Mutual'!E45+'Consumers United'!E45+'Corporate Life'!E45+'Diamond Benefits'!E45+'EBL Life'!E45+'Family Guaranty'!E45+'Fidelity Bankers'!E45+'First Natl'!E45+'Franklin American'!E45+'Franklin Protective'!E45+'George Washington'!E45+'Golden State'!E45+'Guarantee Security'!E45+Imerica!E45+'Inter-American'!E45+'International Fin'!E45+'Investment Life of America'!E45+'Investors Equity'!E45+'Kentucky Central'!E45+Legion!E45+'London Pac'!E45+'Medical Savings'!E45+'Midwest Life'!E45+'Mutual Benefit'!E45+'Mutual Security'!E45+'National Affiliated'!E45+'Natl American'!E45+'National Heritage'!E45+'New Jersey Life'!E45+'Old Colony Life'!E45+'Old Faithful'!E45+'Pacific Standard'!E45+'Red Rock'!E45+SeeChange!E45+'States General'!E45+Statesman!E45+'Summit National'!E45+Supreme!E45+Underwriters!E45+Unison!E45+'United Republic'!E45+Universe!E45+Villanova!E45</f>
        <v>0</v>
      </c>
      <c r="F45" s="1">
        <f>+'Alabama Life'!F45+'American Chambers'!F45+'American Educators'!F45+'American Integrity'!F45+'Amer Life Asr'!F45+'American Medical'!F45+'Amer Std Life Acc'!F45+AmerWstrn!F45+'AMS Life'!F45+'Andrew Jackson'!F45+'Bankers Commercial'!F45+Benicorp!F45+Centennial!F45+'Coastal States'!F45+'Confed Life (CLIC)'!F45+'Consolidated National'!F45+'Consumers Mutual'!F45+'Consumers United'!F45+'Corporate Life'!F45+'Diamond Benefits'!F45+'EBL Life'!F45+'Family Guaranty'!F45+'Fidelity Bankers'!F45+'First Natl'!F45+'Franklin American'!F45+'Franklin Protective'!F45+'George Washington'!F45+'Golden State'!F45+'Guarantee Security'!F45+Imerica!F45+'Inter-American'!F45+'International Fin'!F45+'Investment Life of America'!F45+'Investors Equity'!F45+'Kentucky Central'!F45+Legion!F45+'London Pac'!F45+'Medical Savings'!F45+'Midwest Life'!F45+'Mutual Benefit'!F45+'Mutual Security'!F45+'National Affiliated'!F45+'Natl American'!F45+'National Heritage'!F45+'New Jersey Life'!F45+'Old Colony Life'!F45+'Old Faithful'!F45+'Pacific Standard'!F45+'Red Rock'!F45+SeeChange!F45+'States General'!F45+Statesman!F45+'Summit National'!F45+Supreme!F45+Underwriters!F45+Unison!F45+'United Republic'!F45+Universe!F45+Villanova!F45</f>
        <v>0</v>
      </c>
      <c r="G45" s="1">
        <f t="shared" si="2"/>
        <v>40612.9694666098</v>
      </c>
      <c r="H45" s="1">
        <f>+'Alabama Life'!G45+'American Chambers'!G45+'American Educators'!G45+'American Integrity'!G45+'Amer Life Asr'!G45+'American Medical'!G45+'Amer Std Life Acc'!G45+AmerWstrn!G45+'AMS Life'!G45+'Andrew Jackson'!G45+'Bankers Commercial'!G45+Benicorp!G45+Centennial!G45+'Coastal States'!G45+'Confed Life (CLIC)'!G45+'Consolidated National'!G45+'Consumers Mutual'!G45+'Consumers United'!G45+'Corporate Life'!G45+'Diamond Benefits'!G45+'EBL Life'!G45+'Family Guaranty'!G45+'Fidelity Bankers'!G45+'First Natl'!G45+'Franklin American'!G45+'Franklin Protective'!G45+'George Washington'!G45+'Golden State'!G45+'Guarantee Security'!G45+Imerica!G45+'Inter-American'!G45+'International Fin'!G45+'Investment Life of America'!G45+'Investors Equity'!G45+'Kentucky Central'!G45+Legion!G45+'London Pac'!G45+'Medical Savings'!G45+'Midwest Life'!G45+'Mutual Benefit'!G45+'Mutual Security'!G45+'National Affiliated'!G45+'Natl American'!G45+'National Heritage'!G45+'New Jersey Life'!G45+'Old Colony Life'!G45+'Old Faithful'!G45+'Pacific Standard'!G45+'Red Rock'!G45+SeeChange!G45+'States General'!G45+Statesman!G45+'Summit National'!G45+Supreme!G45+Underwriters!G45+Unison!G45+'United Republic'!G45+Universe!G45+Villanova!G45</f>
        <v>40612.969466609793</v>
      </c>
      <c r="I45" s="1">
        <f t="shared" si="3"/>
        <v>0</v>
      </c>
      <c r="K45" s="1" t="s">
        <v>567</v>
      </c>
      <c r="L45" s="1">
        <f>Summary!TOTAL_66362</f>
        <v>-1665408.4499997206</v>
      </c>
    </row>
    <row r="46" spans="1:12">
      <c r="A46" s="1" t="s">
        <v>67</v>
      </c>
      <c r="B46" s="1">
        <f>+'Alabama Life'!B46+'American Chambers'!B46+'American Educators'!B46+'American Integrity'!B46+'Amer Life Asr'!B46+'American Medical'!B46+'Amer Std Life Acc'!B46+AmerWstrn!B46+'AMS Life'!B46+'Andrew Jackson'!B46+'Bankers Commercial'!B46+Benicorp!B46+Centennial!B46+'Coastal States'!B46+'Confed Life (CLIC)'!B46+'Consolidated National'!B46+'Consumers Mutual'!B46+'Consumers United'!B46+'Corporate Life'!B46+'Diamond Benefits'!B46+'EBL Life'!B46+'Family Guaranty'!B46+'Fidelity Bankers'!B46+'First Natl'!B46+'Franklin American'!B46+'Franklin Protective'!B46+'George Washington'!B46+'Golden State'!B46+'Guarantee Security'!B46+Imerica!B46+'Inter-American'!B46+'International Fin'!B46+'Investment Life of America'!B46+'Investors Equity'!B46+'Kentucky Central'!B46+Legion!B46+'London Pac'!B46+'Medical Savings'!B46+'Midwest Life'!B46+'Mutual Benefit'!B46+'Mutual Security'!B46+'National Affiliated'!B46+'Natl American'!B46+'National Heritage'!B46+'New Jersey Life'!B46+'Old Colony Life'!B46+'Old Faithful'!B46+'Pacific Standard'!B46+'Red Rock'!B46+SeeChange!B46+'States General'!B46+Statesman!B46+'Summit National'!B46+Supreme!B46+Underwriters!B46+Unison!B46+'United Republic'!B46+Universe!B46+Villanova!B46</f>
        <v>332284.23211555998</v>
      </c>
      <c r="C46" s="1">
        <f>+'Alabama Life'!C46+'American Chambers'!C46+'American Educators'!C46+'American Integrity'!C46+'Amer Life Asr'!C46+'American Medical'!C46+'Amer Std Life Acc'!C46+AmerWstrn!C46+'AMS Life'!C46+'Andrew Jackson'!C46+'Bankers Commercial'!C46+Benicorp!C46+Centennial!C46+'Coastal States'!C46+'Confed Life (CLIC)'!C46+'Consolidated National'!C46+'Consumers Mutual'!C46+'Consumers United'!C46+'Corporate Life'!C46+'Diamond Benefits'!C46+'EBL Life'!C46+'Family Guaranty'!C46+'Fidelity Bankers'!C46+'First Natl'!C46+'Franklin American'!C46+'Franklin Protective'!C46+'George Washington'!C46+'Golden State'!C46+'Guarantee Security'!C46+Imerica!C46+'Inter-American'!C46+'International Fin'!C46+'Investment Life of America'!C46+'Investors Equity'!C46+'Kentucky Central'!C46+Legion!C46+'London Pac'!C46+'Medical Savings'!C46+'Midwest Life'!C46+'Mutual Benefit'!C46+'Mutual Security'!C46+'National Affiliated'!C46+'Natl American'!C46+'National Heritage'!C46+'New Jersey Life'!C46+'Old Colony Life'!C46+'Old Faithful'!C46+'Pacific Standard'!C46+'Red Rock'!C46+SeeChange!C46+'States General'!C46+Statesman!C46+'Summit National'!C46+Supreme!C46+Underwriters!C46+Unison!C46+'United Republic'!C46+Universe!C46+Villanova!C46</f>
        <v>250679.95421308753</v>
      </c>
      <c r="D46" s="1">
        <f>+'Alabama Life'!D46+'American Chambers'!D46+'American Educators'!D46+'American Integrity'!D46+'Amer Life Asr'!D46+'American Medical'!D46+'Amer Std Life Acc'!D46+AmerWstrn!D46+'AMS Life'!D46+'Andrew Jackson'!D46+'Bankers Commercial'!D46+Benicorp!D46+Centennial!D46+'Coastal States'!D46+'Confed Life (CLIC)'!D46+'Consolidated National'!D46+'Consumers Mutual'!D46+'Consumers United'!D46+'Corporate Life'!D46+'Diamond Benefits'!D46+'EBL Life'!D46+'Family Guaranty'!D46+'Fidelity Bankers'!D46+'First Natl'!D46+'Franklin American'!D46+'Franklin Protective'!D46+'George Washington'!D46+'Golden State'!D46+'Guarantee Security'!D46+Imerica!D46+'Inter-American'!D46+'International Fin'!D46+'Investment Life of America'!D46+'Investors Equity'!D46+'Kentucky Central'!D46+Legion!D46+'London Pac'!D46+'Medical Savings'!D46+'Midwest Life'!D46+'Mutual Benefit'!D46+'Mutual Security'!D46+'National Affiliated'!D46+'Natl American'!D46+'National Heritage'!D46+'New Jersey Life'!D46+'Old Colony Life'!D46+'Old Faithful'!D46+'Pacific Standard'!D46+'Red Rock'!D46+SeeChange!D46+'States General'!D46+Statesman!D46+'Summit National'!D46+Supreme!D46+Underwriters!D46+Unison!D46+'United Republic'!D46+Universe!D46+Villanova!D46</f>
        <v>3051.6667042726267</v>
      </c>
      <c r="E46" s="1">
        <f>+'Alabama Life'!E46+'American Chambers'!E46+'American Educators'!E46+'American Integrity'!E46+'Amer Life Asr'!E46+'American Medical'!E46+'Amer Std Life Acc'!E46+AmerWstrn!E46+'AMS Life'!E46+'Andrew Jackson'!E46+'Bankers Commercial'!E46+Benicorp!E46+Centennial!E46+'Coastal States'!E46+'Confed Life (CLIC)'!E46+'Consolidated National'!E46+'Consumers Mutual'!E46+'Consumers United'!E46+'Corporate Life'!E46+'Diamond Benefits'!E46+'EBL Life'!E46+'Family Guaranty'!E46+'Fidelity Bankers'!E46+'First Natl'!E46+'Franklin American'!E46+'Franklin Protective'!E46+'George Washington'!E46+'Golden State'!E46+'Guarantee Security'!E46+Imerica!E46+'Inter-American'!E46+'International Fin'!E46+'Investment Life of America'!E46+'Investors Equity'!E46+'Kentucky Central'!E46+Legion!E46+'London Pac'!E46+'Medical Savings'!E46+'Midwest Life'!E46+'Mutual Benefit'!E46+'Mutual Security'!E46+'National Affiliated'!E46+'Natl American'!E46+'National Heritage'!E46+'New Jersey Life'!E46+'Old Colony Life'!E46+'Old Faithful'!E46+'Pacific Standard'!E46+'Red Rock'!E46+SeeChange!E46+'States General'!E46+Statesman!E46+'Summit National'!E46+Supreme!E46+Underwriters!E46+Unison!E46+'United Republic'!E46+Universe!E46+Villanova!E46</f>
        <v>0</v>
      </c>
      <c r="F46" s="1">
        <f>+'Alabama Life'!F46+'American Chambers'!F46+'American Educators'!F46+'American Integrity'!F46+'Amer Life Asr'!F46+'American Medical'!F46+'Amer Std Life Acc'!F46+AmerWstrn!F46+'AMS Life'!F46+'Andrew Jackson'!F46+'Bankers Commercial'!F46+Benicorp!F46+Centennial!F46+'Coastal States'!F46+'Confed Life (CLIC)'!F46+'Consolidated National'!F46+'Consumers Mutual'!F46+'Consumers United'!F46+'Corporate Life'!F46+'Diamond Benefits'!F46+'EBL Life'!F46+'Family Guaranty'!F46+'Fidelity Bankers'!F46+'First Natl'!F46+'Franklin American'!F46+'Franklin Protective'!F46+'George Washington'!F46+'Golden State'!F46+'Guarantee Security'!F46+Imerica!F46+'Inter-American'!F46+'International Fin'!F46+'Investment Life of America'!F46+'Investors Equity'!F46+'Kentucky Central'!F46+Legion!F46+'London Pac'!F46+'Medical Savings'!F46+'Midwest Life'!F46+'Mutual Benefit'!F46+'Mutual Security'!F46+'National Affiliated'!F46+'Natl American'!F46+'National Heritage'!F46+'New Jersey Life'!F46+'Old Colony Life'!F46+'Old Faithful'!F46+'Pacific Standard'!F46+'Red Rock'!F46+SeeChange!F46+'States General'!F46+Statesman!F46+'Summit National'!F46+Supreme!F46+Underwriters!F46+Unison!F46+'United Republic'!F46+Universe!F46+Villanova!F46</f>
        <v>0</v>
      </c>
      <c r="G46" s="1">
        <f t="shared" si="2"/>
        <v>586015.85303292016</v>
      </c>
      <c r="H46" s="1">
        <f>+'Alabama Life'!G46+'American Chambers'!G46+'American Educators'!G46+'American Integrity'!G46+'Amer Life Asr'!G46+'American Medical'!G46+'Amer Std Life Acc'!G46+AmerWstrn!G46+'AMS Life'!G46+'Andrew Jackson'!G46+'Bankers Commercial'!G46+Benicorp!G46+Centennial!G46+'Coastal States'!G46+'Confed Life (CLIC)'!G46+'Consolidated National'!G46+'Consumers Mutual'!G46+'Consumers United'!G46+'Corporate Life'!G46+'Diamond Benefits'!G46+'EBL Life'!G46+'Family Guaranty'!G46+'Fidelity Bankers'!G46+'First Natl'!G46+'Franklin American'!G46+'Franklin Protective'!G46+'George Washington'!G46+'Golden State'!G46+'Guarantee Security'!G46+Imerica!G46+'Inter-American'!G46+'International Fin'!G46+'Investment Life of America'!G46+'Investors Equity'!G46+'Kentucky Central'!G46+Legion!G46+'London Pac'!G46+'Medical Savings'!G46+'Midwest Life'!G46+'Mutual Benefit'!G46+'Mutual Security'!G46+'National Affiliated'!G46+'Natl American'!G46+'National Heritage'!G46+'New Jersey Life'!G46+'Old Colony Life'!G46+'Old Faithful'!G46+'Pacific Standard'!G46+'Red Rock'!G46+SeeChange!G46+'States General'!G46+Statesman!G46+'Summit National'!G46+Supreme!G46+Underwriters!G46+Unison!G46+'United Republic'!G46+Universe!G46+Villanova!G46</f>
        <v>586015.85303292016</v>
      </c>
      <c r="I46" s="1">
        <f t="shared" si="3"/>
        <v>0</v>
      </c>
      <c r="K46" s="1" t="s">
        <v>573</v>
      </c>
      <c r="L46" s="1">
        <f>Summary!TOTAL_66400</f>
        <v>12760003.5</v>
      </c>
    </row>
    <row r="47" spans="1:12">
      <c r="A47" s="1" t="s">
        <v>68</v>
      </c>
      <c r="B47" s="1">
        <f>+'Alabama Life'!B47+'American Chambers'!B47+'American Educators'!B47+'American Integrity'!B47+'Amer Life Asr'!B47+'American Medical'!B47+'Amer Std Life Acc'!B47+AmerWstrn!B47+'AMS Life'!B47+'Andrew Jackson'!B47+'Bankers Commercial'!B47+Benicorp!B47+Centennial!B47+'Coastal States'!B47+'Confed Life (CLIC)'!B47+'Consolidated National'!B47+'Consumers Mutual'!B47+'Consumers United'!B47+'Corporate Life'!B47+'Diamond Benefits'!B47+'EBL Life'!B47+'Family Guaranty'!B47+'Fidelity Bankers'!B47+'First Natl'!B47+'Franklin American'!B47+'Franklin Protective'!B47+'George Washington'!B47+'Golden State'!B47+'Guarantee Security'!B47+Imerica!B47+'Inter-American'!B47+'International Fin'!B47+'Investment Life of America'!B47+'Investors Equity'!B47+'Kentucky Central'!B47+Legion!B47+'London Pac'!B47+'Medical Savings'!B47+'Midwest Life'!B47+'Mutual Benefit'!B47+'Mutual Security'!B47+'National Affiliated'!B47+'Natl American'!B47+'National Heritage'!B47+'New Jersey Life'!B47+'Old Colony Life'!B47+'Old Faithful'!B47+'Pacific Standard'!B47+'Red Rock'!B47+SeeChange!B47+'States General'!B47+Statesman!B47+'Summit National'!B47+Supreme!B47+Underwriters!B47+Unison!B47+'United Republic'!B47+Universe!B47+Villanova!B47</f>
        <v>4983984.5403975025</v>
      </c>
      <c r="C47" s="1">
        <f>+'Alabama Life'!C47+'American Chambers'!C47+'American Educators'!C47+'American Integrity'!C47+'Amer Life Asr'!C47+'American Medical'!C47+'Amer Std Life Acc'!C47+AmerWstrn!C47+'AMS Life'!C47+'Andrew Jackson'!C47+'Bankers Commercial'!C47+Benicorp!C47+Centennial!C47+'Coastal States'!C47+'Confed Life (CLIC)'!C47+'Consolidated National'!C47+'Consumers Mutual'!C47+'Consumers United'!C47+'Corporate Life'!C47+'Diamond Benefits'!C47+'EBL Life'!C47+'Family Guaranty'!C47+'Fidelity Bankers'!C47+'First Natl'!C47+'Franklin American'!C47+'Franklin Protective'!C47+'George Washington'!C47+'Golden State'!C47+'Guarantee Security'!C47+Imerica!C47+'Inter-American'!C47+'International Fin'!C47+'Investment Life of America'!C47+'Investors Equity'!C47+'Kentucky Central'!C47+Legion!C47+'London Pac'!C47+'Medical Savings'!C47+'Midwest Life'!C47+'Mutual Benefit'!C47+'Mutual Security'!C47+'National Affiliated'!C47+'Natl American'!C47+'National Heritage'!C47+'New Jersey Life'!C47+'Old Colony Life'!C47+'Old Faithful'!C47+'Pacific Standard'!C47+'Red Rock'!C47+SeeChange!C47+'States General'!C47+Statesman!C47+'Summit National'!C47+Supreme!C47+Underwriters!C47+Unison!C47+'United Republic'!C47+Universe!C47+Villanova!C47</f>
        <v>7188927.6399399145</v>
      </c>
      <c r="D47" s="1">
        <f>+'Alabama Life'!D47+'American Chambers'!D47+'American Educators'!D47+'American Integrity'!D47+'Amer Life Asr'!D47+'American Medical'!D47+'Amer Std Life Acc'!D47+AmerWstrn!D47+'AMS Life'!D47+'Andrew Jackson'!D47+'Bankers Commercial'!D47+Benicorp!D47+Centennial!D47+'Coastal States'!D47+'Confed Life (CLIC)'!D47+'Consolidated National'!D47+'Consumers Mutual'!D47+'Consumers United'!D47+'Corporate Life'!D47+'Diamond Benefits'!D47+'EBL Life'!D47+'Family Guaranty'!D47+'Fidelity Bankers'!D47+'First Natl'!D47+'Franklin American'!D47+'Franklin Protective'!D47+'George Washington'!D47+'Golden State'!D47+'Guarantee Security'!D47+Imerica!D47+'Inter-American'!D47+'International Fin'!D47+'Investment Life of America'!D47+'Investors Equity'!D47+'Kentucky Central'!D47+Legion!D47+'London Pac'!D47+'Medical Savings'!D47+'Midwest Life'!D47+'Mutual Benefit'!D47+'Mutual Security'!D47+'National Affiliated'!D47+'Natl American'!D47+'National Heritage'!D47+'New Jersey Life'!D47+'Old Colony Life'!D47+'Old Faithful'!D47+'Pacific Standard'!D47+'Red Rock'!D47+SeeChange!D47+'States General'!D47+Statesman!D47+'Summit National'!D47+Supreme!D47+Underwriters!D47+Unison!D47+'United Republic'!D47+Universe!D47+Villanova!D47</f>
        <v>2685563.2096147919</v>
      </c>
      <c r="E47" s="1">
        <f>+'Alabama Life'!E47+'American Chambers'!E47+'American Educators'!E47+'American Integrity'!E47+'Amer Life Asr'!E47+'American Medical'!E47+'Amer Std Life Acc'!E47+AmerWstrn!E47+'AMS Life'!E47+'Andrew Jackson'!E47+'Bankers Commercial'!E47+Benicorp!E47+Centennial!E47+'Coastal States'!E47+'Confed Life (CLIC)'!E47+'Consolidated National'!E47+'Consumers Mutual'!E47+'Consumers United'!E47+'Corporate Life'!E47+'Diamond Benefits'!E47+'EBL Life'!E47+'Family Guaranty'!E47+'Fidelity Bankers'!E47+'First Natl'!E47+'Franklin American'!E47+'Franklin Protective'!E47+'George Washington'!E47+'Golden State'!E47+'Guarantee Security'!E47+Imerica!E47+'Inter-American'!E47+'International Fin'!E47+'Investment Life of America'!E47+'Investors Equity'!E47+'Kentucky Central'!E47+Legion!E47+'London Pac'!E47+'Medical Savings'!E47+'Midwest Life'!E47+'Mutual Benefit'!E47+'Mutual Security'!E47+'National Affiliated'!E47+'Natl American'!E47+'National Heritage'!E47+'New Jersey Life'!E47+'Old Colony Life'!E47+'Old Faithful'!E47+'Pacific Standard'!E47+'Red Rock'!E47+SeeChange!E47+'States General'!E47+Statesman!E47+'Summit National'!E47+Supreme!E47+Underwriters!E47+Unison!E47+'United Republic'!E47+Universe!E47+Villanova!E47</f>
        <v>0</v>
      </c>
      <c r="F47" s="1">
        <f>+'Alabama Life'!F47+'American Chambers'!F47+'American Educators'!F47+'American Integrity'!F47+'Amer Life Asr'!F47+'American Medical'!F47+'Amer Std Life Acc'!F47+AmerWstrn!F47+'AMS Life'!F47+'Andrew Jackson'!F47+'Bankers Commercial'!F47+Benicorp!F47+Centennial!F47+'Coastal States'!F47+'Confed Life (CLIC)'!F47+'Consolidated National'!F47+'Consumers Mutual'!F47+'Consumers United'!F47+'Corporate Life'!F47+'Diamond Benefits'!F47+'EBL Life'!F47+'Family Guaranty'!F47+'Fidelity Bankers'!F47+'First Natl'!F47+'Franklin American'!F47+'Franklin Protective'!F47+'George Washington'!F47+'Golden State'!F47+'Guarantee Security'!F47+Imerica!F47+'Inter-American'!F47+'International Fin'!F47+'Investment Life of America'!F47+'Investors Equity'!F47+'Kentucky Central'!F47+Legion!F47+'London Pac'!F47+'Medical Savings'!F47+'Midwest Life'!F47+'Mutual Benefit'!F47+'Mutual Security'!F47+'National Affiliated'!F47+'Natl American'!F47+'National Heritage'!F47+'New Jersey Life'!F47+'Old Colony Life'!F47+'Old Faithful'!F47+'Pacific Standard'!F47+'Red Rock'!F47+SeeChange!F47+'States General'!F47+Statesman!F47+'Summit National'!F47+Supreme!F47+Underwriters!F47+Unison!F47+'United Republic'!F47+Universe!F47+Villanova!F47</f>
        <v>0</v>
      </c>
      <c r="G47" s="1">
        <f t="shared" si="2"/>
        <v>14858475.389952209</v>
      </c>
      <c r="H47" s="1">
        <f>+'Alabama Life'!G47+'American Chambers'!G47+'American Educators'!G47+'American Integrity'!G47+'Amer Life Asr'!G47+'American Medical'!G47+'Amer Std Life Acc'!G47+AmerWstrn!G47+'AMS Life'!G47+'Andrew Jackson'!G47+'Bankers Commercial'!G47+Benicorp!G47+Centennial!G47+'Coastal States'!G47+'Confed Life (CLIC)'!G47+'Consolidated National'!G47+'Consumers Mutual'!G47+'Consumers United'!G47+'Corporate Life'!G47+'Diamond Benefits'!G47+'EBL Life'!G47+'Family Guaranty'!G47+'Fidelity Bankers'!G47+'First Natl'!G47+'Franklin American'!G47+'Franklin Protective'!G47+'George Washington'!G47+'Golden State'!G47+'Guarantee Security'!G47+Imerica!G47+'Inter-American'!G47+'International Fin'!G47+'Investment Life of America'!G47+'Investors Equity'!G47+'Kentucky Central'!G47+Legion!G47+'London Pac'!G47+'Medical Savings'!G47+'Midwest Life'!G47+'Mutual Benefit'!G47+'Mutual Security'!G47+'National Affiliated'!G47+'Natl American'!G47+'National Heritage'!G47+'New Jersey Life'!G47+'Old Colony Life'!G47+'Old Faithful'!G47+'Pacific Standard'!G47+'Red Rock'!G47+SeeChange!G47+'States General'!G47+Statesman!G47+'Summit National'!G47+Supreme!G47+Underwriters!G47+Unison!G47+'United Republic'!G47+Universe!G47+Villanova!G47</f>
        <v>14858475.389952205</v>
      </c>
      <c r="I47" s="1">
        <f t="shared" si="3"/>
        <v>0</v>
      </c>
      <c r="K47" s="1" t="s">
        <v>576</v>
      </c>
      <c r="L47" s="1">
        <f>Summary!TOTAL_69370</f>
        <v>1309088.152858512</v>
      </c>
    </row>
    <row r="48" spans="1:12">
      <c r="A48" s="1" t="s">
        <v>69</v>
      </c>
      <c r="B48" s="1">
        <f>+'Alabama Life'!B48+'American Chambers'!B48+'American Educators'!B48+'American Integrity'!B48+'Amer Life Asr'!B48+'American Medical'!B48+'Amer Std Life Acc'!B48+AmerWstrn!B48+'AMS Life'!B48+'Andrew Jackson'!B48+'Bankers Commercial'!B48+Benicorp!B48+Centennial!B48+'Coastal States'!B48+'Confed Life (CLIC)'!B48+'Consolidated National'!B48+'Consumers Mutual'!B48+'Consumers United'!B48+'Corporate Life'!B48+'Diamond Benefits'!B48+'EBL Life'!B48+'Family Guaranty'!B48+'Fidelity Bankers'!B48+'First Natl'!B48+'Franklin American'!B48+'Franklin Protective'!B48+'George Washington'!B48+'Golden State'!B48+'Guarantee Security'!B48+Imerica!B48+'Inter-American'!B48+'International Fin'!B48+'Investment Life of America'!B48+'Investors Equity'!B48+'Kentucky Central'!B48+Legion!B48+'London Pac'!B48+'Medical Savings'!B48+'Midwest Life'!B48+'Mutual Benefit'!B48+'Mutual Security'!B48+'National Affiliated'!B48+'Natl American'!B48+'National Heritage'!B48+'New Jersey Life'!B48+'Old Colony Life'!B48+'Old Faithful'!B48+'Pacific Standard'!B48+'Red Rock'!B48+SeeChange!B48+'States General'!B48+Statesman!B48+'Summit National'!B48+Supreme!B48+Underwriters!B48+Unison!B48+'United Republic'!B48+Universe!B48+Villanova!B48</f>
        <v>747039.55130003532</v>
      </c>
      <c r="C48" s="1">
        <f>+'Alabama Life'!C48+'American Chambers'!C48+'American Educators'!C48+'American Integrity'!C48+'Amer Life Asr'!C48+'American Medical'!C48+'Amer Std Life Acc'!C48+AmerWstrn!C48+'AMS Life'!C48+'Andrew Jackson'!C48+'Bankers Commercial'!C48+Benicorp!C48+Centennial!C48+'Coastal States'!C48+'Confed Life (CLIC)'!C48+'Consolidated National'!C48+'Consumers Mutual'!C48+'Consumers United'!C48+'Corporate Life'!C48+'Diamond Benefits'!C48+'EBL Life'!C48+'Family Guaranty'!C48+'Fidelity Bankers'!C48+'First Natl'!C48+'Franklin American'!C48+'Franklin Protective'!C48+'George Washington'!C48+'Golden State'!C48+'Guarantee Security'!C48+Imerica!C48+'Inter-American'!C48+'International Fin'!C48+'Investment Life of America'!C48+'Investors Equity'!C48+'Kentucky Central'!C48+Legion!C48+'London Pac'!C48+'Medical Savings'!C48+'Midwest Life'!C48+'Mutual Benefit'!C48+'Mutual Security'!C48+'National Affiliated'!C48+'Natl American'!C48+'National Heritage'!C48+'New Jersey Life'!C48+'Old Colony Life'!C48+'Old Faithful'!C48+'Pacific Standard'!C48+'Red Rock'!C48+SeeChange!C48+'States General'!C48+Statesman!C48+'Summit National'!C48+Supreme!C48+Underwriters!C48+Unison!C48+'United Republic'!C48+Universe!C48+Villanova!C48</f>
        <v>2014689.2392873431</v>
      </c>
      <c r="D48" s="1">
        <f>+'Alabama Life'!D48+'American Chambers'!D48+'American Educators'!D48+'American Integrity'!D48+'Amer Life Asr'!D48+'American Medical'!D48+'Amer Std Life Acc'!D48+AmerWstrn!D48+'AMS Life'!D48+'Andrew Jackson'!D48+'Bankers Commercial'!D48+Benicorp!D48+Centennial!D48+'Coastal States'!D48+'Confed Life (CLIC)'!D48+'Consolidated National'!D48+'Consumers Mutual'!D48+'Consumers United'!D48+'Corporate Life'!D48+'Diamond Benefits'!D48+'EBL Life'!D48+'Family Guaranty'!D48+'Fidelity Bankers'!D48+'First Natl'!D48+'Franklin American'!D48+'Franklin Protective'!D48+'George Washington'!D48+'Golden State'!D48+'Guarantee Security'!D48+Imerica!D48+'Inter-American'!D48+'International Fin'!D48+'Investment Life of America'!D48+'Investors Equity'!D48+'Kentucky Central'!D48+Legion!D48+'London Pac'!D48+'Medical Savings'!D48+'Midwest Life'!D48+'Mutual Benefit'!D48+'Mutual Security'!D48+'National Affiliated'!D48+'Natl American'!D48+'National Heritage'!D48+'New Jersey Life'!D48+'Old Colony Life'!D48+'Old Faithful'!D48+'Pacific Standard'!D48+'Red Rock'!D48+SeeChange!D48+'States General'!D48+Statesman!D48+'Summit National'!D48+Supreme!D48+Underwriters!D48+Unison!D48+'United Republic'!D48+Universe!D48+Villanova!D48</f>
        <v>1475782.0258819785</v>
      </c>
      <c r="E48" s="1">
        <f>+'Alabama Life'!E48+'American Chambers'!E48+'American Educators'!E48+'American Integrity'!E48+'Amer Life Asr'!E48+'American Medical'!E48+'Amer Std Life Acc'!E48+AmerWstrn!E48+'AMS Life'!E48+'Andrew Jackson'!E48+'Bankers Commercial'!E48+Benicorp!E48+Centennial!E48+'Coastal States'!E48+'Confed Life (CLIC)'!E48+'Consolidated National'!E48+'Consumers Mutual'!E48+'Consumers United'!E48+'Corporate Life'!E48+'Diamond Benefits'!E48+'EBL Life'!E48+'Family Guaranty'!E48+'Fidelity Bankers'!E48+'First Natl'!E48+'Franklin American'!E48+'Franklin Protective'!E48+'George Washington'!E48+'Golden State'!E48+'Guarantee Security'!E48+Imerica!E48+'Inter-American'!E48+'International Fin'!E48+'Investment Life of America'!E48+'Investors Equity'!E48+'Kentucky Central'!E48+Legion!E48+'London Pac'!E48+'Medical Savings'!E48+'Midwest Life'!E48+'Mutual Benefit'!E48+'Mutual Security'!E48+'National Affiliated'!E48+'Natl American'!E48+'National Heritage'!E48+'New Jersey Life'!E48+'Old Colony Life'!E48+'Old Faithful'!E48+'Pacific Standard'!E48+'Red Rock'!E48+SeeChange!E48+'States General'!E48+Statesman!E48+'Summit National'!E48+Supreme!E48+Underwriters!E48+Unison!E48+'United Republic'!E48+Universe!E48+Villanova!E48</f>
        <v>0</v>
      </c>
      <c r="F48" s="1">
        <f>+'Alabama Life'!F48+'American Chambers'!F48+'American Educators'!F48+'American Integrity'!F48+'Amer Life Asr'!F48+'American Medical'!F48+'Amer Std Life Acc'!F48+AmerWstrn!F48+'AMS Life'!F48+'Andrew Jackson'!F48+'Bankers Commercial'!F48+Benicorp!F48+Centennial!F48+'Coastal States'!F48+'Confed Life (CLIC)'!F48+'Consolidated National'!F48+'Consumers Mutual'!F48+'Consumers United'!F48+'Corporate Life'!F48+'Diamond Benefits'!F48+'EBL Life'!F48+'Family Guaranty'!F48+'Fidelity Bankers'!F48+'First Natl'!F48+'Franklin American'!F48+'Franklin Protective'!F48+'George Washington'!F48+'Golden State'!F48+'Guarantee Security'!F48+Imerica!F48+'Inter-American'!F48+'International Fin'!F48+'Investment Life of America'!F48+'Investors Equity'!F48+'Kentucky Central'!F48+Legion!F48+'London Pac'!F48+'Medical Savings'!F48+'Midwest Life'!F48+'Mutual Benefit'!F48+'Mutual Security'!F48+'National Affiliated'!F48+'Natl American'!F48+'National Heritage'!F48+'New Jersey Life'!F48+'Old Colony Life'!F48+'Old Faithful'!F48+'Pacific Standard'!F48+'Red Rock'!F48+SeeChange!F48+'States General'!F48+Statesman!F48+'Summit National'!F48+Supreme!F48+Underwriters!F48+Unison!F48+'United Republic'!F48+Universe!F48+Villanova!F48</f>
        <v>0</v>
      </c>
      <c r="G48" s="1">
        <f t="shared" si="2"/>
        <v>4237510.8164693573</v>
      </c>
      <c r="H48" s="1">
        <f>+'Alabama Life'!G48+'American Chambers'!G48+'American Educators'!G48+'American Integrity'!G48+'Amer Life Asr'!G48+'American Medical'!G48+'Amer Std Life Acc'!G48+AmerWstrn!G48+'AMS Life'!G48+'Andrew Jackson'!G48+'Bankers Commercial'!G48+Benicorp!G48+Centennial!G48+'Coastal States'!G48+'Confed Life (CLIC)'!G48+'Consolidated National'!G48+'Consumers Mutual'!G48+'Consumers United'!G48+'Corporate Life'!G48+'Diamond Benefits'!G48+'EBL Life'!G48+'Family Guaranty'!G48+'Fidelity Bankers'!G48+'First Natl'!G48+'Franklin American'!G48+'Franklin Protective'!G48+'George Washington'!G48+'Golden State'!G48+'Guarantee Security'!G48+Imerica!G48+'Inter-American'!G48+'International Fin'!G48+'Investment Life of America'!G48+'Investors Equity'!G48+'Kentucky Central'!G48+Legion!G48+'London Pac'!G48+'Medical Savings'!G48+'Midwest Life'!G48+'Mutual Benefit'!G48+'Mutual Security'!G48+'National Affiliated'!G48+'Natl American'!G48+'National Heritage'!G48+'New Jersey Life'!G48+'Old Colony Life'!G48+'Old Faithful'!G48+'Pacific Standard'!G48+'Red Rock'!G48+SeeChange!G48+'States General'!G48+Statesman!G48+'Summit National'!G48+Supreme!G48+Underwriters!G48+Unison!G48+'United Republic'!G48+Universe!G48+Villanova!G48</f>
        <v>4237510.8164693564</v>
      </c>
      <c r="I48" s="1">
        <f t="shared" si="3"/>
        <v>0</v>
      </c>
      <c r="K48" s="1" t="s">
        <v>582</v>
      </c>
      <c r="L48" s="1">
        <f>Summary!TOTAL_69221</f>
        <v>13133444.315430962</v>
      </c>
    </row>
    <row r="49" spans="1:12">
      <c r="A49" s="1" t="s">
        <v>70</v>
      </c>
      <c r="B49" s="1">
        <f>+'Alabama Life'!B49+'American Chambers'!B49+'American Educators'!B49+'American Integrity'!B49+'Amer Life Asr'!B49+'American Medical'!B49+'Amer Std Life Acc'!B49+AmerWstrn!B49+'AMS Life'!B49+'Andrew Jackson'!B49+'Bankers Commercial'!B49+Benicorp!B49+Centennial!B49+'Coastal States'!B49+'Confed Life (CLIC)'!B49+'Consolidated National'!B49+'Consumers Mutual'!B49+'Consumers United'!B49+'Corporate Life'!B49+'Diamond Benefits'!B49+'EBL Life'!B49+'Family Guaranty'!B49+'Fidelity Bankers'!B49+'First Natl'!B49+'Franklin American'!B49+'Franklin Protective'!B49+'George Washington'!B49+'Golden State'!B49+'Guarantee Security'!B49+Imerica!B49+'Inter-American'!B49+'International Fin'!B49+'Investment Life of America'!B49+'Investors Equity'!B49+'Kentucky Central'!B49+Legion!B49+'London Pac'!B49+'Medical Savings'!B49+'Midwest Life'!B49+'Mutual Benefit'!B49+'Mutual Security'!B49+'National Affiliated'!B49+'Natl American'!B49+'National Heritage'!B49+'New Jersey Life'!B49+'Old Colony Life'!B49+'Old Faithful'!B49+'Pacific Standard'!B49+'Red Rock'!B49+SeeChange!B49+'States General'!B49+Statesman!B49+'Summit National'!B49+Supreme!B49+Underwriters!B49+Unison!B49+'United Republic'!B49+Universe!B49+Villanova!B49</f>
        <v>6214704.5390260145</v>
      </c>
      <c r="C49" s="1">
        <f>+'Alabama Life'!C49+'American Chambers'!C49+'American Educators'!C49+'American Integrity'!C49+'Amer Life Asr'!C49+'American Medical'!C49+'Amer Std Life Acc'!C49+AmerWstrn!C49+'AMS Life'!C49+'Andrew Jackson'!C49+'Bankers Commercial'!C49+Benicorp!C49+Centennial!C49+'Coastal States'!C49+'Confed Life (CLIC)'!C49+'Consolidated National'!C49+'Consumers Mutual'!C49+'Consumers United'!C49+'Corporate Life'!C49+'Diamond Benefits'!C49+'EBL Life'!C49+'Family Guaranty'!C49+'Fidelity Bankers'!C49+'First Natl'!C49+'Franklin American'!C49+'Franklin Protective'!C49+'George Washington'!C49+'Golden State'!C49+'Guarantee Security'!C49+Imerica!C49+'Inter-American'!C49+'International Fin'!C49+'Investment Life of America'!C49+'Investors Equity'!C49+'Kentucky Central'!C49+Legion!C49+'London Pac'!C49+'Medical Savings'!C49+'Midwest Life'!C49+'Mutual Benefit'!C49+'Mutual Security'!C49+'National Affiliated'!C49+'Natl American'!C49+'National Heritage'!C49+'New Jersey Life'!C49+'Old Colony Life'!C49+'Old Faithful'!C49+'Pacific Standard'!C49+'Red Rock'!C49+SeeChange!C49+'States General'!C49+Statesman!C49+'Summit National'!C49+Supreme!C49+Underwriters!C49+Unison!C49+'United Republic'!C49+Universe!C49+Villanova!C49</f>
        <v>12453056.598757202</v>
      </c>
      <c r="D49" s="1">
        <f>+'Alabama Life'!D49+'American Chambers'!D49+'American Educators'!D49+'American Integrity'!D49+'Amer Life Asr'!D49+'American Medical'!D49+'Amer Std Life Acc'!D49+AmerWstrn!D49+'AMS Life'!D49+'Andrew Jackson'!D49+'Bankers Commercial'!D49+Benicorp!D49+Centennial!D49+'Coastal States'!D49+'Confed Life (CLIC)'!D49+'Consolidated National'!D49+'Consumers Mutual'!D49+'Consumers United'!D49+'Corporate Life'!D49+'Diamond Benefits'!D49+'EBL Life'!D49+'Family Guaranty'!D49+'Fidelity Bankers'!D49+'First Natl'!D49+'Franklin American'!D49+'Franklin Protective'!D49+'George Washington'!D49+'Golden State'!D49+'Guarantee Security'!D49+Imerica!D49+'Inter-American'!D49+'International Fin'!D49+'Investment Life of America'!D49+'Investors Equity'!D49+'Kentucky Central'!D49+Legion!D49+'London Pac'!D49+'Medical Savings'!D49+'Midwest Life'!D49+'Mutual Benefit'!D49+'Mutual Security'!D49+'National Affiliated'!D49+'Natl American'!D49+'National Heritage'!D49+'New Jersey Life'!D49+'Old Colony Life'!D49+'Old Faithful'!D49+'Pacific Standard'!D49+'Red Rock'!D49+SeeChange!D49+'States General'!D49+Statesman!D49+'Summit National'!D49+Supreme!D49+Underwriters!D49+Unison!D49+'United Republic'!D49+Universe!D49+Villanova!D49</f>
        <v>3870046.8833492538</v>
      </c>
      <c r="E49" s="1">
        <f>+'Alabama Life'!E49+'American Chambers'!E49+'American Educators'!E49+'American Integrity'!E49+'Amer Life Asr'!E49+'American Medical'!E49+'Amer Std Life Acc'!E49+AmerWstrn!E49+'AMS Life'!E49+'Andrew Jackson'!E49+'Bankers Commercial'!E49+Benicorp!E49+Centennial!E49+'Coastal States'!E49+'Confed Life (CLIC)'!E49+'Consolidated National'!E49+'Consumers Mutual'!E49+'Consumers United'!E49+'Corporate Life'!E49+'Diamond Benefits'!E49+'EBL Life'!E49+'Family Guaranty'!E49+'Fidelity Bankers'!E49+'First Natl'!E49+'Franklin American'!E49+'Franklin Protective'!E49+'George Washington'!E49+'Golden State'!E49+'Guarantee Security'!E49+Imerica!E49+'Inter-American'!E49+'International Fin'!E49+'Investment Life of America'!E49+'Investors Equity'!E49+'Kentucky Central'!E49+Legion!E49+'London Pac'!E49+'Medical Savings'!E49+'Midwest Life'!E49+'Mutual Benefit'!E49+'Mutual Security'!E49+'National Affiliated'!E49+'Natl American'!E49+'National Heritage'!E49+'New Jersey Life'!E49+'Old Colony Life'!E49+'Old Faithful'!E49+'Pacific Standard'!E49+'Red Rock'!E49+SeeChange!E49+'States General'!E49+Statesman!E49+'Summit National'!E49+Supreme!E49+Underwriters!E49+Unison!E49+'United Republic'!E49+Universe!E49+Villanova!E49</f>
        <v>0</v>
      </c>
      <c r="F49" s="1">
        <f>+'Alabama Life'!F49+'American Chambers'!F49+'American Educators'!F49+'American Integrity'!F49+'Amer Life Asr'!F49+'American Medical'!F49+'Amer Std Life Acc'!F49+AmerWstrn!F49+'AMS Life'!F49+'Andrew Jackson'!F49+'Bankers Commercial'!F49+Benicorp!F49+Centennial!F49+'Coastal States'!F49+'Confed Life (CLIC)'!F49+'Consolidated National'!F49+'Consumers Mutual'!F49+'Consumers United'!F49+'Corporate Life'!F49+'Diamond Benefits'!F49+'EBL Life'!F49+'Family Guaranty'!F49+'Fidelity Bankers'!F49+'First Natl'!F49+'Franklin American'!F49+'Franklin Protective'!F49+'George Washington'!F49+'Golden State'!F49+'Guarantee Security'!F49+Imerica!F49+'Inter-American'!F49+'International Fin'!F49+'Investment Life of America'!F49+'Investors Equity'!F49+'Kentucky Central'!F49+Legion!F49+'London Pac'!F49+'Medical Savings'!F49+'Midwest Life'!F49+'Mutual Benefit'!F49+'Mutual Security'!F49+'National Affiliated'!F49+'Natl American'!F49+'National Heritage'!F49+'New Jersey Life'!F49+'Old Colony Life'!F49+'Old Faithful'!F49+'Pacific Standard'!F49+'Red Rock'!F49+SeeChange!F49+'States General'!F49+Statesman!F49+'Summit National'!F49+Supreme!F49+Underwriters!F49+Unison!F49+'United Republic'!F49+Universe!F49+Villanova!F49</f>
        <v>0</v>
      </c>
      <c r="G49" s="1">
        <f t="shared" si="2"/>
        <v>22537808.021132469</v>
      </c>
      <c r="H49" s="1">
        <f>+'Alabama Life'!G49+'American Chambers'!G49+'American Educators'!G49+'American Integrity'!G49+'Amer Life Asr'!G49+'American Medical'!G49+'Amer Std Life Acc'!G49+AmerWstrn!G49+'AMS Life'!G49+'Andrew Jackson'!G49+'Bankers Commercial'!G49+Benicorp!G49+Centennial!G49+'Coastal States'!G49+'Confed Life (CLIC)'!G49+'Consolidated National'!G49+'Consumers Mutual'!G49+'Consumers United'!G49+'Corporate Life'!G49+'Diamond Benefits'!G49+'EBL Life'!G49+'Family Guaranty'!G49+'Fidelity Bankers'!G49+'First Natl'!G49+'Franklin American'!G49+'Franklin Protective'!G49+'George Washington'!G49+'Golden State'!G49+'Guarantee Security'!G49+Imerica!G49+'Inter-American'!G49+'International Fin'!G49+'Investment Life of America'!G49+'Investors Equity'!G49+'Kentucky Central'!G49+Legion!G49+'London Pac'!G49+'Medical Savings'!G49+'Midwest Life'!G49+'Mutual Benefit'!G49+'Mutual Security'!G49+'National Affiliated'!G49+'Natl American'!G49+'National Heritage'!G49+'New Jersey Life'!G49+'Old Colony Life'!G49+'Old Faithful'!G49+'Pacific Standard'!G49+'Red Rock'!G49+SeeChange!G49+'States General'!G49+Statesman!G49+'Summit National'!G49+Supreme!G49+Underwriters!G49+Unison!G49+'United Republic'!G49+Universe!G49+Villanova!G49</f>
        <v>22537808.021132469</v>
      </c>
      <c r="I49" s="1">
        <f t="shared" si="3"/>
        <v>0</v>
      </c>
      <c r="K49" s="1" t="s">
        <v>588</v>
      </c>
      <c r="L49" s="1">
        <f>Summary!TOTAL_97284</f>
        <v>151855379.64532995</v>
      </c>
    </row>
    <row r="50" spans="1:12">
      <c r="A50" s="1" t="s">
        <v>71</v>
      </c>
      <c r="B50" s="1">
        <f>+'Alabama Life'!B50+'American Chambers'!B50+'American Educators'!B50+'American Integrity'!B50+'Amer Life Asr'!B50+'American Medical'!B50+'Amer Std Life Acc'!B50+AmerWstrn!B50+'AMS Life'!B50+'Andrew Jackson'!B50+'Bankers Commercial'!B50+Benicorp!B50+Centennial!B50+'Coastal States'!B50+'Confed Life (CLIC)'!B50+'Consolidated National'!B50+'Consumers Mutual'!B50+'Consumers United'!B50+'Corporate Life'!B50+'Diamond Benefits'!B50+'EBL Life'!B50+'Family Guaranty'!B50+'Fidelity Bankers'!B50+'First Natl'!B50+'Franklin American'!B50+'Franklin Protective'!B50+'George Washington'!B50+'Golden State'!B50+'Guarantee Security'!B50+Imerica!B50+'Inter-American'!B50+'International Fin'!B50+'Investment Life of America'!B50+'Investors Equity'!B50+'Kentucky Central'!B50+Legion!B50+'London Pac'!B50+'Medical Savings'!B50+'Midwest Life'!B50+'Mutual Benefit'!B50+'Mutual Security'!B50+'National Affiliated'!B50+'Natl American'!B50+'National Heritage'!B50+'New Jersey Life'!B50+'Old Colony Life'!B50+'Old Faithful'!B50+'Pacific Standard'!B50+'Red Rock'!B50+SeeChange!B50+'States General'!B50+Statesman!B50+'Summit National'!B50+Supreme!B50+Underwriters!B50+Unison!B50+'United Republic'!B50+Universe!B50+Villanova!B50</f>
        <v>10302124.44017615</v>
      </c>
      <c r="C50" s="1">
        <f>+'Alabama Life'!C50+'American Chambers'!C50+'American Educators'!C50+'American Integrity'!C50+'Amer Life Asr'!C50+'American Medical'!C50+'Amer Std Life Acc'!C50+AmerWstrn!C50+'AMS Life'!C50+'Andrew Jackson'!C50+'Bankers Commercial'!C50+Benicorp!C50+Centennial!C50+'Coastal States'!C50+'Confed Life (CLIC)'!C50+'Consolidated National'!C50+'Consumers Mutual'!C50+'Consumers United'!C50+'Corporate Life'!C50+'Diamond Benefits'!C50+'EBL Life'!C50+'Family Guaranty'!C50+'Fidelity Bankers'!C50+'First Natl'!C50+'Franklin American'!C50+'Franklin Protective'!C50+'George Washington'!C50+'Golden State'!C50+'Guarantee Security'!C50+Imerica!C50+'Inter-American'!C50+'International Fin'!C50+'Investment Life of America'!C50+'Investors Equity'!C50+'Kentucky Central'!C50+Legion!C50+'London Pac'!C50+'Medical Savings'!C50+'Midwest Life'!C50+'Mutual Benefit'!C50+'Mutual Security'!C50+'National Affiliated'!C50+'Natl American'!C50+'National Heritage'!C50+'New Jersey Life'!C50+'Old Colony Life'!C50+'Old Faithful'!C50+'Pacific Standard'!C50+'Red Rock'!C50+SeeChange!C50+'States General'!C50+Statesman!C50+'Summit National'!C50+Supreme!C50+Underwriters!C50+Unison!C50+'United Republic'!C50+Universe!C50+Villanova!C50</f>
        <v>54231032.31104593</v>
      </c>
      <c r="D50" s="1">
        <f>+'Alabama Life'!D50+'American Chambers'!D50+'American Educators'!D50+'American Integrity'!D50+'Amer Life Asr'!D50+'American Medical'!D50+'Amer Std Life Acc'!D50+AmerWstrn!D50+'AMS Life'!D50+'Andrew Jackson'!D50+'Bankers Commercial'!D50+Benicorp!D50+Centennial!D50+'Coastal States'!D50+'Confed Life (CLIC)'!D50+'Consolidated National'!D50+'Consumers Mutual'!D50+'Consumers United'!D50+'Corporate Life'!D50+'Diamond Benefits'!D50+'EBL Life'!D50+'Family Guaranty'!D50+'Fidelity Bankers'!D50+'First Natl'!D50+'Franklin American'!D50+'Franklin Protective'!D50+'George Washington'!D50+'Golden State'!D50+'Guarantee Security'!D50+Imerica!D50+'Inter-American'!D50+'International Fin'!D50+'Investment Life of America'!D50+'Investors Equity'!D50+'Kentucky Central'!D50+Legion!D50+'London Pac'!D50+'Medical Savings'!D50+'Midwest Life'!D50+'Mutual Benefit'!D50+'Mutual Security'!D50+'National Affiliated'!D50+'Natl American'!D50+'National Heritage'!D50+'New Jersey Life'!D50+'Old Colony Life'!D50+'Old Faithful'!D50+'Pacific Standard'!D50+'Red Rock'!D50+SeeChange!D50+'States General'!D50+Statesman!D50+'Summit National'!D50+Supreme!D50+Underwriters!D50+Unison!D50+'United Republic'!D50+Universe!D50+Villanova!D50</f>
        <v>23330330.500626869</v>
      </c>
      <c r="E50" s="1">
        <f>+'Alabama Life'!E50+'American Chambers'!E50+'American Educators'!E50+'American Integrity'!E50+'Amer Life Asr'!E50+'American Medical'!E50+'Amer Std Life Acc'!E50+AmerWstrn!E50+'AMS Life'!E50+'Andrew Jackson'!E50+'Bankers Commercial'!E50+Benicorp!E50+Centennial!E50+'Coastal States'!E50+'Confed Life (CLIC)'!E50+'Consolidated National'!E50+'Consumers Mutual'!E50+'Consumers United'!E50+'Corporate Life'!E50+'Diamond Benefits'!E50+'EBL Life'!E50+'Family Guaranty'!E50+'Fidelity Bankers'!E50+'First Natl'!E50+'Franklin American'!E50+'Franklin Protective'!E50+'George Washington'!E50+'Golden State'!E50+'Guarantee Security'!E50+Imerica!E50+'Inter-American'!E50+'International Fin'!E50+'Investment Life of America'!E50+'Investors Equity'!E50+'Kentucky Central'!E50+Legion!E50+'London Pac'!E50+'Medical Savings'!E50+'Midwest Life'!E50+'Mutual Benefit'!E50+'Mutual Security'!E50+'National Affiliated'!E50+'Natl American'!E50+'National Heritage'!E50+'New Jersey Life'!E50+'Old Colony Life'!E50+'Old Faithful'!E50+'Pacific Standard'!E50+'Red Rock'!E50+SeeChange!E50+'States General'!E50+Statesman!E50+'Summit National'!E50+Supreme!E50+Underwriters!E50+Unison!E50+'United Republic'!E50+Universe!E50+Villanova!E50</f>
        <v>2837602.8037223225</v>
      </c>
      <c r="F50" s="1">
        <f>+'Alabama Life'!F50+'American Chambers'!F50+'American Educators'!F50+'American Integrity'!F50+'Amer Life Asr'!F50+'American Medical'!F50+'Amer Std Life Acc'!F50+AmerWstrn!F50+'AMS Life'!F50+'Andrew Jackson'!F50+'Bankers Commercial'!F50+Benicorp!F50+Centennial!F50+'Coastal States'!F50+'Confed Life (CLIC)'!F50+'Consolidated National'!F50+'Consumers Mutual'!F50+'Consumers United'!F50+'Corporate Life'!F50+'Diamond Benefits'!F50+'EBL Life'!F50+'Family Guaranty'!F50+'Fidelity Bankers'!F50+'First Natl'!F50+'Franklin American'!F50+'Franklin Protective'!F50+'George Washington'!F50+'Golden State'!F50+'Guarantee Security'!F50+Imerica!F50+'Inter-American'!F50+'International Fin'!F50+'Investment Life of America'!F50+'Investors Equity'!F50+'Kentucky Central'!F50+Legion!F50+'London Pac'!F50+'Medical Savings'!F50+'Midwest Life'!F50+'Mutual Benefit'!F50+'Mutual Security'!F50+'National Affiliated'!F50+'Natl American'!F50+'National Heritage'!F50+'New Jersey Life'!F50+'Old Colony Life'!F50+'Old Faithful'!F50+'Pacific Standard'!F50+'Red Rock'!F50+SeeChange!F50+'States General'!F50+Statesman!F50+'Summit National'!F50+Supreme!F50+Underwriters!F50+Unison!F50+'United Republic'!F50+Universe!F50+Villanova!F50</f>
        <v>0</v>
      </c>
      <c r="G50" s="1">
        <f t="shared" si="2"/>
        <v>90701090.055571273</v>
      </c>
      <c r="H50" s="1">
        <f>+'Alabama Life'!G50+'American Chambers'!G50+'American Educators'!G50+'American Integrity'!G50+'Amer Life Asr'!G50+'American Medical'!G50+'Amer Std Life Acc'!G50+AmerWstrn!G50+'AMS Life'!G50+'Andrew Jackson'!G50+'Bankers Commercial'!G50+Benicorp!G50+Centennial!G50+'Coastal States'!G50+'Confed Life (CLIC)'!G50+'Consolidated National'!G50+'Consumers Mutual'!G50+'Consumers United'!G50+'Corporate Life'!G50+'Diamond Benefits'!G50+'EBL Life'!G50+'Family Guaranty'!G50+'Fidelity Bankers'!G50+'First Natl'!G50+'Franklin American'!G50+'Franklin Protective'!G50+'George Washington'!G50+'Golden State'!G50+'Guarantee Security'!G50+Imerica!G50+'Inter-American'!G50+'International Fin'!G50+'Investment Life of America'!G50+'Investors Equity'!G50+'Kentucky Central'!G50+Legion!G50+'London Pac'!G50+'Medical Savings'!G50+'Midwest Life'!G50+'Mutual Benefit'!G50+'Mutual Security'!G50+'National Affiliated'!G50+'Natl American'!G50+'National Heritage'!G50+'New Jersey Life'!G50+'Old Colony Life'!G50+'Old Faithful'!G50+'Pacific Standard'!G50+'Red Rock'!G50+SeeChange!G50+'States General'!G50+Statesman!G50+'Summit National'!G50+Supreme!G50+Underwriters!G50+Unison!G50+'United Republic'!G50+Universe!G50+Villanova!G50</f>
        <v>90701090.055571258</v>
      </c>
      <c r="I50" s="1">
        <f t="shared" si="3"/>
        <v>0</v>
      </c>
      <c r="K50" s="1" t="s">
        <v>594</v>
      </c>
      <c r="L50" s="1">
        <f>Summary!TOTAL_66907</f>
        <v>81903024.650000021</v>
      </c>
    </row>
    <row r="51" spans="1:12">
      <c r="A51" s="1" t="s">
        <v>72</v>
      </c>
      <c r="B51" s="1">
        <f>+'Alabama Life'!B51+'American Chambers'!B51+'American Educators'!B51+'American Integrity'!B51+'Amer Life Asr'!B51+'American Medical'!B51+'Amer Std Life Acc'!B51+AmerWstrn!B51+'AMS Life'!B51+'Andrew Jackson'!B51+'Bankers Commercial'!B51+Benicorp!B51+Centennial!B51+'Coastal States'!B51+'Confed Life (CLIC)'!B51+'Consolidated National'!B51+'Consumers Mutual'!B51+'Consumers United'!B51+'Corporate Life'!B51+'Diamond Benefits'!B51+'EBL Life'!B51+'Family Guaranty'!B51+'Fidelity Bankers'!B51+'First Natl'!B51+'Franklin American'!B51+'Franklin Protective'!B51+'George Washington'!B51+'Golden State'!B51+'Guarantee Security'!B51+Imerica!B51+'Inter-American'!B51+'International Fin'!B51+'Investment Life of America'!B51+'Investors Equity'!B51+'Kentucky Central'!B51+Legion!B51+'London Pac'!B51+'Medical Savings'!B51+'Midwest Life'!B51+'Mutual Benefit'!B51+'Mutual Security'!B51+'National Affiliated'!B51+'Natl American'!B51+'National Heritage'!B51+'New Jersey Life'!B51+'Old Colony Life'!B51+'Old Faithful'!B51+'Pacific Standard'!B51+'Red Rock'!B51+SeeChange!B51+'States General'!B51+Statesman!B51+'Summit National'!B51+Supreme!B51+Underwriters!B51+Unison!B51+'United Republic'!B51+Universe!B51+Villanova!B51</f>
        <v>699348.63040982501</v>
      </c>
      <c r="C51" s="1">
        <f>+'Alabama Life'!C51+'American Chambers'!C51+'American Educators'!C51+'American Integrity'!C51+'Amer Life Asr'!C51+'American Medical'!C51+'Amer Std Life Acc'!C51+AmerWstrn!C51+'AMS Life'!C51+'Andrew Jackson'!C51+'Bankers Commercial'!C51+Benicorp!C51+Centennial!C51+'Coastal States'!C51+'Confed Life (CLIC)'!C51+'Consolidated National'!C51+'Consumers Mutual'!C51+'Consumers United'!C51+'Corporate Life'!C51+'Diamond Benefits'!C51+'EBL Life'!C51+'Family Guaranty'!C51+'Fidelity Bankers'!C51+'First Natl'!C51+'Franklin American'!C51+'Franklin Protective'!C51+'George Washington'!C51+'Golden State'!C51+'Guarantee Security'!C51+Imerica!C51+'Inter-American'!C51+'International Fin'!C51+'Investment Life of America'!C51+'Investors Equity'!C51+'Kentucky Central'!C51+Legion!C51+'London Pac'!C51+'Medical Savings'!C51+'Midwest Life'!C51+'Mutual Benefit'!C51+'Mutual Security'!C51+'National Affiliated'!C51+'Natl American'!C51+'National Heritage'!C51+'New Jersey Life'!C51+'Old Colony Life'!C51+'Old Faithful'!C51+'Pacific Standard'!C51+'Red Rock'!C51+SeeChange!C51+'States General'!C51+Statesman!C51+'Summit National'!C51+Supreme!C51+Underwriters!C51+Unison!C51+'United Republic'!C51+Universe!C51+Villanova!C51</f>
        <v>1354923.3345406579</v>
      </c>
      <c r="D51" s="1">
        <f>+'Alabama Life'!D51+'American Chambers'!D51+'American Educators'!D51+'American Integrity'!D51+'Amer Life Asr'!D51+'American Medical'!D51+'Amer Std Life Acc'!D51+AmerWstrn!D51+'AMS Life'!D51+'Andrew Jackson'!D51+'Bankers Commercial'!D51+Benicorp!D51+Centennial!D51+'Coastal States'!D51+'Confed Life (CLIC)'!D51+'Consolidated National'!D51+'Consumers Mutual'!D51+'Consumers United'!D51+'Corporate Life'!D51+'Diamond Benefits'!D51+'EBL Life'!D51+'Family Guaranty'!D51+'Fidelity Bankers'!D51+'First Natl'!D51+'Franklin American'!D51+'Franklin Protective'!D51+'George Washington'!D51+'Golden State'!D51+'Guarantee Security'!D51+Imerica!D51+'Inter-American'!D51+'International Fin'!D51+'Investment Life of America'!D51+'Investors Equity'!D51+'Kentucky Central'!D51+Legion!D51+'London Pac'!D51+'Medical Savings'!D51+'Midwest Life'!D51+'Mutual Benefit'!D51+'Mutual Security'!D51+'National Affiliated'!D51+'Natl American'!D51+'National Heritage'!D51+'New Jersey Life'!D51+'Old Colony Life'!D51+'Old Faithful'!D51+'Pacific Standard'!D51+'Red Rock'!D51+SeeChange!D51+'States General'!D51+Statesman!D51+'Summit National'!D51+Supreme!D51+Underwriters!D51+Unison!D51+'United Republic'!D51+Universe!D51+Villanova!D51</f>
        <v>188201.90559706889</v>
      </c>
      <c r="E51" s="1">
        <f>+'Alabama Life'!E51+'American Chambers'!E51+'American Educators'!E51+'American Integrity'!E51+'Amer Life Asr'!E51+'American Medical'!E51+'Amer Std Life Acc'!E51+AmerWstrn!E51+'AMS Life'!E51+'Andrew Jackson'!E51+'Bankers Commercial'!E51+Benicorp!E51+Centennial!E51+'Coastal States'!E51+'Confed Life (CLIC)'!E51+'Consolidated National'!E51+'Consumers Mutual'!E51+'Consumers United'!E51+'Corporate Life'!E51+'Diamond Benefits'!E51+'EBL Life'!E51+'Family Guaranty'!E51+'Fidelity Bankers'!E51+'First Natl'!E51+'Franklin American'!E51+'Franklin Protective'!E51+'George Washington'!E51+'Golden State'!E51+'Guarantee Security'!E51+Imerica!E51+'Inter-American'!E51+'International Fin'!E51+'Investment Life of America'!E51+'Investors Equity'!E51+'Kentucky Central'!E51+Legion!E51+'London Pac'!E51+'Medical Savings'!E51+'Midwest Life'!E51+'Mutual Benefit'!E51+'Mutual Security'!E51+'National Affiliated'!E51+'Natl American'!E51+'National Heritage'!E51+'New Jersey Life'!E51+'Old Colony Life'!E51+'Old Faithful'!E51+'Pacific Standard'!E51+'Red Rock'!E51+SeeChange!E51+'States General'!E51+Statesman!E51+'Summit National'!E51+Supreme!E51+Underwriters!E51+Unison!E51+'United Republic'!E51+Universe!E51+Villanova!E51</f>
        <v>2840.6186254541731</v>
      </c>
      <c r="F51" s="1">
        <f>+'Alabama Life'!F51+'American Chambers'!F51+'American Educators'!F51+'American Integrity'!F51+'Amer Life Asr'!F51+'American Medical'!F51+'Amer Std Life Acc'!F51+AmerWstrn!F51+'AMS Life'!F51+'Andrew Jackson'!F51+'Bankers Commercial'!F51+Benicorp!F51+Centennial!F51+'Coastal States'!F51+'Confed Life (CLIC)'!F51+'Consolidated National'!F51+'Consumers Mutual'!F51+'Consumers United'!F51+'Corporate Life'!F51+'Diamond Benefits'!F51+'EBL Life'!F51+'Family Guaranty'!F51+'Fidelity Bankers'!F51+'First Natl'!F51+'Franklin American'!F51+'Franklin Protective'!F51+'George Washington'!F51+'Golden State'!F51+'Guarantee Security'!F51+Imerica!F51+'Inter-American'!F51+'International Fin'!F51+'Investment Life of America'!F51+'Investors Equity'!F51+'Kentucky Central'!F51+Legion!F51+'London Pac'!F51+'Medical Savings'!F51+'Midwest Life'!F51+'Mutual Benefit'!F51+'Mutual Security'!F51+'National Affiliated'!F51+'Natl American'!F51+'National Heritage'!F51+'New Jersey Life'!F51+'Old Colony Life'!F51+'Old Faithful'!F51+'Pacific Standard'!F51+'Red Rock'!F51+SeeChange!F51+'States General'!F51+Statesman!F51+'Summit National'!F51+Supreme!F51+Underwriters!F51+Unison!F51+'United Republic'!F51+Universe!F51+Villanova!F51</f>
        <v>0</v>
      </c>
      <c r="G51" s="1">
        <f t="shared" si="2"/>
        <v>2245314.4891730058</v>
      </c>
      <c r="H51" s="1">
        <f>+'Alabama Life'!G51+'American Chambers'!G51+'American Educators'!G51+'American Integrity'!G51+'Amer Life Asr'!G51+'American Medical'!G51+'Amer Std Life Acc'!G51+AmerWstrn!G51+'AMS Life'!G51+'Andrew Jackson'!G51+'Bankers Commercial'!G51+Benicorp!G51+Centennial!G51+'Coastal States'!G51+'Confed Life (CLIC)'!G51+'Consolidated National'!G51+'Consumers Mutual'!G51+'Consumers United'!G51+'Corporate Life'!G51+'Diamond Benefits'!G51+'EBL Life'!G51+'Family Guaranty'!G51+'Fidelity Bankers'!G51+'First Natl'!G51+'Franklin American'!G51+'Franklin Protective'!G51+'George Washington'!G51+'Golden State'!G51+'Guarantee Security'!G51+Imerica!G51+'Inter-American'!G51+'International Fin'!G51+'Investment Life of America'!G51+'Investors Equity'!G51+'Kentucky Central'!G51+Legion!G51+'London Pac'!G51+'Medical Savings'!G51+'Midwest Life'!G51+'Mutual Benefit'!G51+'Mutual Security'!G51+'National Affiliated'!G51+'Natl American'!G51+'National Heritage'!G51+'New Jersey Life'!G51+'Old Colony Life'!G51+'Old Faithful'!G51+'Pacific Standard'!G51+'Red Rock'!G51+SeeChange!G51+'States General'!G51+Statesman!G51+'Summit National'!G51+Supreme!G51+Underwriters!G51+Unison!G51+'United Republic'!G51+Universe!G51+Villanova!G51</f>
        <v>2245314.4891730058</v>
      </c>
      <c r="I51" s="1">
        <f t="shared" si="3"/>
        <v>0</v>
      </c>
      <c r="K51" s="1" t="s">
        <v>600</v>
      </c>
      <c r="L51" s="1">
        <f>Summary!TOTAL_65161</f>
        <v>11176635.619999927</v>
      </c>
    </row>
    <row r="52" spans="1:12">
      <c r="A52" s="1" t="s">
        <v>73</v>
      </c>
      <c r="B52" s="1">
        <f>+'Alabama Life'!B52+'American Chambers'!B52+'American Educators'!B52+'American Integrity'!B52+'Amer Life Asr'!B52+'American Medical'!B52+'Amer Std Life Acc'!B52+AmerWstrn!B52+'AMS Life'!B52+'Andrew Jackson'!B52+'Bankers Commercial'!B52+Benicorp!B52+Centennial!B52+'Coastal States'!B52+'Confed Life (CLIC)'!B52+'Consolidated National'!B52+'Consumers Mutual'!B52+'Consumers United'!B52+'Corporate Life'!B52+'Diamond Benefits'!B52+'EBL Life'!B52+'Family Guaranty'!B52+'Fidelity Bankers'!B52+'First Natl'!B52+'Franklin American'!B52+'Franklin Protective'!B52+'George Washington'!B52+'Golden State'!B52+'Guarantee Security'!B52+Imerica!B52+'Inter-American'!B52+'International Fin'!B52+'Investment Life of America'!B52+'Investors Equity'!B52+'Kentucky Central'!B52+Legion!B52+'London Pac'!B52+'Medical Savings'!B52+'Midwest Life'!B52+'Mutual Benefit'!B52+'Mutual Security'!B52+'National Affiliated'!B52+'Natl American'!B52+'National Heritage'!B52+'New Jersey Life'!B52+'Old Colony Life'!B52+'Old Faithful'!B52+'Pacific Standard'!B52+'Red Rock'!B52+SeeChange!B52+'States General'!B52+Statesman!B52+'Summit National'!B52+Supreme!B52+Underwriters!B52+Unison!B52+'United Republic'!B52+Universe!B52+Villanova!B52</f>
        <v>177644.18630712651</v>
      </c>
      <c r="C52" s="1">
        <f>+'Alabama Life'!C52+'American Chambers'!C52+'American Educators'!C52+'American Integrity'!C52+'Amer Life Asr'!C52+'American Medical'!C52+'Amer Std Life Acc'!C52+AmerWstrn!C52+'AMS Life'!C52+'Andrew Jackson'!C52+'Bankers Commercial'!C52+Benicorp!C52+Centennial!C52+'Coastal States'!C52+'Confed Life (CLIC)'!C52+'Consolidated National'!C52+'Consumers Mutual'!C52+'Consumers United'!C52+'Corporate Life'!C52+'Diamond Benefits'!C52+'EBL Life'!C52+'Family Guaranty'!C52+'Fidelity Bankers'!C52+'First Natl'!C52+'Franklin American'!C52+'Franklin Protective'!C52+'George Washington'!C52+'Golden State'!C52+'Guarantee Security'!C52+Imerica!C52+'Inter-American'!C52+'International Fin'!C52+'Investment Life of America'!C52+'Investors Equity'!C52+'Kentucky Central'!C52+Legion!C52+'London Pac'!C52+'Medical Savings'!C52+'Midwest Life'!C52+'Mutual Benefit'!C52+'Mutual Security'!C52+'National Affiliated'!C52+'Natl American'!C52+'National Heritage'!C52+'New Jersey Life'!C52+'Old Colony Life'!C52+'Old Faithful'!C52+'Pacific Standard'!C52+'Red Rock'!C52+SeeChange!C52+'States General'!C52+Statesman!C52+'Summit National'!C52+Supreme!C52+Underwriters!C52+Unison!C52+'United Republic'!C52+Universe!C52+Villanova!C52</f>
        <v>180158.10236115963</v>
      </c>
      <c r="D52" s="1">
        <f>+'Alabama Life'!D52+'American Chambers'!D52+'American Educators'!D52+'American Integrity'!D52+'Amer Life Asr'!D52+'American Medical'!D52+'Amer Std Life Acc'!D52+AmerWstrn!D52+'AMS Life'!D52+'Andrew Jackson'!D52+'Bankers Commercial'!D52+Benicorp!D52+Centennial!D52+'Coastal States'!D52+'Confed Life (CLIC)'!D52+'Consolidated National'!D52+'Consumers Mutual'!D52+'Consumers United'!D52+'Corporate Life'!D52+'Diamond Benefits'!D52+'EBL Life'!D52+'Family Guaranty'!D52+'Fidelity Bankers'!D52+'First Natl'!D52+'Franklin American'!D52+'Franklin Protective'!D52+'George Washington'!D52+'Golden State'!D52+'Guarantee Security'!D52+Imerica!D52+'Inter-American'!D52+'International Fin'!D52+'Investment Life of America'!D52+'Investors Equity'!D52+'Kentucky Central'!D52+Legion!D52+'London Pac'!D52+'Medical Savings'!D52+'Midwest Life'!D52+'Mutual Benefit'!D52+'Mutual Security'!D52+'National Affiliated'!D52+'Natl American'!D52+'National Heritage'!D52+'New Jersey Life'!D52+'Old Colony Life'!D52+'Old Faithful'!D52+'Pacific Standard'!D52+'Red Rock'!D52+SeeChange!D52+'States General'!D52+Statesman!D52+'Summit National'!D52+Supreme!D52+Underwriters!D52+Unison!D52+'United Republic'!D52+Universe!D52+Villanova!D52</f>
        <v>11414.505659821458</v>
      </c>
      <c r="E52" s="1">
        <f>+'Alabama Life'!E52+'American Chambers'!E52+'American Educators'!E52+'American Integrity'!E52+'Amer Life Asr'!E52+'American Medical'!E52+'Amer Std Life Acc'!E52+AmerWstrn!E52+'AMS Life'!E52+'Andrew Jackson'!E52+'Bankers Commercial'!E52+Benicorp!E52+Centennial!E52+'Coastal States'!E52+'Confed Life (CLIC)'!E52+'Consolidated National'!E52+'Consumers Mutual'!E52+'Consumers United'!E52+'Corporate Life'!E52+'Diamond Benefits'!E52+'EBL Life'!E52+'Family Guaranty'!E52+'Fidelity Bankers'!E52+'First Natl'!E52+'Franklin American'!E52+'Franklin Protective'!E52+'George Washington'!E52+'Golden State'!E52+'Guarantee Security'!E52+Imerica!E52+'Inter-American'!E52+'International Fin'!E52+'Investment Life of America'!E52+'Investors Equity'!E52+'Kentucky Central'!E52+Legion!E52+'London Pac'!E52+'Medical Savings'!E52+'Midwest Life'!E52+'Mutual Benefit'!E52+'Mutual Security'!E52+'National Affiliated'!E52+'Natl American'!E52+'National Heritage'!E52+'New Jersey Life'!E52+'Old Colony Life'!E52+'Old Faithful'!E52+'Pacific Standard'!E52+'Red Rock'!E52+SeeChange!E52+'States General'!E52+Statesman!E52+'Summit National'!E52+Supreme!E52+Underwriters!E52+Unison!E52+'United Republic'!E52+Universe!E52+Villanova!E52</f>
        <v>-3903.7641015315021</v>
      </c>
      <c r="F52" s="1">
        <f>+'Alabama Life'!F52+'American Chambers'!F52+'American Educators'!F52+'American Integrity'!F52+'Amer Life Asr'!F52+'American Medical'!F52+'Amer Std Life Acc'!F52+AmerWstrn!F52+'AMS Life'!F52+'Andrew Jackson'!F52+'Bankers Commercial'!F52+Benicorp!F52+Centennial!F52+'Coastal States'!F52+'Confed Life (CLIC)'!F52+'Consolidated National'!F52+'Consumers Mutual'!F52+'Consumers United'!F52+'Corporate Life'!F52+'Diamond Benefits'!F52+'EBL Life'!F52+'Family Guaranty'!F52+'Fidelity Bankers'!F52+'First Natl'!F52+'Franklin American'!F52+'Franklin Protective'!F52+'George Washington'!F52+'Golden State'!F52+'Guarantee Security'!F52+Imerica!F52+'Inter-American'!F52+'International Fin'!F52+'Investment Life of America'!F52+'Investors Equity'!F52+'Kentucky Central'!F52+Legion!F52+'London Pac'!F52+'Medical Savings'!F52+'Midwest Life'!F52+'Mutual Benefit'!F52+'Mutual Security'!F52+'National Affiliated'!F52+'Natl American'!F52+'National Heritage'!F52+'New Jersey Life'!F52+'Old Colony Life'!F52+'Old Faithful'!F52+'Pacific Standard'!F52+'Red Rock'!F52+SeeChange!F52+'States General'!F52+Statesman!F52+'Summit National'!F52+Supreme!F52+Underwriters!F52+Unison!F52+'United Republic'!F52+Universe!F52+Villanova!F52</f>
        <v>0</v>
      </c>
      <c r="G52" s="1">
        <f t="shared" si="2"/>
        <v>365313.03022657614</v>
      </c>
      <c r="H52" s="1">
        <f>+'Alabama Life'!G52+'American Chambers'!G52+'American Educators'!G52+'American Integrity'!G52+'Amer Life Asr'!G52+'American Medical'!G52+'Amer Std Life Acc'!G52+AmerWstrn!G52+'AMS Life'!G52+'Andrew Jackson'!G52+'Bankers Commercial'!G52+Benicorp!G52+Centennial!G52+'Coastal States'!G52+'Confed Life (CLIC)'!G52+'Consolidated National'!G52+'Consumers Mutual'!G52+'Consumers United'!G52+'Corporate Life'!G52+'Diamond Benefits'!G52+'EBL Life'!G52+'Family Guaranty'!G52+'Fidelity Bankers'!G52+'First Natl'!G52+'Franklin American'!G52+'Franklin Protective'!G52+'George Washington'!G52+'Golden State'!G52+'Guarantee Security'!G52+Imerica!G52+'Inter-American'!G52+'International Fin'!G52+'Investment Life of America'!G52+'Investors Equity'!G52+'Kentucky Central'!G52+Legion!G52+'London Pac'!G52+'Medical Savings'!G52+'Midwest Life'!G52+'Mutual Benefit'!G52+'Mutual Security'!G52+'National Affiliated'!G52+'Natl American'!G52+'National Heritage'!G52+'New Jersey Life'!G52+'Old Colony Life'!G52+'Old Faithful'!G52+'Pacific Standard'!G52+'Red Rock'!G52+SeeChange!G52+'States General'!G52+Statesman!G52+'Summit National'!G52+Supreme!G52+Underwriters!G52+Unison!G52+'United Republic'!G52+Universe!G52+Villanova!G52</f>
        <v>365313.03022657608</v>
      </c>
      <c r="I52" s="1">
        <f t="shared" si="3"/>
        <v>0</v>
      </c>
      <c r="K52" s="1" t="s">
        <v>606</v>
      </c>
      <c r="L52" s="1">
        <f>Summary!TOTAL_67229</f>
        <v>1474083.5690999997</v>
      </c>
    </row>
    <row r="53" spans="1:12">
      <c r="A53" s="1" t="s">
        <v>74</v>
      </c>
      <c r="B53" s="1">
        <f>+'Alabama Life'!B53+'American Chambers'!B53+'American Educators'!B53+'American Integrity'!B53+'Amer Life Asr'!B53+'American Medical'!B53+'Amer Std Life Acc'!B53+AmerWstrn!B53+'AMS Life'!B53+'Andrew Jackson'!B53+'Bankers Commercial'!B53+Benicorp!B53+Centennial!B53+'Coastal States'!B53+'Confed Life (CLIC)'!B53+'Consolidated National'!B53+'Consumers Mutual'!B53+'Consumers United'!B53+'Corporate Life'!B53+'Diamond Benefits'!B53+'EBL Life'!B53+'Family Guaranty'!B53+'Fidelity Bankers'!B53+'First Natl'!B53+'Franklin American'!B53+'Franklin Protective'!B53+'George Washington'!B53+'Golden State'!B53+'Guarantee Security'!B53+Imerica!B53+'Inter-American'!B53+'International Fin'!B53+'Investment Life of America'!B53+'Investors Equity'!B53+'Kentucky Central'!B53+Legion!B53+'London Pac'!B53+'Medical Savings'!B53+'Midwest Life'!B53+'Mutual Benefit'!B53+'Mutual Security'!B53+'National Affiliated'!B53+'Natl American'!B53+'National Heritage'!B53+'New Jersey Life'!B53+'Old Colony Life'!B53+'Old Faithful'!B53+'Pacific Standard'!B53+'Red Rock'!B53+SeeChange!B53+'States General'!B53+Statesman!B53+'Summit National'!B53+Supreme!B53+Underwriters!B53+Unison!B53+'United Republic'!B53+Universe!B53+Villanova!B53</f>
        <v>3019498.3044782863</v>
      </c>
      <c r="C53" s="1">
        <f>+'Alabama Life'!C53+'American Chambers'!C53+'American Educators'!C53+'American Integrity'!C53+'Amer Life Asr'!C53+'American Medical'!C53+'Amer Std Life Acc'!C53+AmerWstrn!C53+'AMS Life'!C53+'Andrew Jackson'!C53+'Bankers Commercial'!C53+Benicorp!C53+Centennial!C53+'Coastal States'!C53+'Confed Life (CLIC)'!C53+'Consolidated National'!C53+'Consumers Mutual'!C53+'Consumers United'!C53+'Corporate Life'!C53+'Diamond Benefits'!C53+'EBL Life'!C53+'Family Guaranty'!C53+'Fidelity Bankers'!C53+'First Natl'!C53+'Franklin American'!C53+'Franklin Protective'!C53+'George Washington'!C53+'Golden State'!C53+'Guarantee Security'!C53+Imerica!C53+'Inter-American'!C53+'International Fin'!C53+'Investment Life of America'!C53+'Investors Equity'!C53+'Kentucky Central'!C53+Legion!C53+'London Pac'!C53+'Medical Savings'!C53+'Midwest Life'!C53+'Mutual Benefit'!C53+'Mutual Security'!C53+'National Affiliated'!C53+'Natl American'!C53+'National Heritage'!C53+'New Jersey Life'!C53+'Old Colony Life'!C53+'Old Faithful'!C53+'Pacific Standard'!C53+'Red Rock'!C53+SeeChange!C53+'States General'!C53+Statesman!C53+'Summit National'!C53+Supreme!C53+Underwriters!C53+Unison!C53+'United Republic'!C53+Universe!C53+Villanova!C53</f>
        <v>10322691.787375977</v>
      </c>
      <c r="D53" s="1">
        <f>+'Alabama Life'!D53+'American Chambers'!D53+'American Educators'!D53+'American Integrity'!D53+'Amer Life Asr'!D53+'American Medical'!D53+'Amer Std Life Acc'!D53+AmerWstrn!D53+'AMS Life'!D53+'Andrew Jackson'!D53+'Bankers Commercial'!D53+Benicorp!D53+Centennial!D53+'Coastal States'!D53+'Confed Life (CLIC)'!D53+'Consolidated National'!D53+'Consumers Mutual'!D53+'Consumers United'!D53+'Corporate Life'!D53+'Diamond Benefits'!D53+'EBL Life'!D53+'Family Guaranty'!D53+'Fidelity Bankers'!D53+'First Natl'!D53+'Franklin American'!D53+'Franklin Protective'!D53+'George Washington'!D53+'Golden State'!D53+'Guarantee Security'!D53+Imerica!D53+'Inter-American'!D53+'International Fin'!D53+'Investment Life of America'!D53+'Investors Equity'!D53+'Kentucky Central'!D53+Legion!D53+'London Pac'!D53+'Medical Savings'!D53+'Midwest Life'!D53+'Mutual Benefit'!D53+'Mutual Security'!D53+'National Affiliated'!D53+'Natl American'!D53+'National Heritage'!D53+'New Jersey Life'!D53+'Old Colony Life'!D53+'Old Faithful'!D53+'Pacific Standard'!D53+'Red Rock'!D53+SeeChange!D53+'States General'!D53+Statesman!D53+'Summit National'!D53+Supreme!D53+Underwriters!D53+Unison!D53+'United Republic'!D53+Universe!D53+Villanova!D53</f>
        <v>1625405.6391280717</v>
      </c>
      <c r="E53" s="1">
        <f>+'Alabama Life'!E53+'American Chambers'!E53+'American Educators'!E53+'American Integrity'!E53+'Amer Life Asr'!E53+'American Medical'!E53+'Amer Std Life Acc'!E53+AmerWstrn!E53+'AMS Life'!E53+'Andrew Jackson'!E53+'Bankers Commercial'!E53+Benicorp!E53+Centennial!E53+'Coastal States'!E53+'Confed Life (CLIC)'!E53+'Consolidated National'!E53+'Consumers Mutual'!E53+'Consumers United'!E53+'Corporate Life'!E53+'Diamond Benefits'!E53+'EBL Life'!E53+'Family Guaranty'!E53+'Fidelity Bankers'!E53+'First Natl'!E53+'Franklin American'!E53+'Franklin Protective'!E53+'George Washington'!E53+'Golden State'!E53+'Guarantee Security'!E53+Imerica!E53+'Inter-American'!E53+'International Fin'!E53+'Investment Life of America'!E53+'Investors Equity'!E53+'Kentucky Central'!E53+Legion!E53+'London Pac'!E53+'Medical Savings'!E53+'Midwest Life'!E53+'Mutual Benefit'!E53+'Mutual Security'!E53+'National Affiliated'!E53+'Natl American'!E53+'National Heritage'!E53+'New Jersey Life'!E53+'Old Colony Life'!E53+'Old Faithful'!E53+'Pacific Standard'!E53+'Red Rock'!E53+SeeChange!E53+'States General'!E53+Statesman!E53+'Summit National'!E53+Supreme!E53+Underwriters!E53+Unison!E53+'United Republic'!E53+Universe!E53+Villanova!E53</f>
        <v>0</v>
      </c>
      <c r="F53" s="1">
        <f>+'Alabama Life'!F53+'American Chambers'!F53+'American Educators'!F53+'American Integrity'!F53+'Amer Life Asr'!F53+'American Medical'!F53+'Amer Std Life Acc'!F53+AmerWstrn!F53+'AMS Life'!F53+'Andrew Jackson'!F53+'Bankers Commercial'!F53+Benicorp!F53+Centennial!F53+'Coastal States'!F53+'Confed Life (CLIC)'!F53+'Consolidated National'!F53+'Consumers Mutual'!F53+'Consumers United'!F53+'Corporate Life'!F53+'Diamond Benefits'!F53+'EBL Life'!F53+'Family Guaranty'!F53+'Fidelity Bankers'!F53+'First Natl'!F53+'Franklin American'!F53+'Franklin Protective'!F53+'George Washington'!F53+'Golden State'!F53+'Guarantee Security'!F53+Imerica!F53+'Inter-American'!F53+'International Fin'!F53+'Investment Life of America'!F53+'Investors Equity'!F53+'Kentucky Central'!F53+Legion!F53+'London Pac'!F53+'Medical Savings'!F53+'Midwest Life'!F53+'Mutual Benefit'!F53+'Mutual Security'!F53+'National Affiliated'!F53+'Natl American'!F53+'National Heritage'!F53+'New Jersey Life'!F53+'Old Colony Life'!F53+'Old Faithful'!F53+'Pacific Standard'!F53+'Red Rock'!F53+SeeChange!F53+'States General'!F53+Statesman!F53+'Summit National'!F53+Supreme!F53+Underwriters!F53+Unison!F53+'United Republic'!F53+Universe!F53+Villanova!F53</f>
        <v>0</v>
      </c>
      <c r="G53" s="1">
        <f t="shared" si="2"/>
        <v>14967595.730982335</v>
      </c>
      <c r="H53" s="1">
        <f>+'Alabama Life'!G53+'American Chambers'!G53+'American Educators'!G53+'American Integrity'!G53+'Amer Life Asr'!G53+'American Medical'!G53+'Amer Std Life Acc'!G53+AmerWstrn!G53+'AMS Life'!G53+'Andrew Jackson'!G53+'Bankers Commercial'!G53+Benicorp!G53+Centennial!G53+'Coastal States'!G53+'Confed Life (CLIC)'!G53+'Consolidated National'!G53+'Consumers Mutual'!G53+'Consumers United'!G53+'Corporate Life'!G53+'Diamond Benefits'!G53+'EBL Life'!G53+'Family Guaranty'!G53+'Fidelity Bankers'!G53+'First Natl'!G53+'Franklin American'!G53+'Franklin Protective'!G53+'George Washington'!G53+'Golden State'!G53+'Guarantee Security'!G53+Imerica!G53+'Inter-American'!G53+'International Fin'!G53+'Investment Life of America'!G53+'Investors Equity'!G53+'Kentucky Central'!G53+Legion!G53+'London Pac'!G53+'Medical Savings'!G53+'Midwest Life'!G53+'Mutual Benefit'!G53+'Mutual Security'!G53+'National Affiliated'!G53+'Natl American'!G53+'National Heritage'!G53+'New Jersey Life'!G53+'Old Colony Life'!G53+'Old Faithful'!G53+'Pacific Standard'!G53+'Red Rock'!G53+SeeChange!G53+'States General'!G53+Statesman!G53+'Summit National'!G53+Supreme!G53+Underwriters!G53+Unison!G53+'United Republic'!G53+Universe!G53+Villanova!G53</f>
        <v>14967595.730982333</v>
      </c>
      <c r="I53" s="1">
        <f t="shared" si="3"/>
        <v>0</v>
      </c>
      <c r="K53" s="1" t="s">
        <v>613</v>
      </c>
      <c r="L53" s="1">
        <f>Summary!TOTAL_72842</f>
        <v>28423507.759999998</v>
      </c>
    </row>
    <row r="54" spans="1:12">
      <c r="A54" s="1" t="s">
        <v>75</v>
      </c>
      <c r="B54" s="1">
        <f>+'Alabama Life'!B54+'American Chambers'!B54+'American Educators'!B54+'American Integrity'!B54+'Amer Life Asr'!B54+'American Medical'!B54+'Amer Std Life Acc'!B54+AmerWstrn!B54+'AMS Life'!B54+'Andrew Jackson'!B54+'Bankers Commercial'!B54+Benicorp!B54+Centennial!B54+'Coastal States'!B54+'Confed Life (CLIC)'!B54+'Consolidated National'!B54+'Consumers Mutual'!B54+'Consumers United'!B54+'Corporate Life'!B54+'Diamond Benefits'!B54+'EBL Life'!B54+'Family Guaranty'!B54+'Fidelity Bankers'!B54+'First Natl'!B54+'Franklin American'!B54+'Franklin Protective'!B54+'George Washington'!B54+'Golden State'!B54+'Guarantee Security'!B54+Imerica!B54+'Inter-American'!B54+'International Fin'!B54+'Investment Life of America'!B54+'Investors Equity'!B54+'Kentucky Central'!B54+Legion!B54+'London Pac'!B54+'Medical Savings'!B54+'Midwest Life'!B54+'Mutual Benefit'!B54+'Mutual Security'!B54+'National Affiliated'!B54+'Natl American'!B54+'National Heritage'!B54+'New Jersey Life'!B54+'Old Colony Life'!B54+'Old Faithful'!B54+'Pacific Standard'!B54+'Red Rock'!B54+SeeChange!B54+'States General'!B54+Statesman!B54+'Summit National'!B54+Supreme!B54+Underwriters!B54+Unison!B54+'United Republic'!B54+Universe!B54+Villanova!B54</f>
        <v>4682998.7855110168</v>
      </c>
      <c r="C54" s="1">
        <f>+'Alabama Life'!C54+'American Chambers'!C54+'American Educators'!C54+'American Integrity'!C54+'Amer Life Asr'!C54+'American Medical'!C54+'Amer Std Life Acc'!C54+AmerWstrn!C54+'AMS Life'!C54+'Andrew Jackson'!C54+'Bankers Commercial'!C54+Benicorp!C54+Centennial!C54+'Coastal States'!C54+'Confed Life (CLIC)'!C54+'Consolidated National'!C54+'Consumers Mutual'!C54+'Consumers United'!C54+'Corporate Life'!C54+'Diamond Benefits'!C54+'EBL Life'!C54+'Family Guaranty'!C54+'Fidelity Bankers'!C54+'First Natl'!C54+'Franklin American'!C54+'Franklin Protective'!C54+'George Washington'!C54+'Golden State'!C54+'Guarantee Security'!C54+Imerica!C54+'Inter-American'!C54+'International Fin'!C54+'Investment Life of America'!C54+'Investors Equity'!C54+'Kentucky Central'!C54+Legion!C54+'London Pac'!C54+'Medical Savings'!C54+'Midwest Life'!C54+'Mutual Benefit'!C54+'Mutual Security'!C54+'National Affiliated'!C54+'Natl American'!C54+'National Heritage'!C54+'New Jersey Life'!C54+'Old Colony Life'!C54+'Old Faithful'!C54+'Pacific Standard'!C54+'Red Rock'!C54+SeeChange!C54+'States General'!C54+Statesman!C54+'Summit National'!C54+Supreme!C54+Underwriters!C54+Unison!C54+'United Republic'!C54+Universe!C54+Villanova!C54</f>
        <v>14289610.021347297</v>
      </c>
      <c r="D54" s="1">
        <f>+'Alabama Life'!D54+'American Chambers'!D54+'American Educators'!D54+'American Integrity'!D54+'Amer Life Asr'!D54+'American Medical'!D54+'Amer Std Life Acc'!D54+AmerWstrn!D54+'AMS Life'!D54+'Andrew Jackson'!D54+'Bankers Commercial'!D54+Benicorp!D54+Centennial!D54+'Coastal States'!D54+'Confed Life (CLIC)'!D54+'Consolidated National'!D54+'Consumers Mutual'!D54+'Consumers United'!D54+'Corporate Life'!D54+'Diamond Benefits'!D54+'EBL Life'!D54+'Family Guaranty'!D54+'Fidelity Bankers'!D54+'First Natl'!D54+'Franklin American'!D54+'Franklin Protective'!D54+'George Washington'!D54+'Golden State'!D54+'Guarantee Security'!D54+Imerica!D54+'Inter-American'!D54+'International Fin'!D54+'Investment Life of America'!D54+'Investors Equity'!D54+'Kentucky Central'!D54+Legion!D54+'London Pac'!D54+'Medical Savings'!D54+'Midwest Life'!D54+'Mutual Benefit'!D54+'Mutual Security'!D54+'National Affiliated'!D54+'Natl American'!D54+'National Heritage'!D54+'New Jersey Life'!D54+'Old Colony Life'!D54+'Old Faithful'!D54+'Pacific Standard'!D54+'Red Rock'!D54+SeeChange!D54+'States General'!D54+Statesman!D54+'Summit National'!D54+Supreme!D54+Underwriters!D54+Unison!D54+'United Republic'!D54+Universe!D54+Villanova!D54</f>
        <v>11276510.835545903</v>
      </c>
      <c r="E54" s="1">
        <f>+'Alabama Life'!E54+'American Chambers'!E54+'American Educators'!E54+'American Integrity'!E54+'Amer Life Asr'!E54+'American Medical'!E54+'Amer Std Life Acc'!E54+AmerWstrn!E54+'AMS Life'!E54+'Andrew Jackson'!E54+'Bankers Commercial'!E54+Benicorp!E54+Centennial!E54+'Coastal States'!E54+'Confed Life (CLIC)'!E54+'Consolidated National'!E54+'Consumers Mutual'!E54+'Consumers United'!E54+'Corporate Life'!E54+'Diamond Benefits'!E54+'EBL Life'!E54+'Family Guaranty'!E54+'Fidelity Bankers'!E54+'First Natl'!E54+'Franklin American'!E54+'Franklin Protective'!E54+'George Washington'!E54+'Golden State'!E54+'Guarantee Security'!E54+Imerica!E54+'Inter-American'!E54+'International Fin'!E54+'Investment Life of America'!E54+'Investors Equity'!E54+'Kentucky Central'!E54+Legion!E54+'London Pac'!E54+'Medical Savings'!E54+'Midwest Life'!E54+'Mutual Benefit'!E54+'Mutual Security'!E54+'National Affiliated'!E54+'Natl American'!E54+'National Heritage'!E54+'New Jersey Life'!E54+'Old Colony Life'!E54+'Old Faithful'!E54+'Pacific Standard'!E54+'Red Rock'!E54+SeeChange!E54+'States General'!E54+Statesman!E54+'Summit National'!E54+Supreme!E54+Underwriters!E54+Unison!E54+'United Republic'!E54+Universe!E54+Villanova!E54</f>
        <v>-6.2594756052367302</v>
      </c>
      <c r="F54" s="1">
        <f>+'Alabama Life'!F54+'American Chambers'!F54+'American Educators'!F54+'American Integrity'!F54+'Amer Life Asr'!F54+'American Medical'!F54+'Amer Std Life Acc'!F54+AmerWstrn!F54+'AMS Life'!F54+'Andrew Jackson'!F54+'Bankers Commercial'!F54+Benicorp!F54+Centennial!F54+'Coastal States'!F54+'Confed Life (CLIC)'!F54+'Consolidated National'!F54+'Consumers Mutual'!F54+'Consumers United'!F54+'Corporate Life'!F54+'Diamond Benefits'!F54+'EBL Life'!F54+'Family Guaranty'!F54+'Fidelity Bankers'!F54+'First Natl'!F54+'Franklin American'!F54+'Franklin Protective'!F54+'George Washington'!F54+'Golden State'!F54+'Guarantee Security'!F54+Imerica!F54+'Inter-American'!F54+'International Fin'!F54+'Investment Life of America'!F54+'Investors Equity'!F54+'Kentucky Central'!F54+Legion!F54+'London Pac'!F54+'Medical Savings'!F54+'Midwest Life'!F54+'Mutual Benefit'!F54+'Mutual Security'!F54+'National Affiliated'!F54+'Natl American'!F54+'National Heritage'!F54+'New Jersey Life'!F54+'Old Colony Life'!F54+'Old Faithful'!F54+'Pacific Standard'!F54+'Red Rock'!F54+SeeChange!F54+'States General'!F54+Statesman!F54+'Summit National'!F54+Supreme!F54+Underwriters!F54+Unison!F54+'United Republic'!F54+Universe!F54+Villanova!F54</f>
        <v>0</v>
      </c>
      <c r="G54" s="1">
        <f t="shared" si="2"/>
        <v>30249113.382928617</v>
      </c>
      <c r="H54" s="1">
        <f>+'Alabama Life'!G54+'American Chambers'!G54+'American Educators'!G54+'American Integrity'!G54+'Amer Life Asr'!G54+'American Medical'!G54+'Amer Std Life Acc'!G54+AmerWstrn!G54+'AMS Life'!G54+'Andrew Jackson'!G54+'Bankers Commercial'!G54+Benicorp!G54+Centennial!G54+'Coastal States'!G54+'Confed Life (CLIC)'!G54+'Consolidated National'!G54+'Consumers Mutual'!G54+'Consumers United'!G54+'Corporate Life'!G54+'Diamond Benefits'!G54+'EBL Life'!G54+'Family Guaranty'!G54+'Fidelity Bankers'!G54+'First Natl'!G54+'Franklin American'!G54+'Franklin Protective'!G54+'George Washington'!G54+'Golden State'!G54+'Guarantee Security'!G54+Imerica!G54+'Inter-American'!G54+'International Fin'!G54+'Investment Life of America'!G54+'Investors Equity'!G54+'Kentucky Central'!G54+Legion!G54+'London Pac'!G54+'Medical Savings'!G54+'Midwest Life'!G54+'Mutual Benefit'!G54+'Mutual Security'!G54+'National Affiliated'!G54+'Natl American'!G54+'National Heritage'!G54+'New Jersey Life'!G54+'Old Colony Life'!G54+'Old Faithful'!G54+'Pacific Standard'!G54+'Red Rock'!G54+SeeChange!G54+'States General'!G54+Statesman!G54+'Summit National'!G54+Supreme!G54+Underwriters!G54+Unison!G54+'United Republic'!G54+Universe!G54+Villanova!G54</f>
        <v>30249113.382928617</v>
      </c>
      <c r="I54" s="1">
        <f t="shared" si="3"/>
        <v>0</v>
      </c>
      <c r="K54" s="1" t="s">
        <v>618</v>
      </c>
      <c r="L54" s="1">
        <f>Summary!TOTAL_18538</f>
        <v>16216</v>
      </c>
    </row>
    <row r="55" spans="1:12">
      <c r="A55" s="1" t="s">
        <v>76</v>
      </c>
      <c r="B55" s="1">
        <f>+'Alabama Life'!B55+'American Chambers'!B55+'American Educators'!B55+'American Integrity'!B55+'Amer Life Asr'!B55+'American Medical'!B55+'Amer Std Life Acc'!B55+AmerWstrn!B55+'AMS Life'!B55+'Andrew Jackson'!B55+'Bankers Commercial'!B55+Benicorp!B55+Centennial!B55+'Coastal States'!B55+'Confed Life (CLIC)'!B55+'Consolidated National'!B55+'Consumers Mutual'!B55+'Consumers United'!B55+'Corporate Life'!B55+'Diamond Benefits'!B55+'EBL Life'!B55+'Family Guaranty'!B55+'Fidelity Bankers'!B55+'First Natl'!B55+'Franklin American'!B55+'Franklin Protective'!B55+'George Washington'!B55+'Golden State'!B55+'Guarantee Security'!B55+Imerica!B55+'Inter-American'!B55+'International Fin'!B55+'Investment Life of America'!B55+'Investors Equity'!B55+'Kentucky Central'!B55+Legion!B55+'London Pac'!B55+'Medical Savings'!B55+'Midwest Life'!B55+'Mutual Benefit'!B55+'Mutual Security'!B55+'National Affiliated'!B55+'Natl American'!B55+'National Heritage'!B55+'New Jersey Life'!B55+'Old Colony Life'!B55+'Old Faithful'!B55+'Pacific Standard'!B55+'Red Rock'!B55+SeeChange!B55+'States General'!B55+Statesman!B55+'Summit National'!B55+Supreme!B55+Underwriters!B55+Unison!B55+'United Republic'!B55+Universe!B55+Villanova!B55</f>
        <v>1103564.0821686678</v>
      </c>
      <c r="C55" s="1">
        <f>+'Alabama Life'!C55+'American Chambers'!C55+'American Educators'!C55+'American Integrity'!C55+'Amer Life Asr'!C55+'American Medical'!C55+'Amer Std Life Acc'!C55+AmerWstrn!C55+'AMS Life'!C55+'Andrew Jackson'!C55+'Bankers Commercial'!C55+Benicorp!C55+Centennial!C55+'Coastal States'!C55+'Confed Life (CLIC)'!C55+'Consolidated National'!C55+'Consumers Mutual'!C55+'Consumers United'!C55+'Corporate Life'!C55+'Diamond Benefits'!C55+'EBL Life'!C55+'Family Guaranty'!C55+'Fidelity Bankers'!C55+'First Natl'!C55+'Franklin American'!C55+'Franklin Protective'!C55+'George Washington'!C55+'Golden State'!C55+'Guarantee Security'!C55+Imerica!C55+'Inter-American'!C55+'International Fin'!C55+'Investment Life of America'!C55+'Investors Equity'!C55+'Kentucky Central'!C55+Legion!C55+'London Pac'!C55+'Medical Savings'!C55+'Midwest Life'!C55+'Mutual Benefit'!C55+'Mutual Security'!C55+'National Affiliated'!C55+'Natl American'!C55+'National Heritage'!C55+'New Jersey Life'!C55+'Old Colony Life'!C55+'Old Faithful'!C55+'Pacific Standard'!C55+'Red Rock'!C55+SeeChange!C55+'States General'!C55+Statesman!C55+'Summit National'!C55+Supreme!C55+Underwriters!C55+Unison!C55+'United Republic'!C55+Universe!C55+Villanova!C55</f>
        <v>3423931.3843097039</v>
      </c>
      <c r="D55" s="1">
        <f>+'Alabama Life'!D55+'American Chambers'!D55+'American Educators'!D55+'American Integrity'!D55+'Amer Life Asr'!D55+'American Medical'!D55+'Amer Std Life Acc'!D55+AmerWstrn!D55+'AMS Life'!D55+'Andrew Jackson'!D55+'Bankers Commercial'!D55+Benicorp!D55+Centennial!D55+'Coastal States'!D55+'Confed Life (CLIC)'!D55+'Consolidated National'!D55+'Consumers Mutual'!D55+'Consumers United'!D55+'Corporate Life'!D55+'Diamond Benefits'!D55+'EBL Life'!D55+'Family Guaranty'!D55+'Fidelity Bankers'!D55+'First Natl'!D55+'Franklin American'!D55+'Franklin Protective'!D55+'George Washington'!D55+'Golden State'!D55+'Guarantee Security'!D55+Imerica!D55+'Inter-American'!D55+'International Fin'!D55+'Investment Life of America'!D55+'Investors Equity'!D55+'Kentucky Central'!D55+Legion!D55+'London Pac'!D55+'Medical Savings'!D55+'Midwest Life'!D55+'Mutual Benefit'!D55+'Mutual Security'!D55+'National Affiliated'!D55+'Natl American'!D55+'National Heritage'!D55+'New Jersey Life'!D55+'Old Colony Life'!D55+'Old Faithful'!D55+'Pacific Standard'!D55+'Red Rock'!D55+SeeChange!D55+'States General'!D55+Statesman!D55+'Summit National'!D55+Supreme!D55+Underwriters!D55+Unison!D55+'United Republic'!D55+Universe!D55+Villanova!D55</f>
        <v>511005.54819065734</v>
      </c>
      <c r="E55" s="1">
        <f>+'Alabama Life'!E55+'American Chambers'!E55+'American Educators'!E55+'American Integrity'!E55+'Amer Life Asr'!E55+'American Medical'!E55+'Amer Std Life Acc'!E55+AmerWstrn!E55+'AMS Life'!E55+'Andrew Jackson'!E55+'Bankers Commercial'!E55+Benicorp!E55+Centennial!E55+'Coastal States'!E55+'Confed Life (CLIC)'!E55+'Consolidated National'!E55+'Consumers Mutual'!E55+'Consumers United'!E55+'Corporate Life'!E55+'Diamond Benefits'!E55+'EBL Life'!E55+'Family Guaranty'!E55+'Fidelity Bankers'!E55+'First Natl'!E55+'Franklin American'!E55+'Franklin Protective'!E55+'George Washington'!E55+'Golden State'!E55+'Guarantee Security'!E55+Imerica!E55+'Inter-American'!E55+'International Fin'!E55+'Investment Life of America'!E55+'Investors Equity'!E55+'Kentucky Central'!E55+Legion!E55+'London Pac'!E55+'Medical Savings'!E55+'Midwest Life'!E55+'Mutual Benefit'!E55+'Mutual Security'!E55+'National Affiliated'!E55+'Natl American'!E55+'National Heritage'!E55+'New Jersey Life'!E55+'Old Colony Life'!E55+'Old Faithful'!E55+'Pacific Standard'!E55+'Red Rock'!E55+SeeChange!E55+'States General'!E55+Statesman!E55+'Summit National'!E55+Supreme!E55+Underwriters!E55+Unison!E55+'United Republic'!E55+Universe!E55+Villanova!E55</f>
        <v>0</v>
      </c>
      <c r="F55" s="1">
        <f>+'Alabama Life'!F55+'American Chambers'!F55+'American Educators'!F55+'American Integrity'!F55+'Amer Life Asr'!F55+'American Medical'!F55+'Amer Std Life Acc'!F55+AmerWstrn!F55+'AMS Life'!F55+'Andrew Jackson'!F55+'Bankers Commercial'!F55+Benicorp!F55+Centennial!F55+'Coastal States'!F55+'Confed Life (CLIC)'!F55+'Consolidated National'!F55+'Consumers Mutual'!F55+'Consumers United'!F55+'Corporate Life'!F55+'Diamond Benefits'!F55+'EBL Life'!F55+'Family Guaranty'!F55+'Fidelity Bankers'!F55+'First Natl'!F55+'Franklin American'!F55+'Franklin Protective'!F55+'George Washington'!F55+'Golden State'!F55+'Guarantee Security'!F55+Imerica!F55+'Inter-American'!F55+'International Fin'!F55+'Investment Life of America'!F55+'Investors Equity'!F55+'Kentucky Central'!F55+Legion!F55+'London Pac'!F55+'Medical Savings'!F55+'Midwest Life'!F55+'Mutual Benefit'!F55+'Mutual Security'!F55+'National Affiliated'!F55+'Natl American'!F55+'National Heritage'!F55+'New Jersey Life'!F55+'Old Colony Life'!F55+'Old Faithful'!F55+'Pacific Standard'!F55+'Red Rock'!F55+SeeChange!F55+'States General'!F55+Statesman!F55+'Summit National'!F55+Supreme!F55+Underwriters!F55+Unison!F55+'United Republic'!F55+Universe!F55+Villanova!F55</f>
        <v>0</v>
      </c>
      <c r="G55" s="1">
        <f t="shared" si="2"/>
        <v>5038501.014669029</v>
      </c>
      <c r="H55" s="1">
        <f>+'Alabama Life'!G55+'American Chambers'!G55+'American Educators'!G55+'American Integrity'!G55+'Amer Life Asr'!G55+'American Medical'!G55+'Amer Std Life Acc'!G55+AmerWstrn!G55+'AMS Life'!G55+'Andrew Jackson'!G55+'Bankers Commercial'!G55+Benicorp!G55+Centennial!G55+'Coastal States'!G55+'Confed Life (CLIC)'!G55+'Consolidated National'!G55+'Consumers Mutual'!G55+'Consumers United'!G55+'Corporate Life'!G55+'Diamond Benefits'!G55+'EBL Life'!G55+'Family Guaranty'!G55+'Fidelity Bankers'!G55+'First Natl'!G55+'Franklin American'!G55+'Franklin Protective'!G55+'George Washington'!G55+'Golden State'!G55+'Guarantee Security'!G55+Imerica!G55+'Inter-American'!G55+'International Fin'!G55+'Investment Life of America'!G55+'Investors Equity'!G55+'Kentucky Central'!G55+Legion!G55+'London Pac'!G55+'Medical Savings'!G55+'Midwest Life'!G55+'Mutual Benefit'!G55+'Mutual Security'!G55+'National Affiliated'!G55+'Natl American'!G55+'National Heritage'!G55+'New Jersey Life'!G55+'Old Colony Life'!G55+'Old Faithful'!G55+'Pacific Standard'!G55+'Red Rock'!G55+SeeChange!G55+'States General'!G55+Statesman!G55+'Summit National'!G55+Supreme!G55+Underwriters!G55+Unison!G55+'United Republic'!G55+Universe!G55+Villanova!G55</f>
        <v>5038501.014669029</v>
      </c>
      <c r="I55" s="1">
        <f t="shared" si="3"/>
        <v>0</v>
      </c>
      <c r="K55" s="1" t="s">
        <v>622</v>
      </c>
      <c r="L55" s="1">
        <f>Summary!TOTAL_63541</f>
        <v>12380466.671347052</v>
      </c>
    </row>
    <row r="56" spans="1:12">
      <c r="A56" s="1" t="s">
        <v>77</v>
      </c>
      <c r="B56" s="1">
        <f>+'Alabama Life'!B56+'American Chambers'!B56+'American Educators'!B56+'American Integrity'!B56+'Amer Life Asr'!B56+'American Medical'!B56+'Amer Std Life Acc'!B56+AmerWstrn!B56+'AMS Life'!B56+'Andrew Jackson'!B56+'Bankers Commercial'!B56+Benicorp!B56+Centennial!B56+'Coastal States'!B56+'Confed Life (CLIC)'!B56+'Consolidated National'!B56+'Consumers Mutual'!B56+'Consumers United'!B56+'Corporate Life'!B56+'Diamond Benefits'!B56+'EBL Life'!B56+'Family Guaranty'!B56+'Fidelity Bankers'!B56+'First Natl'!B56+'Franklin American'!B56+'Franklin Protective'!B56+'George Washington'!B56+'Golden State'!B56+'Guarantee Security'!B56+Imerica!B56+'Inter-American'!B56+'International Fin'!B56+'Investment Life of America'!B56+'Investors Equity'!B56+'Kentucky Central'!B56+Legion!B56+'London Pac'!B56+'Medical Savings'!B56+'Midwest Life'!B56+'Mutual Benefit'!B56+'Mutual Security'!B56+'National Affiliated'!B56+'Natl American'!B56+'National Heritage'!B56+'New Jersey Life'!B56+'Old Colony Life'!B56+'Old Faithful'!B56+'Pacific Standard'!B56+'Red Rock'!B56+SeeChange!B56+'States General'!B56+Statesman!B56+'Summit National'!B56+Supreme!B56+Underwriters!B56+Unison!B56+'United Republic'!B56+Universe!B56+Villanova!B56</f>
        <v>14986211.949298579</v>
      </c>
      <c r="C56" s="1">
        <f>+'Alabama Life'!C56+'American Chambers'!C56+'American Educators'!C56+'American Integrity'!C56+'Amer Life Asr'!C56+'American Medical'!C56+'Amer Std Life Acc'!C56+AmerWstrn!C56+'AMS Life'!C56+'Andrew Jackson'!C56+'Bankers Commercial'!C56+Benicorp!C56+Centennial!C56+'Coastal States'!C56+'Confed Life (CLIC)'!C56+'Consolidated National'!C56+'Consumers Mutual'!C56+'Consumers United'!C56+'Corporate Life'!C56+'Diamond Benefits'!C56+'EBL Life'!C56+'Family Guaranty'!C56+'Fidelity Bankers'!C56+'First Natl'!C56+'Franklin American'!C56+'Franklin Protective'!C56+'George Washington'!C56+'Golden State'!C56+'Guarantee Security'!C56+Imerica!C56+'Inter-American'!C56+'International Fin'!C56+'Investment Life of America'!C56+'Investors Equity'!C56+'Kentucky Central'!C56+Legion!C56+'London Pac'!C56+'Medical Savings'!C56+'Midwest Life'!C56+'Mutual Benefit'!C56+'Mutual Security'!C56+'National Affiliated'!C56+'Natl American'!C56+'National Heritage'!C56+'New Jersey Life'!C56+'Old Colony Life'!C56+'Old Faithful'!C56+'Pacific Standard'!C56+'Red Rock'!C56+SeeChange!C56+'States General'!C56+Statesman!C56+'Summit National'!C56+Supreme!C56+Underwriters!C56+Unison!C56+'United Republic'!C56+Universe!C56+Villanova!C56</f>
        <v>6259752.2563557932</v>
      </c>
      <c r="D56" s="1">
        <f>+'Alabama Life'!D56+'American Chambers'!D56+'American Educators'!D56+'American Integrity'!D56+'Amer Life Asr'!D56+'American Medical'!D56+'Amer Std Life Acc'!D56+AmerWstrn!D56+'AMS Life'!D56+'Andrew Jackson'!D56+'Bankers Commercial'!D56+Benicorp!D56+Centennial!D56+'Coastal States'!D56+'Confed Life (CLIC)'!D56+'Consolidated National'!D56+'Consumers Mutual'!D56+'Consumers United'!D56+'Corporate Life'!D56+'Diamond Benefits'!D56+'EBL Life'!D56+'Family Guaranty'!D56+'Fidelity Bankers'!D56+'First Natl'!D56+'Franklin American'!D56+'Franklin Protective'!D56+'George Washington'!D56+'Golden State'!D56+'Guarantee Security'!D56+Imerica!D56+'Inter-American'!D56+'International Fin'!D56+'Investment Life of America'!D56+'Investors Equity'!D56+'Kentucky Central'!D56+Legion!D56+'London Pac'!D56+'Medical Savings'!D56+'Midwest Life'!D56+'Mutual Benefit'!D56+'Mutual Security'!D56+'National Affiliated'!D56+'Natl American'!D56+'National Heritage'!D56+'New Jersey Life'!D56+'Old Colony Life'!D56+'Old Faithful'!D56+'Pacific Standard'!D56+'Red Rock'!D56+SeeChange!D56+'States General'!D56+Statesman!D56+'Summit National'!D56+Supreme!D56+Underwriters!D56+Unison!D56+'United Republic'!D56+Universe!D56+Villanova!D56</f>
        <v>136589.76293993171</v>
      </c>
      <c r="E56" s="1">
        <f>+'Alabama Life'!E56+'American Chambers'!E56+'American Educators'!E56+'American Integrity'!E56+'Amer Life Asr'!E56+'American Medical'!E56+'Amer Std Life Acc'!E56+AmerWstrn!E56+'AMS Life'!E56+'Andrew Jackson'!E56+'Bankers Commercial'!E56+Benicorp!E56+Centennial!E56+'Coastal States'!E56+'Confed Life (CLIC)'!E56+'Consolidated National'!E56+'Consumers Mutual'!E56+'Consumers United'!E56+'Corporate Life'!E56+'Diamond Benefits'!E56+'EBL Life'!E56+'Family Guaranty'!E56+'Fidelity Bankers'!E56+'First Natl'!E56+'Franklin American'!E56+'Franklin Protective'!E56+'George Washington'!E56+'Golden State'!E56+'Guarantee Security'!E56+Imerica!E56+'Inter-American'!E56+'International Fin'!E56+'Investment Life of America'!E56+'Investors Equity'!E56+'Kentucky Central'!E56+Legion!E56+'London Pac'!E56+'Medical Savings'!E56+'Midwest Life'!E56+'Mutual Benefit'!E56+'Mutual Security'!E56+'National Affiliated'!E56+'Natl American'!E56+'National Heritage'!E56+'New Jersey Life'!E56+'Old Colony Life'!E56+'Old Faithful'!E56+'Pacific Standard'!E56+'Red Rock'!E56+SeeChange!E56+'States General'!E56+Statesman!E56+'Summit National'!E56+Supreme!E56+Underwriters!E56+Unison!E56+'United Republic'!E56+Universe!E56+Villanova!E56</f>
        <v>0</v>
      </c>
      <c r="F56" s="1">
        <f>+'Alabama Life'!F56+'American Chambers'!F56+'American Educators'!F56+'American Integrity'!F56+'Amer Life Asr'!F56+'American Medical'!F56+'Amer Std Life Acc'!F56+AmerWstrn!F56+'AMS Life'!F56+'Andrew Jackson'!F56+'Bankers Commercial'!F56+Benicorp!F56+Centennial!F56+'Coastal States'!F56+'Confed Life (CLIC)'!F56+'Consolidated National'!F56+'Consumers Mutual'!F56+'Consumers United'!F56+'Corporate Life'!F56+'Diamond Benefits'!F56+'EBL Life'!F56+'Family Guaranty'!F56+'Fidelity Bankers'!F56+'First Natl'!F56+'Franklin American'!F56+'Franklin Protective'!F56+'George Washington'!F56+'Golden State'!F56+'Guarantee Security'!F56+Imerica!F56+'Inter-American'!F56+'International Fin'!F56+'Investment Life of America'!F56+'Investors Equity'!F56+'Kentucky Central'!F56+Legion!F56+'London Pac'!F56+'Medical Savings'!F56+'Midwest Life'!F56+'Mutual Benefit'!F56+'Mutual Security'!F56+'National Affiliated'!F56+'Natl American'!F56+'National Heritage'!F56+'New Jersey Life'!F56+'Old Colony Life'!F56+'Old Faithful'!F56+'Pacific Standard'!F56+'Red Rock'!F56+SeeChange!F56+'States General'!F56+Statesman!F56+'Summit National'!F56+Supreme!F56+Underwriters!F56+Unison!F56+'United Republic'!F56+Universe!F56+Villanova!F56</f>
        <v>0</v>
      </c>
      <c r="G56" s="1">
        <f t="shared" si="2"/>
        <v>21382553.968594301</v>
      </c>
      <c r="H56" s="1">
        <f>+'Alabama Life'!G56+'American Chambers'!G56+'American Educators'!G56+'American Integrity'!G56+'Amer Life Asr'!G56+'American Medical'!G56+'Amer Std Life Acc'!G56+AmerWstrn!G56+'AMS Life'!G56+'Andrew Jackson'!G56+'Bankers Commercial'!G56+Benicorp!G56+Centennial!G56+'Coastal States'!G56+'Confed Life (CLIC)'!G56+'Consolidated National'!G56+'Consumers Mutual'!G56+'Consumers United'!G56+'Corporate Life'!G56+'Diamond Benefits'!G56+'EBL Life'!G56+'Family Guaranty'!G56+'Fidelity Bankers'!G56+'First Natl'!G56+'Franklin American'!G56+'Franklin Protective'!G56+'George Washington'!G56+'Golden State'!G56+'Guarantee Security'!G56+Imerica!G56+'Inter-American'!G56+'International Fin'!G56+'Investment Life of America'!G56+'Investors Equity'!G56+'Kentucky Central'!G56+Legion!G56+'London Pac'!G56+'Medical Savings'!G56+'Midwest Life'!G56+'Mutual Benefit'!G56+'Mutual Security'!G56+'National Affiliated'!G56+'Natl American'!G56+'National Heritage'!G56+'New Jersey Life'!G56+'Old Colony Life'!G56+'Old Faithful'!G56+'Pacific Standard'!G56+'Red Rock'!G56+SeeChange!G56+'States General'!G56+Statesman!G56+'Summit National'!G56+Supreme!G56+Underwriters!G56+Unison!G56+'United Republic'!G56+Universe!G56+Villanova!G56</f>
        <v>21382553.968594305</v>
      </c>
      <c r="I56" s="1">
        <f t="shared" si="3"/>
        <v>0</v>
      </c>
      <c r="K56" s="1" t="s">
        <v>626</v>
      </c>
      <c r="L56" s="1">
        <f>Summary!TOTAL_69175</f>
        <v>4938099.3900000006</v>
      </c>
    </row>
    <row r="57" spans="1:12">
      <c r="A57" s="1" t="s">
        <v>78</v>
      </c>
      <c r="B57" s="1">
        <f>+'Alabama Life'!B57+'American Chambers'!B57+'American Educators'!B57+'American Integrity'!B57+'Amer Life Asr'!B57+'American Medical'!B57+'Amer Std Life Acc'!B57+AmerWstrn!B57+'AMS Life'!B57+'Andrew Jackson'!B57+'Bankers Commercial'!B57+Benicorp!B57+Centennial!B57+'Coastal States'!B57+'Confed Life (CLIC)'!B57+'Consolidated National'!B57+'Consumers Mutual'!B57+'Consumers United'!B57+'Corporate Life'!B57+'Diamond Benefits'!B57+'EBL Life'!B57+'Family Guaranty'!B57+'Fidelity Bankers'!B57+'First Natl'!B57+'Franklin American'!B57+'Franklin Protective'!B57+'George Washington'!B57+'Golden State'!B57+'Guarantee Security'!B57+Imerica!B57+'Inter-American'!B57+'International Fin'!B57+'Investment Life of America'!B57+'Investors Equity'!B57+'Kentucky Central'!B57+Legion!B57+'London Pac'!B57+'Medical Savings'!B57+'Midwest Life'!B57+'Mutual Benefit'!B57+'Mutual Security'!B57+'National Affiliated'!B57+'Natl American'!B57+'National Heritage'!B57+'New Jersey Life'!B57+'Old Colony Life'!B57+'Old Faithful'!B57+'Pacific Standard'!B57+'Red Rock'!B57+SeeChange!B57+'States General'!B57+Statesman!B57+'Summit National'!B57+Supreme!B57+Underwriters!B57+Unison!B57+'United Republic'!B57+Universe!B57+Villanova!B57</f>
        <v>963210.79744762019</v>
      </c>
      <c r="C57" s="1">
        <f>+'Alabama Life'!C57+'American Chambers'!C57+'American Educators'!C57+'American Integrity'!C57+'Amer Life Asr'!C57+'American Medical'!C57+'Amer Std Life Acc'!C57+AmerWstrn!C57+'AMS Life'!C57+'Andrew Jackson'!C57+'Bankers Commercial'!C57+Benicorp!C57+Centennial!C57+'Coastal States'!C57+'Confed Life (CLIC)'!C57+'Consolidated National'!C57+'Consumers Mutual'!C57+'Consumers United'!C57+'Corporate Life'!C57+'Diamond Benefits'!C57+'EBL Life'!C57+'Family Guaranty'!C57+'Fidelity Bankers'!C57+'First Natl'!C57+'Franklin American'!C57+'Franklin Protective'!C57+'George Washington'!C57+'Golden State'!C57+'Guarantee Security'!C57+Imerica!C57+'Inter-American'!C57+'International Fin'!C57+'Investment Life of America'!C57+'Investors Equity'!C57+'Kentucky Central'!C57+Legion!C57+'London Pac'!C57+'Medical Savings'!C57+'Midwest Life'!C57+'Mutual Benefit'!C57+'Mutual Security'!C57+'National Affiliated'!C57+'Natl American'!C57+'National Heritage'!C57+'New Jersey Life'!C57+'Old Colony Life'!C57+'Old Faithful'!C57+'Pacific Standard'!C57+'Red Rock'!C57+SeeChange!C57+'States General'!C57+Statesman!C57+'Summit National'!C57+Supreme!C57+Underwriters!C57+Unison!C57+'United Republic'!C57+Universe!C57+Villanova!C57</f>
        <v>2430640.1480186791</v>
      </c>
      <c r="D57" s="1">
        <f>+'Alabama Life'!D57+'American Chambers'!D57+'American Educators'!D57+'American Integrity'!D57+'Amer Life Asr'!D57+'American Medical'!D57+'Amer Std Life Acc'!D57+AmerWstrn!D57+'AMS Life'!D57+'Andrew Jackson'!D57+'Bankers Commercial'!D57+Benicorp!D57+Centennial!D57+'Coastal States'!D57+'Confed Life (CLIC)'!D57+'Consolidated National'!D57+'Consumers Mutual'!D57+'Consumers United'!D57+'Corporate Life'!D57+'Diamond Benefits'!D57+'EBL Life'!D57+'Family Guaranty'!D57+'Fidelity Bankers'!D57+'First Natl'!D57+'Franklin American'!D57+'Franklin Protective'!D57+'George Washington'!D57+'Golden State'!D57+'Guarantee Security'!D57+Imerica!D57+'Inter-American'!D57+'International Fin'!D57+'Investment Life of America'!D57+'Investors Equity'!D57+'Kentucky Central'!D57+Legion!D57+'London Pac'!D57+'Medical Savings'!D57+'Midwest Life'!D57+'Mutual Benefit'!D57+'Mutual Security'!D57+'National Affiliated'!D57+'Natl American'!D57+'National Heritage'!D57+'New Jersey Life'!D57+'Old Colony Life'!D57+'Old Faithful'!D57+'Pacific Standard'!D57+'Red Rock'!D57+SeeChange!D57+'States General'!D57+Statesman!D57+'Summit National'!D57+Supreme!D57+Underwriters!D57+Unison!D57+'United Republic'!D57+Universe!D57+Villanova!D57</f>
        <v>440489.70515157341</v>
      </c>
      <c r="E57" s="1">
        <f>+'Alabama Life'!E57+'American Chambers'!E57+'American Educators'!E57+'American Integrity'!E57+'Amer Life Asr'!E57+'American Medical'!E57+'Amer Std Life Acc'!E57+AmerWstrn!E57+'AMS Life'!E57+'Andrew Jackson'!E57+'Bankers Commercial'!E57+Benicorp!E57+Centennial!E57+'Coastal States'!E57+'Confed Life (CLIC)'!E57+'Consolidated National'!E57+'Consumers Mutual'!E57+'Consumers United'!E57+'Corporate Life'!E57+'Diamond Benefits'!E57+'EBL Life'!E57+'Family Guaranty'!E57+'Fidelity Bankers'!E57+'First Natl'!E57+'Franklin American'!E57+'Franklin Protective'!E57+'George Washington'!E57+'Golden State'!E57+'Guarantee Security'!E57+Imerica!E57+'Inter-American'!E57+'International Fin'!E57+'Investment Life of America'!E57+'Investors Equity'!E57+'Kentucky Central'!E57+Legion!E57+'London Pac'!E57+'Medical Savings'!E57+'Midwest Life'!E57+'Mutual Benefit'!E57+'Mutual Security'!E57+'National Affiliated'!E57+'Natl American'!E57+'National Heritage'!E57+'New Jersey Life'!E57+'Old Colony Life'!E57+'Old Faithful'!E57+'Pacific Standard'!E57+'Red Rock'!E57+SeeChange!E57+'States General'!E57+Statesman!E57+'Summit National'!E57+Supreme!E57+Underwriters!E57+Unison!E57+'United Republic'!E57+Universe!E57+Villanova!E57</f>
        <v>0</v>
      </c>
      <c r="F57" s="1">
        <f>+'Alabama Life'!F57+'American Chambers'!F57+'American Educators'!F57+'American Integrity'!F57+'Amer Life Asr'!F57+'American Medical'!F57+'Amer Std Life Acc'!F57+AmerWstrn!F57+'AMS Life'!F57+'Andrew Jackson'!F57+'Bankers Commercial'!F57+Benicorp!F57+Centennial!F57+'Coastal States'!F57+'Confed Life (CLIC)'!F57+'Consolidated National'!F57+'Consumers Mutual'!F57+'Consumers United'!F57+'Corporate Life'!F57+'Diamond Benefits'!F57+'EBL Life'!F57+'Family Guaranty'!F57+'Fidelity Bankers'!F57+'First Natl'!F57+'Franklin American'!F57+'Franklin Protective'!F57+'George Washington'!F57+'Golden State'!F57+'Guarantee Security'!F57+Imerica!F57+'Inter-American'!F57+'International Fin'!F57+'Investment Life of America'!F57+'Investors Equity'!F57+'Kentucky Central'!F57+Legion!F57+'London Pac'!F57+'Medical Savings'!F57+'Midwest Life'!F57+'Mutual Benefit'!F57+'Mutual Security'!F57+'National Affiliated'!F57+'Natl American'!F57+'National Heritage'!F57+'New Jersey Life'!F57+'Old Colony Life'!F57+'Old Faithful'!F57+'Pacific Standard'!F57+'Red Rock'!F57+SeeChange!F57+'States General'!F57+Statesman!F57+'Summit National'!F57+Supreme!F57+Underwriters!F57+Unison!F57+'United Republic'!F57+Universe!F57+Villanova!F57</f>
        <v>0</v>
      </c>
      <c r="G57" s="1">
        <f t="shared" si="2"/>
        <v>3834340.6506178728</v>
      </c>
      <c r="H57" s="1">
        <f>+'Alabama Life'!G57+'American Chambers'!G57+'American Educators'!G57+'American Integrity'!G57+'Amer Life Asr'!G57+'American Medical'!G57+'Amer Std Life Acc'!G57+AmerWstrn!G57+'AMS Life'!G57+'Andrew Jackson'!G57+'Bankers Commercial'!G57+Benicorp!G57+Centennial!G57+'Coastal States'!G57+'Confed Life (CLIC)'!G57+'Consolidated National'!G57+'Consumers Mutual'!G57+'Consumers United'!G57+'Corporate Life'!G57+'Diamond Benefits'!G57+'EBL Life'!G57+'Family Guaranty'!G57+'Fidelity Bankers'!G57+'First Natl'!G57+'Franklin American'!G57+'Franklin Protective'!G57+'George Washington'!G57+'Golden State'!G57+'Guarantee Security'!G57+Imerica!G57+'Inter-American'!G57+'International Fin'!G57+'Investment Life of America'!G57+'Investors Equity'!G57+'Kentucky Central'!G57+Legion!G57+'London Pac'!G57+'Medical Savings'!G57+'Midwest Life'!G57+'Mutual Benefit'!G57+'Mutual Security'!G57+'National Affiliated'!G57+'Natl American'!G57+'National Heritage'!G57+'New Jersey Life'!G57+'Old Colony Life'!G57+'Old Faithful'!G57+'Pacific Standard'!G57+'Red Rock'!G57+SeeChange!G57+'States General'!G57+Statesman!G57+'Summit National'!G57+Supreme!G57+Underwriters!G57+Unison!G57+'United Republic'!G57+Universe!G57+Villanova!G57</f>
        <v>3834340.6506178719</v>
      </c>
      <c r="I57" s="1">
        <f t="shared" si="3"/>
        <v>0</v>
      </c>
      <c r="K57" s="1" t="s">
        <v>632</v>
      </c>
      <c r="L57" s="1">
        <f>Summary!TOTAL_69183</f>
        <v>4051414.9099999983</v>
      </c>
    </row>
    <row r="58" spans="1:12">
      <c r="A58" s="1" t="s">
        <v>79</v>
      </c>
      <c r="B58" s="1">
        <f>+'Alabama Life'!B58+'American Chambers'!B58+'American Educators'!B58+'American Integrity'!B58+'Amer Life Asr'!B58+'American Medical'!B58+'Amer Std Life Acc'!B58+AmerWstrn!B58+'AMS Life'!B58+'Andrew Jackson'!B58+'Bankers Commercial'!B58+Benicorp!B58+Centennial!B58+'Coastal States'!B58+'Confed Life (CLIC)'!B58+'Consolidated National'!B58+'Consumers Mutual'!B58+'Consumers United'!B58+'Corporate Life'!B58+'Diamond Benefits'!B58+'EBL Life'!B58+'Family Guaranty'!B58+'Fidelity Bankers'!B58+'First Natl'!B58+'Franklin American'!B58+'Franklin Protective'!B58+'George Washington'!B58+'Golden State'!B58+'Guarantee Security'!B58+Imerica!B58+'Inter-American'!B58+'International Fin'!B58+'Investment Life of America'!B58+'Investors Equity'!B58+'Kentucky Central'!B58+Legion!B58+'London Pac'!B58+'Medical Savings'!B58+'Midwest Life'!B58+'Mutual Benefit'!B58+'Mutual Security'!B58+'National Affiliated'!B58+'Natl American'!B58+'National Heritage'!B58+'New Jersey Life'!B58+'Old Colony Life'!B58+'Old Faithful'!B58+'Pacific Standard'!B58+'Red Rock'!B58+SeeChange!B58+'States General'!B58+Statesman!B58+'Summit National'!B58+Supreme!B58+Underwriters!B58+Unison!B58+'United Republic'!B58+Universe!B58+Villanova!B58</f>
        <v>1</v>
      </c>
      <c r="C58" s="1">
        <f>+'Alabama Life'!C58+'American Chambers'!C58+'American Educators'!C58+'American Integrity'!C58+'Amer Life Asr'!C58+'American Medical'!C58+'Amer Std Life Acc'!C58+AmerWstrn!C58+'AMS Life'!C58+'Andrew Jackson'!C58+'Bankers Commercial'!C58+Benicorp!C58+Centennial!C58+'Coastal States'!C58+'Confed Life (CLIC)'!C58+'Consolidated National'!C58+'Consumers Mutual'!C58+'Consumers United'!C58+'Corporate Life'!C58+'Diamond Benefits'!C58+'EBL Life'!C58+'Family Guaranty'!C58+'Fidelity Bankers'!C58+'First Natl'!C58+'Franklin American'!C58+'Franklin Protective'!C58+'George Washington'!C58+'Golden State'!C58+'Guarantee Security'!C58+Imerica!C58+'Inter-American'!C58+'International Fin'!C58+'Investment Life of America'!C58+'Investors Equity'!C58+'Kentucky Central'!C58+Legion!C58+'London Pac'!C58+'Medical Savings'!C58+'Midwest Life'!C58+'Mutual Benefit'!C58+'Mutual Security'!C58+'National Affiliated'!C58+'Natl American'!C58+'National Heritage'!C58+'New Jersey Life'!C58+'Old Colony Life'!C58+'Old Faithful'!C58+'Pacific Standard'!C58+'Red Rock'!C58+SeeChange!C58+'States General'!C58+Statesman!C58+'Summit National'!C58+Supreme!C58+Underwriters!C58+Unison!C58+'United Republic'!C58+Universe!C58+Villanova!C58</f>
        <v>0</v>
      </c>
      <c r="D58" s="1">
        <f>+'Alabama Life'!D58+'American Chambers'!D58+'American Educators'!D58+'American Integrity'!D58+'Amer Life Asr'!D58+'American Medical'!D58+'Amer Std Life Acc'!D58+AmerWstrn!D58+'AMS Life'!D58+'Andrew Jackson'!D58+'Bankers Commercial'!D58+Benicorp!D58+Centennial!D58+'Coastal States'!D58+'Confed Life (CLIC)'!D58+'Consolidated National'!D58+'Consumers Mutual'!D58+'Consumers United'!D58+'Corporate Life'!D58+'Diamond Benefits'!D58+'EBL Life'!D58+'Family Guaranty'!D58+'Fidelity Bankers'!D58+'First Natl'!D58+'Franklin American'!D58+'Franklin Protective'!D58+'George Washington'!D58+'Golden State'!D58+'Guarantee Security'!D58+Imerica!D58+'Inter-American'!D58+'International Fin'!D58+'Investment Life of America'!D58+'Investors Equity'!D58+'Kentucky Central'!D58+Legion!D58+'London Pac'!D58+'Medical Savings'!D58+'Midwest Life'!D58+'Mutual Benefit'!D58+'Mutual Security'!D58+'National Affiliated'!D58+'Natl American'!D58+'National Heritage'!D58+'New Jersey Life'!D58+'Old Colony Life'!D58+'Old Faithful'!D58+'Pacific Standard'!D58+'Red Rock'!D58+SeeChange!D58+'States General'!D58+Statesman!D58+'Summit National'!D58+Supreme!D58+Underwriters!D58+Unison!D58+'United Republic'!D58+Universe!D58+Villanova!D58</f>
        <v>13543.189376251059</v>
      </c>
      <c r="E58" s="1">
        <f>+'Alabama Life'!E58+'American Chambers'!E58+'American Educators'!E58+'American Integrity'!E58+'Amer Life Asr'!E58+'American Medical'!E58+'Amer Std Life Acc'!E58+AmerWstrn!E58+'AMS Life'!E58+'Andrew Jackson'!E58+'Bankers Commercial'!E58+Benicorp!E58+Centennial!E58+'Coastal States'!E58+'Confed Life (CLIC)'!E58+'Consolidated National'!E58+'Consumers Mutual'!E58+'Consumers United'!E58+'Corporate Life'!E58+'Diamond Benefits'!E58+'EBL Life'!E58+'Family Guaranty'!E58+'Fidelity Bankers'!E58+'First Natl'!E58+'Franklin American'!E58+'Franklin Protective'!E58+'George Washington'!E58+'Golden State'!E58+'Guarantee Security'!E58+Imerica!E58+'Inter-American'!E58+'International Fin'!E58+'Investment Life of America'!E58+'Investors Equity'!E58+'Kentucky Central'!E58+Legion!E58+'London Pac'!E58+'Medical Savings'!E58+'Midwest Life'!E58+'Mutual Benefit'!E58+'Mutual Security'!E58+'National Affiliated'!E58+'Natl American'!E58+'National Heritage'!E58+'New Jersey Life'!E58+'Old Colony Life'!E58+'Old Faithful'!E58+'Pacific Standard'!E58+'Red Rock'!E58+SeeChange!E58+'States General'!E58+Statesman!E58+'Summit National'!E58+Supreme!E58+Underwriters!E58+Unison!E58+'United Republic'!E58+Universe!E58+Villanova!E58</f>
        <v>0</v>
      </c>
      <c r="F58" s="1">
        <f>+'Alabama Life'!F58+'American Chambers'!F58+'American Educators'!F58+'American Integrity'!F58+'Amer Life Asr'!F58+'American Medical'!F58+'Amer Std Life Acc'!F58+AmerWstrn!F58+'AMS Life'!F58+'Andrew Jackson'!F58+'Bankers Commercial'!F58+Benicorp!F58+Centennial!F58+'Coastal States'!F58+'Confed Life (CLIC)'!F58+'Consolidated National'!F58+'Consumers Mutual'!F58+'Consumers United'!F58+'Corporate Life'!F58+'Diamond Benefits'!F58+'EBL Life'!F58+'Family Guaranty'!F58+'Fidelity Bankers'!F58+'First Natl'!F58+'Franklin American'!F58+'Franklin Protective'!F58+'George Washington'!F58+'Golden State'!F58+'Guarantee Security'!F58+Imerica!F58+'Inter-American'!F58+'International Fin'!F58+'Investment Life of America'!F58+'Investors Equity'!F58+'Kentucky Central'!F58+Legion!F58+'London Pac'!F58+'Medical Savings'!F58+'Midwest Life'!F58+'Mutual Benefit'!F58+'Mutual Security'!F58+'National Affiliated'!F58+'Natl American'!F58+'National Heritage'!F58+'New Jersey Life'!F58+'Old Colony Life'!F58+'Old Faithful'!F58+'Pacific Standard'!F58+'Red Rock'!F58+SeeChange!F58+'States General'!F58+Statesman!F58+'Summit National'!F58+Supreme!F58+Underwriters!F58+Unison!F58+'United Republic'!F58+Universe!F58+Villanova!F58</f>
        <v>0</v>
      </c>
      <c r="G58" s="1">
        <f t="shared" si="2"/>
        <v>13544.189376251059</v>
      </c>
      <c r="H58" s="1">
        <f>+'Alabama Life'!G58+'American Chambers'!G58+'American Educators'!G58+'American Integrity'!G58+'Amer Life Asr'!G58+'American Medical'!G58+'Amer Std Life Acc'!G58+AmerWstrn!G58+'AMS Life'!G58+'Andrew Jackson'!G58+'Bankers Commercial'!G58+Benicorp!G58+Centennial!G58+'Coastal States'!G58+'Confed Life (CLIC)'!G58+'Consolidated National'!G58+'Consumers Mutual'!G58+'Consumers United'!G58+'Corporate Life'!G58+'Diamond Benefits'!G58+'EBL Life'!G58+'Family Guaranty'!G58+'Fidelity Bankers'!G58+'First Natl'!G58+'Franklin American'!G58+'Franklin Protective'!G58+'George Washington'!G58+'Golden State'!G58+'Guarantee Security'!G58+Imerica!G58+'Inter-American'!G58+'International Fin'!G58+'Investment Life of America'!G58+'Investors Equity'!G58+'Kentucky Central'!G58+Legion!G58+'London Pac'!G58+'Medical Savings'!G58+'Midwest Life'!G58+'Mutual Benefit'!G58+'Mutual Security'!G58+'National Affiliated'!G58+'Natl American'!G58+'National Heritage'!G58+'New Jersey Life'!G58+'Old Colony Life'!G58+'Old Faithful'!G58+'Pacific Standard'!G58+'Red Rock'!G58+SeeChange!G58+'States General'!G58+Statesman!G58+'Summit National'!G58+Supreme!G58+Underwriters!G58+Unison!G58+'United Republic'!G58+Universe!G58+Villanova!G58</f>
        <v>13544.189376251059</v>
      </c>
      <c r="I58" s="1">
        <f t="shared" si="3"/>
        <v>0</v>
      </c>
      <c r="K58" s="1" t="s">
        <v>638</v>
      </c>
      <c r="L58" s="1">
        <f>Summary!TOTAL_71080</f>
        <v>4657250.0299999816</v>
      </c>
    </row>
    <row r="59" spans="1:12">
      <c r="K59" s="1" t="s">
        <v>643</v>
      </c>
      <c r="L59" s="1">
        <f>Summary!TOTAL_69302</f>
        <v>37530.230000000003</v>
      </c>
    </row>
    <row r="60" spans="1:12">
      <c r="K60" s="1" t="s">
        <v>647</v>
      </c>
      <c r="L60" s="1">
        <f>Summary!TOTAL_88188</f>
        <v>8106994</v>
      </c>
    </row>
    <row r="61" spans="1:12">
      <c r="A61" s="1" t="s">
        <v>8</v>
      </c>
      <c r="B61" s="1">
        <f>SUM(LIFE)</f>
        <v>288178923.38997275</v>
      </c>
      <c r="C61" s="1">
        <f>SUM(ALLOCATED)</f>
        <v>760398592.16904163</v>
      </c>
      <c r="D61" s="1">
        <f>SUM(HEALTH)</f>
        <v>189456797.71373814</v>
      </c>
      <c r="E61" s="1">
        <f>SUM(UNALLOCATED)</f>
        <v>22452017.039440565</v>
      </c>
      <c r="F61" s="1">
        <f>SUM(LTC)</f>
        <v>0</v>
      </c>
      <c r="G61" s="1">
        <f>SUM(TOTAL)</f>
        <v>1260486330.3121927</v>
      </c>
      <c r="H61" s="1">
        <f>SUM(TOTAL_CROSSCHECK)</f>
        <v>1260486330.3121927</v>
      </c>
      <c r="I61" s="1">
        <f>SUM(RECON)</f>
        <v>-3.2741809263825417E-11</v>
      </c>
      <c r="K61" s="1" t="s">
        <v>654</v>
      </c>
      <c r="L61" s="1">
        <f>Summary!TOTAL_68055</f>
        <v>13414920.088913551</v>
      </c>
    </row>
    <row r="62" spans="1:12">
      <c r="K62" s="1" t="s">
        <v>657</v>
      </c>
      <c r="L62" s="1">
        <f>Summary!TOTAL_93238</f>
        <v>40667.22</v>
      </c>
    </row>
    <row r="63" spans="1:12">
      <c r="K63" s="1" t="s">
        <v>663</v>
      </c>
      <c r="L63" s="1">
        <f>Summary!TOTAL_70181</f>
        <v>10397891.84</v>
      </c>
    </row>
    <row r="64" spans="1:12">
      <c r="K64" s="1" t="s">
        <v>670</v>
      </c>
      <c r="L64" s="1">
        <f>Summary!TOTAL_19577</f>
        <v>0</v>
      </c>
    </row>
    <row r="66" spans="11:12">
      <c r="K66" s="1" t="s">
        <v>8</v>
      </c>
      <c r="L66" s="1">
        <f>SUM(REC_TOTAL)</f>
        <v>1260486330.3121934</v>
      </c>
    </row>
    <row r="67" spans="11:12">
      <c r="K67" s="1" t="s">
        <v>711</v>
      </c>
      <c r="L67" s="1">
        <f>SUM(TOTAL)</f>
        <v>1260486330.3121927</v>
      </c>
    </row>
    <row r="68" spans="11:12">
      <c r="L68" s="1">
        <f>SUM(TOTAL)-SUM(REC_TOTAL)</f>
        <v>0</v>
      </c>
    </row>
  </sheetData>
  <mergeCells count="1">
    <mergeCell ref="A1:G1"/>
  </mergeCells>
  <pageMargins left="0" right="0" top="0" bottom="0" header="0" footer="0"/>
  <pageSetup scale="59" orientation="landscape"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pageSetUpPr fitToPage="1"/>
  </sheetPr>
  <dimension ref="A1:L61"/>
  <sheetViews>
    <sheetView zoomScale="75" workbookViewId="0">
      <selection sqref="A1:G1"/>
    </sheetView>
  </sheetViews>
  <sheetFormatPr defaultColWidth="9.109375" defaultRowHeight="14.4"/>
  <cols>
    <col min="1" max="1" width="20" style="1" customWidth="1"/>
    <col min="2" max="8" width="15" style="1" customWidth="1"/>
    <col min="9" max="9" width="5" style="1" customWidth="1"/>
    <col min="10" max="10" width="9.109375" style="1" customWidth="1"/>
    <col min="11" max="11" width="40" style="1" customWidth="1"/>
    <col min="12" max="12" width="15" style="1" customWidth="1"/>
    <col min="13" max="13" width="9.109375" style="1" customWidth="1"/>
    <col min="14" max="16384" width="9.109375" style="1"/>
  </cols>
  <sheetData>
    <row r="1" spans="1:12">
      <c r="A1" s="100" t="s">
        <v>715</v>
      </c>
      <c r="B1" s="100"/>
      <c r="C1" s="100"/>
      <c r="D1" s="100"/>
      <c r="E1" s="100"/>
      <c r="F1" s="100"/>
      <c r="G1" s="100"/>
    </row>
    <row r="3" spans="1:12">
      <c r="B3" s="3"/>
      <c r="C3" s="3" t="s">
        <v>708</v>
      </c>
      <c r="D3" s="3"/>
      <c r="E3" s="3" t="s">
        <v>709</v>
      </c>
      <c r="F3" s="3"/>
      <c r="G3" s="3"/>
    </row>
    <row r="4" spans="1:12">
      <c r="B4" s="3" t="s">
        <v>3</v>
      </c>
      <c r="C4" s="3" t="s">
        <v>710</v>
      </c>
      <c r="D4" s="3" t="s">
        <v>5</v>
      </c>
      <c r="E4" s="3" t="s">
        <v>710</v>
      </c>
      <c r="F4" s="3" t="s">
        <v>7</v>
      </c>
      <c r="G4" s="3" t="s">
        <v>8</v>
      </c>
    </row>
    <row r="6" spans="1:12">
      <c r="A6" s="1" t="s">
        <v>11</v>
      </c>
      <c r="B6" s="1">
        <f>+'American Community'!B6+'Confed Life &amp; Annty (CLIAC)'!B6+'Fidelity Mutual'!B6+'First Capital'!B6+Midcontinent!B6+'Pavonia Life'!B6+Settlers!B6+Shenandoah!B6</f>
        <v>1774765.5181568924</v>
      </c>
      <c r="C6" s="1">
        <f>+'American Community'!C6+'Confed Life &amp; Annty (CLIAC)'!C6+'Fidelity Mutual'!C6+'First Capital'!C6+Midcontinent!C6+'Pavonia Life'!C6+Settlers!C6+Shenandoah!C6</f>
        <v>1649.9212756765421</v>
      </c>
      <c r="D6" s="1">
        <f>+'American Community'!D6+'Confed Life &amp; Annty (CLIAC)'!D6+'Fidelity Mutual'!D6+'First Capital'!D6+Midcontinent!D6+'Pavonia Life'!D6+Settlers!D6+Shenandoah!D6</f>
        <v>23496.274008790773</v>
      </c>
      <c r="E6" s="1">
        <f>+'American Community'!E6+'Confed Life &amp; Annty (CLIAC)'!E6+'Fidelity Mutual'!E6+'First Capital'!E6+Midcontinent!E6+'Pavonia Life'!E6+Settlers!E6+Shenandoah!E6</f>
        <v>0</v>
      </c>
      <c r="F6" s="1">
        <f>+'American Community'!F6+'Confed Life &amp; Annty (CLIAC)'!F6+'Fidelity Mutual'!F6+'First Capital'!F6+Midcontinent!F6+'Pavonia Life'!F6+Settlers!F6+Shenandoah!F6</f>
        <v>0</v>
      </c>
      <c r="G6" s="1">
        <f t="shared" ref="G6:G37" si="0">SUM(B6:F6)</f>
        <v>1799911.7134413596</v>
      </c>
      <c r="H6" s="1">
        <f>+'American Community'!G6+'Confed Life &amp; Annty (CLIAC)'!G6+'Fidelity Mutual'!G6+'First Capital'!G6+Midcontinent!G6+'Pavonia Life'!G6+Settlers!G6+Shenandoah!G6</f>
        <v>1799911.7134413598</v>
      </c>
      <c r="I6" s="1">
        <f t="shared" ref="I6:I37" si="1">G6-H6</f>
        <v>0</v>
      </c>
      <c r="K6" s="1" t="s">
        <v>674</v>
      </c>
      <c r="L6" s="1">
        <f>Summary!TOTAL_60305</f>
        <v>273213.37</v>
      </c>
    </row>
    <row r="7" spans="1:12">
      <c r="A7" s="1" t="s">
        <v>12</v>
      </c>
      <c r="B7" s="1">
        <f>+'American Community'!B7+'Confed Life &amp; Annty (CLIAC)'!B7+'Fidelity Mutual'!B7+'First Capital'!B7+Midcontinent!B7+'Pavonia Life'!B7+Settlers!B7+Shenandoah!B7</f>
        <v>153729.82117336633</v>
      </c>
      <c r="C7" s="1">
        <f>+'American Community'!C7+'Confed Life &amp; Annty (CLIAC)'!C7+'Fidelity Mutual'!C7+'First Capital'!C7+Midcontinent!C7+'Pavonia Life'!C7+Settlers!C7+Shenandoah!C7</f>
        <v>8.2835661522373556</v>
      </c>
      <c r="D7" s="1">
        <f>+'American Community'!D7+'Confed Life &amp; Annty (CLIAC)'!D7+'Fidelity Mutual'!D7+'First Capital'!D7+Midcontinent!D7+'Pavonia Life'!D7+Settlers!D7+Shenandoah!D7</f>
        <v>0</v>
      </c>
      <c r="E7" s="1">
        <f>+'American Community'!E7+'Confed Life &amp; Annty (CLIAC)'!E7+'Fidelity Mutual'!E7+'First Capital'!E7+Midcontinent!E7+'Pavonia Life'!E7+Settlers!E7+Shenandoah!E7</f>
        <v>0</v>
      </c>
      <c r="F7" s="1">
        <f>+'American Community'!F7+'Confed Life &amp; Annty (CLIAC)'!F7+'Fidelity Mutual'!F7+'First Capital'!F7+Midcontinent!F7+'Pavonia Life'!F7+Settlers!F7+Shenandoah!F7</f>
        <v>0</v>
      </c>
      <c r="G7" s="1">
        <f t="shared" si="0"/>
        <v>153738.10473951857</v>
      </c>
      <c r="H7" s="1">
        <f>+'American Community'!G7+'Confed Life &amp; Annty (CLIAC)'!G7+'Fidelity Mutual'!G7+'First Capital'!G7+Midcontinent!G7+'Pavonia Life'!G7+Settlers!G7+Shenandoah!G7</f>
        <v>153738.10473951857</v>
      </c>
      <c r="I7" s="1">
        <f t="shared" si="1"/>
        <v>0</v>
      </c>
      <c r="K7" s="1" t="s">
        <v>677</v>
      </c>
      <c r="L7" s="1">
        <f>Summary!TOTAL_99384</f>
        <v>0</v>
      </c>
    </row>
    <row r="8" spans="1:12">
      <c r="A8" s="1" t="s">
        <v>13</v>
      </c>
      <c r="B8" s="1">
        <f>+'American Community'!B8+'Confed Life &amp; Annty (CLIAC)'!B8+'Fidelity Mutual'!B8+'First Capital'!B8+Midcontinent!B8+'Pavonia Life'!B8+Settlers!B8+Shenandoah!B8</f>
        <v>2053547.0050892916</v>
      </c>
      <c r="C8" s="1">
        <f>+'American Community'!C8+'Confed Life &amp; Annty (CLIAC)'!C8+'Fidelity Mutual'!C8+'First Capital'!C8+Midcontinent!C8+'Pavonia Life'!C8+Settlers!C8+Shenandoah!C8</f>
        <v>1220.1621037028876</v>
      </c>
      <c r="D8" s="1">
        <f>+'American Community'!D8+'Confed Life &amp; Annty (CLIAC)'!D8+'Fidelity Mutual'!D8+'First Capital'!D8+Midcontinent!D8+'Pavonia Life'!D8+Settlers!D8+Shenandoah!D8</f>
        <v>55527.080213023561</v>
      </c>
      <c r="E8" s="1">
        <f>+'American Community'!E8+'Confed Life &amp; Annty (CLIAC)'!E8+'Fidelity Mutual'!E8+'First Capital'!E8+Midcontinent!E8+'Pavonia Life'!E8+Settlers!E8+Shenandoah!E8</f>
        <v>0</v>
      </c>
      <c r="F8" s="1">
        <f>+'American Community'!F8+'Confed Life &amp; Annty (CLIAC)'!F8+'Fidelity Mutual'!F8+'First Capital'!F8+Midcontinent!F8+'Pavonia Life'!F8+Settlers!F8+Shenandoah!F8</f>
        <v>0</v>
      </c>
      <c r="G8" s="1">
        <f t="shared" si="0"/>
        <v>2110294.247406018</v>
      </c>
      <c r="H8" s="1">
        <f>+'American Community'!G8+'Confed Life &amp; Annty (CLIAC)'!G8+'Fidelity Mutual'!G8+'First Capital'!G8+Midcontinent!G8+'Pavonia Life'!G8+Settlers!G8+Shenandoah!G8</f>
        <v>2110294.247406018</v>
      </c>
      <c r="I8" s="1">
        <f t="shared" si="1"/>
        <v>0</v>
      </c>
      <c r="K8" s="1" t="s">
        <v>683</v>
      </c>
      <c r="L8" s="1">
        <f>Summary!TOTAL_63304</f>
        <v>1276371.1400000001</v>
      </c>
    </row>
    <row r="9" spans="1:12">
      <c r="A9" s="1" t="s">
        <v>15</v>
      </c>
      <c r="B9" s="1">
        <f>+'American Community'!B9+'Confed Life &amp; Annty (CLIAC)'!B9+'Fidelity Mutual'!B9+'First Capital'!B9+Midcontinent!B9+'Pavonia Life'!B9+Settlers!B9+Shenandoah!B9</f>
        <v>1003616.1779766304</v>
      </c>
      <c r="C9" s="1">
        <f>+'American Community'!C9+'Confed Life &amp; Annty (CLIAC)'!C9+'Fidelity Mutual'!C9+'First Capital'!C9+Midcontinent!C9+'Pavonia Life'!C9+Settlers!C9+Shenandoah!C9</f>
        <v>1088.2489535994525</v>
      </c>
      <c r="D9" s="1">
        <f>+'American Community'!D9+'Confed Life &amp; Annty (CLIAC)'!D9+'Fidelity Mutual'!D9+'First Capital'!D9+Midcontinent!D9+'Pavonia Life'!D9+Settlers!D9+Shenandoah!D9</f>
        <v>2625.7975041475447</v>
      </c>
      <c r="E9" s="1">
        <f>+'American Community'!E9+'Confed Life &amp; Annty (CLIAC)'!E9+'Fidelity Mutual'!E9+'First Capital'!E9+Midcontinent!E9+'Pavonia Life'!E9+Settlers!E9+Shenandoah!E9</f>
        <v>0</v>
      </c>
      <c r="F9" s="1">
        <f>+'American Community'!F9+'Confed Life &amp; Annty (CLIAC)'!F9+'Fidelity Mutual'!F9+'First Capital'!F9+Midcontinent!F9+'Pavonia Life'!F9+Settlers!F9+Shenandoah!F9</f>
        <v>0</v>
      </c>
      <c r="G9" s="1">
        <f t="shared" si="0"/>
        <v>1007330.2244343774</v>
      </c>
      <c r="H9" s="1">
        <f>+'American Community'!G9+'Confed Life &amp; Annty (CLIAC)'!G9+'Fidelity Mutual'!G9+'First Capital'!G9+Midcontinent!G9+'Pavonia Life'!G9+Settlers!G9+Shenandoah!G9</f>
        <v>1007330.2244343774</v>
      </c>
      <c r="I9" s="1">
        <f t="shared" si="1"/>
        <v>0</v>
      </c>
      <c r="K9" s="1" t="s">
        <v>688</v>
      </c>
      <c r="L9" s="1">
        <f>Summary!TOTAL_65447</f>
        <v>47329.740000000049</v>
      </c>
    </row>
    <row r="10" spans="1:12">
      <c r="A10" s="1" t="s">
        <v>16</v>
      </c>
      <c r="B10" s="1">
        <f>+'American Community'!B10+'Confed Life &amp; Annty (CLIAC)'!B10+'Fidelity Mutual'!B10+'First Capital'!B10+Midcontinent!B10+'Pavonia Life'!B10+Settlers!B10+Shenandoah!B10</f>
        <v>11168935.437881289</v>
      </c>
      <c r="C10" s="1">
        <f>+'American Community'!C10+'Confed Life &amp; Annty (CLIAC)'!C10+'Fidelity Mutual'!C10+'First Capital'!C10+Midcontinent!C10+'Pavonia Life'!C10+Settlers!C10+Shenandoah!C10</f>
        <v>3917.3048132099357</v>
      </c>
      <c r="D10" s="1">
        <f>+'American Community'!D10+'Confed Life &amp; Annty (CLIAC)'!D10+'Fidelity Mutual'!D10+'First Capital'!D10+Midcontinent!D10+'Pavonia Life'!D10+Settlers!D10+Shenandoah!D10</f>
        <v>73171.282914352705</v>
      </c>
      <c r="E10" s="1">
        <f>+'American Community'!E10+'Confed Life &amp; Annty (CLIAC)'!E10+'Fidelity Mutual'!E10+'First Capital'!E10+Midcontinent!E10+'Pavonia Life'!E10+Settlers!E10+Shenandoah!E10</f>
        <v>0</v>
      </c>
      <c r="F10" s="1">
        <f>+'American Community'!F10+'Confed Life &amp; Annty (CLIAC)'!F10+'Fidelity Mutual'!F10+'First Capital'!F10+Midcontinent!F10+'Pavonia Life'!F10+Settlers!F10+Shenandoah!F10</f>
        <v>0</v>
      </c>
      <c r="G10" s="1">
        <f t="shared" si="0"/>
        <v>11246024.025608853</v>
      </c>
      <c r="H10" s="1">
        <f>+'American Community'!G10+'Confed Life &amp; Annty (CLIAC)'!G10+'Fidelity Mutual'!G10+'First Capital'!G10+Midcontinent!G10+'Pavonia Life'!G10+Settlers!G10+Shenandoah!G10</f>
        <v>11246024.025608853</v>
      </c>
      <c r="I10" s="1">
        <f t="shared" si="1"/>
        <v>0</v>
      </c>
      <c r="K10" s="1" t="s">
        <v>692</v>
      </c>
      <c r="L10" s="1">
        <f>Summary!TOTAL_66001</f>
        <v>368170.78999999992</v>
      </c>
    </row>
    <row r="11" spans="1:12">
      <c r="A11" s="1" t="s">
        <v>18</v>
      </c>
      <c r="B11" s="1">
        <f>+'American Community'!B11+'Confed Life &amp; Annty (CLIAC)'!B11+'Fidelity Mutual'!B11+'First Capital'!B11+Midcontinent!B11+'Pavonia Life'!B11+Settlers!B11+Shenandoah!B11</f>
        <v>1650688.789946842</v>
      </c>
      <c r="C11" s="1">
        <f>+'American Community'!C11+'Confed Life &amp; Annty (CLIAC)'!C11+'Fidelity Mutual'!C11+'First Capital'!C11+Midcontinent!C11+'Pavonia Life'!C11+Settlers!C11+Shenandoah!C11</f>
        <v>3195.017750083352</v>
      </c>
      <c r="D11" s="1">
        <f>+'American Community'!D11+'Confed Life &amp; Annty (CLIAC)'!D11+'Fidelity Mutual'!D11+'First Capital'!D11+Midcontinent!D11+'Pavonia Life'!D11+Settlers!D11+Shenandoah!D11</f>
        <v>35432.515271112119</v>
      </c>
      <c r="E11" s="1">
        <f>+'American Community'!E11+'Confed Life &amp; Annty (CLIAC)'!E11+'Fidelity Mutual'!E11+'First Capital'!E11+Midcontinent!E11+'Pavonia Life'!E11+Settlers!E11+Shenandoah!E11</f>
        <v>0</v>
      </c>
      <c r="F11" s="1">
        <f>+'American Community'!F11+'Confed Life &amp; Annty (CLIAC)'!F11+'Fidelity Mutual'!F11+'First Capital'!F11+Midcontinent!F11+'Pavonia Life'!F11+Settlers!F11+Shenandoah!F11</f>
        <v>0</v>
      </c>
      <c r="G11" s="1">
        <f t="shared" si="0"/>
        <v>1689316.3229680373</v>
      </c>
      <c r="H11" s="1">
        <f>+'American Community'!G11+'Confed Life &amp; Annty (CLIAC)'!G11+'Fidelity Mutual'!G11+'First Capital'!G11+Midcontinent!G11+'Pavonia Life'!G11+Settlers!G11+Shenandoah!G11</f>
        <v>1689316.3229680373</v>
      </c>
      <c r="I11" s="1">
        <f t="shared" si="1"/>
        <v>0</v>
      </c>
      <c r="K11" s="1" t="s">
        <v>695</v>
      </c>
      <c r="L11" s="1">
        <f>Summary!TOTAL_93777</f>
        <v>97765851.960000023</v>
      </c>
    </row>
    <row r="12" spans="1:12">
      <c r="A12" s="1" t="s">
        <v>19</v>
      </c>
      <c r="B12" s="1">
        <f>+'American Community'!B12+'Confed Life &amp; Annty (CLIAC)'!B12+'Fidelity Mutual'!B12+'First Capital'!B12+Midcontinent!B12+'Pavonia Life'!B12+Settlers!B12+Shenandoah!B12</f>
        <v>1560804.3907310751</v>
      </c>
      <c r="C12" s="1">
        <f>+'American Community'!C12+'Confed Life &amp; Annty (CLIAC)'!C12+'Fidelity Mutual'!C12+'First Capital'!C12+Midcontinent!C12+'Pavonia Life'!C12+Settlers!C12+Shenandoah!C12</f>
        <v>209.09944380854949</v>
      </c>
      <c r="D12" s="1">
        <f>+'American Community'!D12+'Confed Life &amp; Annty (CLIAC)'!D12+'Fidelity Mutual'!D12+'First Capital'!D12+Midcontinent!D12+'Pavonia Life'!D12+Settlers!D12+Shenandoah!D12</f>
        <v>20195.860241549552</v>
      </c>
      <c r="E12" s="1">
        <f>+'American Community'!E12+'Confed Life &amp; Annty (CLIAC)'!E12+'Fidelity Mutual'!E12+'First Capital'!E12+Midcontinent!E12+'Pavonia Life'!E12+Settlers!E12+Shenandoah!E12</f>
        <v>0</v>
      </c>
      <c r="F12" s="1">
        <f>+'American Community'!F12+'Confed Life &amp; Annty (CLIAC)'!F12+'Fidelity Mutual'!F12+'First Capital'!F12+Midcontinent!F12+'Pavonia Life'!F12+Settlers!F12+Shenandoah!F12</f>
        <v>0</v>
      </c>
      <c r="G12" s="1">
        <f t="shared" si="0"/>
        <v>1581209.3504164333</v>
      </c>
      <c r="H12" s="1">
        <f>+'American Community'!G12+'Confed Life &amp; Annty (CLIAC)'!G12+'Fidelity Mutual'!G12+'First Capital'!G12+Midcontinent!G12+'Pavonia Life'!G12+Settlers!G12+Shenandoah!G12</f>
        <v>1581209.3504164331</v>
      </c>
      <c r="I12" s="1">
        <f t="shared" si="1"/>
        <v>0</v>
      </c>
      <c r="K12" s="1" t="s">
        <v>698</v>
      </c>
      <c r="L12" s="1">
        <f>Summary!TOTAL_64220</f>
        <v>127565</v>
      </c>
    </row>
    <row r="13" spans="1:12">
      <c r="A13" s="1" t="s">
        <v>21</v>
      </c>
      <c r="B13" s="1">
        <f>+'American Community'!B13+'Confed Life &amp; Annty (CLIAC)'!B13+'Fidelity Mutual'!B13+'First Capital'!B13+Midcontinent!B13+'Pavonia Life'!B13+Settlers!B13+Shenandoah!B13</f>
        <v>394369.70561112149</v>
      </c>
      <c r="C13" s="1">
        <f>+'American Community'!C13+'Confed Life &amp; Annty (CLIAC)'!C13+'Fidelity Mutual'!C13+'First Capital'!C13+Midcontinent!C13+'Pavonia Life'!C13+Settlers!C13+Shenandoah!C13</f>
        <v>1052.8816959752096</v>
      </c>
      <c r="D13" s="1">
        <f>+'American Community'!D13+'Confed Life &amp; Annty (CLIAC)'!D13+'Fidelity Mutual'!D13+'First Capital'!D13+Midcontinent!D13+'Pavonia Life'!D13+Settlers!D13+Shenandoah!D13</f>
        <v>5844.6454349064843</v>
      </c>
      <c r="E13" s="1">
        <f>+'American Community'!E13+'Confed Life &amp; Annty (CLIAC)'!E13+'Fidelity Mutual'!E13+'First Capital'!E13+Midcontinent!E13+'Pavonia Life'!E13+Settlers!E13+Shenandoah!E13</f>
        <v>0</v>
      </c>
      <c r="F13" s="1">
        <f>+'American Community'!F13+'Confed Life &amp; Annty (CLIAC)'!F13+'Fidelity Mutual'!F13+'First Capital'!F13+Midcontinent!F13+'Pavonia Life'!F13+Settlers!F13+Shenandoah!F13</f>
        <v>0</v>
      </c>
      <c r="G13" s="1">
        <f t="shared" si="0"/>
        <v>401267.23274200317</v>
      </c>
      <c r="H13" s="1">
        <f>+'American Community'!G13+'Confed Life &amp; Annty (CLIAC)'!G13+'Fidelity Mutual'!G13+'First Capital'!G13+Midcontinent!G13+'Pavonia Life'!G13+Settlers!G13+Shenandoah!G13</f>
        <v>401267.23274200317</v>
      </c>
      <c r="I13" s="1">
        <f t="shared" si="1"/>
        <v>0</v>
      </c>
      <c r="K13" s="1" t="s">
        <v>701</v>
      </c>
      <c r="L13" s="1">
        <f>Summary!TOTAL_68845</f>
        <v>566459.55999999994</v>
      </c>
    </row>
    <row r="14" spans="1:12">
      <c r="A14" s="1" t="s">
        <v>23</v>
      </c>
      <c r="B14" s="1">
        <f>+'American Community'!B14+'Confed Life &amp; Annty (CLIAC)'!B14+'Fidelity Mutual'!B14+'First Capital'!B14+Midcontinent!B14+'Pavonia Life'!B14+Settlers!B14+Shenandoah!B14</f>
        <v>150628.44874798626</v>
      </c>
      <c r="C14" s="1">
        <f>+'American Community'!C14+'Confed Life &amp; Annty (CLIAC)'!C14+'Fidelity Mutual'!C14+'First Capital'!C14+Midcontinent!C14+'Pavonia Life'!C14+Settlers!C14+Shenandoah!C14</f>
        <v>913.1893425096132</v>
      </c>
      <c r="D14" s="1">
        <f>+'American Community'!D14+'Confed Life &amp; Annty (CLIAC)'!D14+'Fidelity Mutual'!D14+'First Capital'!D14+Midcontinent!D14+'Pavonia Life'!D14+Settlers!D14+Shenandoah!D14</f>
        <v>343.90377367332263</v>
      </c>
      <c r="E14" s="1">
        <f>+'American Community'!E14+'Confed Life &amp; Annty (CLIAC)'!E14+'Fidelity Mutual'!E14+'First Capital'!E14+Midcontinent!E14+'Pavonia Life'!E14+Settlers!E14+Shenandoah!E14</f>
        <v>0</v>
      </c>
      <c r="F14" s="1">
        <f>+'American Community'!F14+'Confed Life &amp; Annty (CLIAC)'!F14+'Fidelity Mutual'!F14+'First Capital'!F14+Midcontinent!F14+'Pavonia Life'!F14+Settlers!F14+Shenandoah!F14</f>
        <v>0</v>
      </c>
      <c r="G14" s="1">
        <f t="shared" si="0"/>
        <v>151885.54186416918</v>
      </c>
      <c r="H14" s="1">
        <f>+'American Community'!G14+'Confed Life &amp; Annty (CLIAC)'!G14+'Fidelity Mutual'!G14+'First Capital'!G14+Midcontinent!G14+'Pavonia Life'!G14+Settlers!G14+Shenandoah!G14</f>
        <v>151885.54186416921</v>
      </c>
      <c r="I14" s="1">
        <f t="shared" si="1"/>
        <v>0</v>
      </c>
    </row>
    <row r="15" spans="1:12">
      <c r="A15" s="1" t="s">
        <v>25</v>
      </c>
      <c r="B15" s="1">
        <f>+'American Community'!B15+'Confed Life &amp; Annty (CLIAC)'!B15+'Fidelity Mutual'!B15+'First Capital'!B15+Midcontinent!B15+'Pavonia Life'!B15+Settlers!B15+Shenandoah!B15</f>
        <v>8788567.8632306308</v>
      </c>
      <c r="C15" s="1">
        <f>+'American Community'!C15+'Confed Life &amp; Annty (CLIAC)'!C15+'Fidelity Mutual'!C15+'First Capital'!C15+Midcontinent!C15+'Pavonia Life'!C15+Settlers!C15+Shenandoah!C15</f>
        <v>31783.347743356127</v>
      </c>
      <c r="D15" s="1">
        <f>+'American Community'!D15+'Confed Life &amp; Annty (CLIAC)'!D15+'Fidelity Mutual'!D15+'First Capital'!D15+Midcontinent!D15+'Pavonia Life'!D15+Settlers!D15+Shenandoah!D15</f>
        <v>125418.02780559509</v>
      </c>
      <c r="E15" s="1">
        <f>+'American Community'!E15+'Confed Life &amp; Annty (CLIAC)'!E15+'Fidelity Mutual'!E15+'First Capital'!E15+Midcontinent!E15+'Pavonia Life'!E15+Settlers!E15+Shenandoah!E15</f>
        <v>0</v>
      </c>
      <c r="F15" s="1">
        <f>+'American Community'!F15+'Confed Life &amp; Annty (CLIAC)'!F15+'Fidelity Mutual'!F15+'First Capital'!F15+Midcontinent!F15+'Pavonia Life'!F15+Settlers!F15+Shenandoah!F15</f>
        <v>0</v>
      </c>
      <c r="G15" s="1">
        <f t="shared" si="0"/>
        <v>8945769.2387795821</v>
      </c>
      <c r="H15" s="1">
        <f>+'American Community'!G15+'Confed Life &amp; Annty (CLIAC)'!G15+'Fidelity Mutual'!G15+'First Capital'!G15+Midcontinent!G15+'Pavonia Life'!G15+Settlers!G15+Shenandoah!G15</f>
        <v>8945769.2387795802</v>
      </c>
      <c r="I15" s="1">
        <f t="shared" si="1"/>
        <v>0</v>
      </c>
      <c r="K15" s="1" t="s">
        <v>8</v>
      </c>
      <c r="L15" s="1">
        <f>SUM(REC_TOTAL)</f>
        <v>100424961.56000003</v>
      </c>
    </row>
    <row r="16" spans="1:12">
      <c r="A16" s="1" t="s">
        <v>27</v>
      </c>
      <c r="B16" s="1">
        <f>+'American Community'!B16+'Confed Life &amp; Annty (CLIAC)'!B16+'Fidelity Mutual'!B16+'First Capital'!B16+Midcontinent!B16+'Pavonia Life'!B16+Settlers!B16+Shenandoah!B16</f>
        <v>3824762.5711467233</v>
      </c>
      <c r="C16" s="1">
        <f>+'American Community'!C16+'Confed Life &amp; Annty (CLIAC)'!C16+'Fidelity Mutual'!C16+'First Capital'!C16+Midcontinent!C16+'Pavonia Life'!C16+Settlers!C16+Shenandoah!C16</f>
        <v>12528.150138787332</v>
      </c>
      <c r="D16" s="1">
        <f>+'American Community'!D16+'Confed Life &amp; Annty (CLIAC)'!D16+'Fidelity Mutual'!D16+'First Capital'!D16+Midcontinent!D16+'Pavonia Life'!D16+Settlers!D16+Shenandoah!D16</f>
        <v>36627.796679322215</v>
      </c>
      <c r="E16" s="1">
        <f>+'American Community'!E16+'Confed Life &amp; Annty (CLIAC)'!E16+'Fidelity Mutual'!E16+'First Capital'!E16+Midcontinent!E16+'Pavonia Life'!E16+Settlers!E16+Shenandoah!E16</f>
        <v>1194.1196759865231</v>
      </c>
      <c r="F16" s="1">
        <f>+'American Community'!F16+'Confed Life &amp; Annty (CLIAC)'!F16+'Fidelity Mutual'!F16+'First Capital'!F16+Midcontinent!F16+'Pavonia Life'!F16+Settlers!F16+Shenandoah!F16</f>
        <v>0</v>
      </c>
      <c r="G16" s="1">
        <f t="shared" si="0"/>
        <v>3875112.6376408194</v>
      </c>
      <c r="H16" s="1">
        <f>+'American Community'!G16+'Confed Life &amp; Annty (CLIAC)'!G16+'Fidelity Mutual'!G16+'First Capital'!G16+Midcontinent!G16+'Pavonia Life'!G16+Settlers!G16+Shenandoah!G16</f>
        <v>3875112.6376408194</v>
      </c>
      <c r="I16" s="1">
        <f t="shared" si="1"/>
        <v>0</v>
      </c>
      <c r="K16" s="1" t="s">
        <v>711</v>
      </c>
      <c r="L16" s="1">
        <f>SUM(TOTAL)</f>
        <v>100424961.56000002</v>
      </c>
    </row>
    <row r="17" spans="1:12">
      <c r="A17" s="1" t="s">
        <v>29</v>
      </c>
      <c r="B17" s="1">
        <f>+'American Community'!B17+'Confed Life &amp; Annty (CLIAC)'!B17+'Fidelity Mutual'!B17+'First Capital'!B17+Midcontinent!B17+'Pavonia Life'!B17+Settlers!B17+Shenandoah!B17</f>
        <v>321136.07973635331</v>
      </c>
      <c r="C17" s="1">
        <f>+'American Community'!C17+'Confed Life &amp; Annty (CLIAC)'!C17+'Fidelity Mutual'!C17+'First Capital'!C17+Midcontinent!C17+'Pavonia Life'!C17+Settlers!C17+Shenandoah!C17</f>
        <v>55.775824940285361</v>
      </c>
      <c r="D17" s="1">
        <f>+'American Community'!D17+'Confed Life &amp; Annty (CLIAC)'!D17+'Fidelity Mutual'!D17+'First Capital'!D17+Midcontinent!D17+'Pavonia Life'!D17+Settlers!D17+Shenandoah!D17</f>
        <v>0</v>
      </c>
      <c r="E17" s="1">
        <f>+'American Community'!E17+'Confed Life &amp; Annty (CLIAC)'!E17+'Fidelity Mutual'!E17+'First Capital'!E17+Midcontinent!E17+'Pavonia Life'!E17+Settlers!E17+Shenandoah!E17</f>
        <v>0</v>
      </c>
      <c r="F17" s="1">
        <f>+'American Community'!F17+'Confed Life &amp; Annty (CLIAC)'!F17+'Fidelity Mutual'!F17+'First Capital'!F17+Midcontinent!F17+'Pavonia Life'!F17+Settlers!F17+Shenandoah!F17</f>
        <v>0</v>
      </c>
      <c r="G17" s="1">
        <f t="shared" si="0"/>
        <v>321191.8555612936</v>
      </c>
      <c r="H17" s="1">
        <f>+'American Community'!G17+'Confed Life &amp; Annty (CLIAC)'!G17+'Fidelity Mutual'!G17+'First Capital'!G17+Midcontinent!G17+'Pavonia Life'!G17+Settlers!G17+Shenandoah!G17</f>
        <v>321191.8555612936</v>
      </c>
      <c r="I17" s="1">
        <f t="shared" si="1"/>
        <v>0</v>
      </c>
      <c r="L17" s="1">
        <f>SUM(TOTAL)-SUM(REC_TOTAL)</f>
        <v>0</v>
      </c>
    </row>
    <row r="18" spans="1:12">
      <c r="A18" s="1" t="s">
        <v>30</v>
      </c>
      <c r="B18" s="1">
        <f>+'American Community'!B18+'Confed Life &amp; Annty (CLIAC)'!B18+'Fidelity Mutual'!B18+'First Capital'!B18+Midcontinent!B18+'Pavonia Life'!B18+Settlers!B18+Shenandoah!B18</f>
        <v>175827.18348600858</v>
      </c>
      <c r="C18" s="1">
        <f>+'American Community'!C18+'Confed Life &amp; Annty (CLIAC)'!C18+'Fidelity Mutual'!C18+'First Capital'!C18+Midcontinent!C18+'Pavonia Life'!C18+Settlers!C18+Shenandoah!C18</f>
        <v>8.6112703671656803</v>
      </c>
      <c r="D18" s="1">
        <f>+'American Community'!D18+'Confed Life &amp; Annty (CLIAC)'!D18+'Fidelity Mutual'!D18+'First Capital'!D18+Midcontinent!D18+'Pavonia Life'!D18+Settlers!D18+Shenandoah!D18</f>
        <v>7946.0598611774758</v>
      </c>
      <c r="E18" s="1">
        <f>+'American Community'!E18+'Confed Life &amp; Annty (CLIAC)'!E18+'Fidelity Mutual'!E18+'First Capital'!E18+Midcontinent!E18+'Pavonia Life'!E18+Settlers!E18+Shenandoah!E18</f>
        <v>0</v>
      </c>
      <c r="F18" s="1">
        <f>+'American Community'!F18+'Confed Life &amp; Annty (CLIAC)'!F18+'Fidelity Mutual'!F18+'First Capital'!F18+Midcontinent!F18+'Pavonia Life'!F18+Settlers!F18+Shenandoah!F18</f>
        <v>0</v>
      </c>
      <c r="G18" s="1">
        <f t="shared" si="0"/>
        <v>183781.85461755321</v>
      </c>
      <c r="H18" s="1">
        <f>+'American Community'!G18+'Confed Life &amp; Annty (CLIAC)'!G18+'Fidelity Mutual'!G18+'First Capital'!G18+Midcontinent!G18+'Pavonia Life'!G18+Settlers!G18+Shenandoah!G18</f>
        <v>183781.85461755318</v>
      </c>
      <c r="I18" s="1">
        <f t="shared" si="1"/>
        <v>0</v>
      </c>
    </row>
    <row r="19" spans="1:12">
      <c r="A19" s="1" t="s">
        <v>32</v>
      </c>
      <c r="B19" s="1">
        <f>+'American Community'!B19+'Confed Life &amp; Annty (CLIAC)'!B19+'Fidelity Mutual'!B19+'First Capital'!B19+Midcontinent!B19+'Pavonia Life'!B19+Settlers!B19+Shenandoah!B19</f>
        <v>4660696.5895444108</v>
      </c>
      <c r="C19" s="1">
        <f>+'American Community'!C19+'Confed Life &amp; Annty (CLIAC)'!C19+'Fidelity Mutual'!C19+'First Capital'!C19+Midcontinent!C19+'Pavonia Life'!C19+Settlers!C19+Shenandoah!C19</f>
        <v>8264.8330442857732</v>
      </c>
      <c r="D19" s="1">
        <f>+'American Community'!D19+'Confed Life &amp; Annty (CLIAC)'!D19+'Fidelity Mutual'!D19+'First Capital'!D19+Midcontinent!D19+'Pavonia Life'!D19+Settlers!D19+Shenandoah!D19</f>
        <v>103247.65707688502</v>
      </c>
      <c r="E19" s="1">
        <f>+'American Community'!E19+'Confed Life &amp; Annty (CLIAC)'!E19+'Fidelity Mutual'!E19+'First Capital'!E19+Midcontinent!E19+'Pavonia Life'!E19+Settlers!E19+Shenandoah!E19</f>
        <v>360.87016875076063</v>
      </c>
      <c r="F19" s="1">
        <f>+'American Community'!F19+'Confed Life &amp; Annty (CLIAC)'!F19+'Fidelity Mutual'!F19+'First Capital'!F19+Midcontinent!F19+'Pavonia Life'!F19+Settlers!F19+Shenandoah!F19</f>
        <v>0</v>
      </c>
      <c r="G19" s="1">
        <f t="shared" si="0"/>
        <v>4772569.9498343328</v>
      </c>
      <c r="H19" s="1">
        <f>+'American Community'!G19+'Confed Life &amp; Annty (CLIAC)'!G19+'Fidelity Mutual'!G19+'First Capital'!G19+Midcontinent!G19+'Pavonia Life'!G19+Settlers!G19+Shenandoah!G19</f>
        <v>4772569.9498343328</v>
      </c>
      <c r="I19" s="1">
        <f t="shared" si="1"/>
        <v>0</v>
      </c>
    </row>
    <row r="20" spans="1:12">
      <c r="A20" s="1" t="s">
        <v>34</v>
      </c>
      <c r="B20" s="1">
        <f>+'American Community'!B20+'Confed Life &amp; Annty (CLIAC)'!B20+'Fidelity Mutual'!B20+'First Capital'!B20+Midcontinent!B20+'Pavonia Life'!B20+Settlers!B20+Shenandoah!B20</f>
        <v>2064725.356041776</v>
      </c>
      <c r="C20" s="1">
        <f>+'American Community'!C20+'Confed Life &amp; Annty (CLIAC)'!C20+'Fidelity Mutual'!C20+'First Capital'!C20+Midcontinent!C20+'Pavonia Life'!C20+Settlers!C20+Shenandoah!C20</f>
        <v>5845.0627301873519</v>
      </c>
      <c r="D20" s="1">
        <f>+'American Community'!D20+'Confed Life &amp; Annty (CLIAC)'!D20+'Fidelity Mutual'!D20+'First Capital'!D20+Midcontinent!D20+'Pavonia Life'!D20+Settlers!D20+Shenandoah!D20</f>
        <v>103653.07342266246</v>
      </c>
      <c r="E20" s="1">
        <f>+'American Community'!E20+'Confed Life &amp; Annty (CLIAC)'!E20+'Fidelity Mutual'!E20+'First Capital'!E20+Midcontinent!E20+'Pavonia Life'!E20+Settlers!E20+Shenandoah!E20</f>
        <v>0</v>
      </c>
      <c r="F20" s="1">
        <f>+'American Community'!F20+'Confed Life &amp; Annty (CLIAC)'!F20+'Fidelity Mutual'!F20+'First Capital'!F20+Midcontinent!F20+'Pavonia Life'!F20+Settlers!F20+Shenandoah!F20</f>
        <v>0</v>
      </c>
      <c r="G20" s="1">
        <f t="shared" si="0"/>
        <v>2174223.492194626</v>
      </c>
      <c r="H20" s="1">
        <f>+'American Community'!G20+'Confed Life &amp; Annty (CLIAC)'!G20+'Fidelity Mutual'!G20+'First Capital'!G20+Midcontinent!G20+'Pavonia Life'!G20+Settlers!G20+Shenandoah!G20</f>
        <v>2174223.4921946255</v>
      </c>
      <c r="I20" s="1">
        <f t="shared" si="1"/>
        <v>0</v>
      </c>
    </row>
    <row r="21" spans="1:12">
      <c r="A21" s="1" t="s">
        <v>36</v>
      </c>
      <c r="B21" s="1">
        <f>+'American Community'!B21+'Confed Life &amp; Annty (CLIAC)'!B21+'Fidelity Mutual'!B21+'First Capital'!B21+Midcontinent!B21+'Pavonia Life'!B21+Settlers!B21+Shenandoah!B21</f>
        <v>478198.93333572027</v>
      </c>
      <c r="C21" s="1">
        <f>+'American Community'!C21+'Confed Life &amp; Annty (CLIAC)'!C21+'Fidelity Mutual'!C21+'First Capital'!C21+Midcontinent!C21+'Pavonia Life'!C21+Settlers!C21+Shenandoah!C21</f>
        <v>727.11727417707016</v>
      </c>
      <c r="D21" s="1">
        <f>+'American Community'!D21+'Confed Life &amp; Annty (CLIAC)'!D21+'Fidelity Mutual'!D21+'First Capital'!D21+Midcontinent!D21+'Pavonia Life'!D21+Settlers!D21+Shenandoah!D21</f>
        <v>27591.707805520822</v>
      </c>
      <c r="E21" s="1">
        <f>+'American Community'!E21+'Confed Life &amp; Annty (CLIAC)'!E21+'Fidelity Mutual'!E21+'First Capital'!E21+Midcontinent!E21+'Pavonia Life'!E21+Settlers!E21+Shenandoah!E21</f>
        <v>0</v>
      </c>
      <c r="F21" s="1">
        <f>+'American Community'!F21+'Confed Life &amp; Annty (CLIAC)'!F21+'Fidelity Mutual'!F21+'First Capital'!F21+Midcontinent!F21+'Pavonia Life'!F21+Settlers!F21+Shenandoah!F21</f>
        <v>0</v>
      </c>
      <c r="G21" s="1">
        <f t="shared" si="0"/>
        <v>506517.75841541815</v>
      </c>
      <c r="H21" s="1">
        <f>+'American Community'!G21+'Confed Life &amp; Annty (CLIAC)'!G21+'Fidelity Mutual'!G21+'First Capital'!G21+Midcontinent!G21+'Pavonia Life'!G21+Settlers!G21+Shenandoah!G21</f>
        <v>506517.75841541815</v>
      </c>
      <c r="I21" s="1">
        <f t="shared" si="1"/>
        <v>0</v>
      </c>
    </row>
    <row r="22" spans="1:12">
      <c r="A22" s="1" t="s">
        <v>38</v>
      </c>
      <c r="B22" s="1">
        <f>+'American Community'!B22+'Confed Life &amp; Annty (CLIAC)'!B22+'Fidelity Mutual'!B22+'First Capital'!B22+Midcontinent!B22+'Pavonia Life'!B22+Settlers!B22+Shenandoah!B22</f>
        <v>630798.18614039267</v>
      </c>
      <c r="C22" s="1">
        <f>+'American Community'!C22+'Confed Life &amp; Annty (CLIAC)'!C22+'Fidelity Mutual'!C22+'First Capital'!C22+Midcontinent!C22+'Pavonia Life'!C22+Settlers!C22+Shenandoah!C22</f>
        <v>330.91548386456759</v>
      </c>
      <c r="D22" s="1">
        <f>+'American Community'!D22+'Confed Life &amp; Annty (CLIAC)'!D22+'Fidelity Mutual'!D22+'First Capital'!D22+Midcontinent!D22+'Pavonia Life'!D22+Settlers!D22+Shenandoah!D22</f>
        <v>22421.091538936009</v>
      </c>
      <c r="E22" s="1">
        <f>+'American Community'!E22+'Confed Life &amp; Annty (CLIAC)'!E22+'Fidelity Mutual'!E22+'First Capital'!E22+Midcontinent!E22+'Pavonia Life'!E22+Settlers!E22+Shenandoah!E22</f>
        <v>0</v>
      </c>
      <c r="F22" s="1">
        <f>+'American Community'!F22+'Confed Life &amp; Annty (CLIAC)'!F22+'Fidelity Mutual'!F22+'First Capital'!F22+Midcontinent!F22+'Pavonia Life'!F22+Settlers!F22+Shenandoah!F22</f>
        <v>0</v>
      </c>
      <c r="G22" s="1">
        <f t="shared" si="0"/>
        <v>653550.1931631933</v>
      </c>
      <c r="H22" s="1">
        <f>+'American Community'!G22+'Confed Life &amp; Annty (CLIAC)'!G22+'Fidelity Mutual'!G22+'First Capital'!G22+Midcontinent!G22+'Pavonia Life'!G22+Settlers!G22+Shenandoah!G22</f>
        <v>653550.1931631933</v>
      </c>
      <c r="I22" s="1">
        <f t="shared" si="1"/>
        <v>0</v>
      </c>
    </row>
    <row r="23" spans="1:12">
      <c r="A23" s="1" t="s">
        <v>40</v>
      </c>
      <c r="B23" s="1">
        <f>+'American Community'!B23+'Confed Life &amp; Annty (CLIAC)'!B23+'Fidelity Mutual'!B23+'First Capital'!B23+Midcontinent!B23+'Pavonia Life'!B23+Settlers!B23+Shenandoah!B23</f>
        <v>884215.21344957221</v>
      </c>
      <c r="C23" s="1">
        <f>+'American Community'!C23+'Confed Life &amp; Annty (CLIAC)'!C23+'Fidelity Mutual'!C23+'First Capital'!C23+Midcontinent!C23+'Pavonia Life'!C23+Settlers!C23+Shenandoah!C23</f>
        <v>6067.8577459874396</v>
      </c>
      <c r="D23" s="1">
        <f>+'American Community'!D23+'Confed Life &amp; Annty (CLIAC)'!D23+'Fidelity Mutual'!D23+'First Capital'!D23+Midcontinent!D23+'Pavonia Life'!D23+Settlers!D23+Shenandoah!D23</f>
        <v>4201.1342966013435</v>
      </c>
      <c r="E23" s="1">
        <f>+'American Community'!E23+'Confed Life &amp; Annty (CLIAC)'!E23+'Fidelity Mutual'!E23+'First Capital'!E23+Midcontinent!E23+'Pavonia Life'!E23+Settlers!E23+Shenandoah!E23</f>
        <v>0</v>
      </c>
      <c r="F23" s="1">
        <f>+'American Community'!F23+'Confed Life &amp; Annty (CLIAC)'!F23+'Fidelity Mutual'!F23+'First Capital'!F23+Midcontinent!F23+'Pavonia Life'!F23+Settlers!F23+Shenandoah!F23</f>
        <v>0</v>
      </c>
      <c r="G23" s="1">
        <f t="shared" si="0"/>
        <v>894484.20549216098</v>
      </c>
      <c r="H23" s="1">
        <f>+'American Community'!G23+'Confed Life &amp; Annty (CLIAC)'!G23+'Fidelity Mutual'!G23+'First Capital'!G23+Midcontinent!G23+'Pavonia Life'!G23+Settlers!G23+Shenandoah!G23</f>
        <v>894484.20549216098</v>
      </c>
      <c r="I23" s="1">
        <f t="shared" si="1"/>
        <v>0</v>
      </c>
    </row>
    <row r="24" spans="1:12">
      <c r="A24" s="1" t="s">
        <v>42</v>
      </c>
      <c r="B24" s="1">
        <f>+'American Community'!B24+'Confed Life &amp; Annty (CLIAC)'!B24+'Fidelity Mutual'!B24+'First Capital'!B24+Midcontinent!B24+'Pavonia Life'!B24+Settlers!B24+Shenandoah!B24</f>
        <v>2110109.0639869552</v>
      </c>
      <c r="C24" s="1">
        <f>+'American Community'!C24+'Confed Life &amp; Annty (CLIAC)'!C24+'Fidelity Mutual'!C24+'First Capital'!C24+Midcontinent!C24+'Pavonia Life'!C24+Settlers!C24+Shenandoah!C24</f>
        <v>7157.8774239005625</v>
      </c>
      <c r="D24" s="1">
        <f>+'American Community'!D24+'Confed Life &amp; Annty (CLIAC)'!D24+'Fidelity Mutual'!D24+'First Capital'!D24+Midcontinent!D24+'Pavonia Life'!D24+Settlers!D24+Shenandoah!D24</f>
        <v>19910.036837507199</v>
      </c>
      <c r="E24" s="1">
        <f>+'American Community'!E24+'Confed Life &amp; Annty (CLIAC)'!E24+'Fidelity Mutual'!E24+'First Capital'!E24+Midcontinent!E24+'Pavonia Life'!E24+Settlers!E24+Shenandoah!E24</f>
        <v>0</v>
      </c>
      <c r="F24" s="1">
        <f>+'American Community'!F24+'Confed Life &amp; Annty (CLIAC)'!F24+'Fidelity Mutual'!F24+'First Capital'!F24+Midcontinent!F24+'Pavonia Life'!F24+Settlers!F24+Shenandoah!F24</f>
        <v>0</v>
      </c>
      <c r="G24" s="1">
        <f t="shared" si="0"/>
        <v>2137176.9782483629</v>
      </c>
      <c r="H24" s="1">
        <f>+'American Community'!G24+'Confed Life &amp; Annty (CLIAC)'!G24+'Fidelity Mutual'!G24+'First Capital'!G24+Midcontinent!G24+'Pavonia Life'!G24+Settlers!G24+Shenandoah!G24</f>
        <v>2137176.9782483634</v>
      </c>
      <c r="I24" s="1">
        <f t="shared" si="1"/>
        <v>0</v>
      </c>
    </row>
    <row r="25" spans="1:12">
      <c r="A25" s="1" t="s">
        <v>44</v>
      </c>
      <c r="B25" s="1">
        <f>+'American Community'!B25+'Confed Life &amp; Annty (CLIAC)'!B25+'Fidelity Mutual'!B25+'First Capital'!B25+Midcontinent!B25+'Pavonia Life'!B25+Settlers!B25+Shenandoah!B25</f>
        <v>370992.2693253929</v>
      </c>
      <c r="C25" s="1">
        <f>+'American Community'!C25+'Confed Life &amp; Annty (CLIAC)'!C25+'Fidelity Mutual'!C25+'First Capital'!C25+Midcontinent!C25+'Pavonia Life'!C25+Settlers!C25+Shenandoah!C25</f>
        <v>5197.1992457284432</v>
      </c>
      <c r="D25" s="1">
        <f>+'American Community'!D25+'Confed Life &amp; Annty (CLIAC)'!D25+'Fidelity Mutual'!D25+'First Capital'!D25+Midcontinent!D25+'Pavonia Life'!D25+Settlers!D25+Shenandoah!D25</f>
        <v>662.42181439358876</v>
      </c>
      <c r="E25" s="1">
        <f>+'American Community'!E25+'Confed Life &amp; Annty (CLIAC)'!E25+'Fidelity Mutual'!E25+'First Capital'!E25+Midcontinent!E25+'Pavonia Life'!E25+Settlers!E25+Shenandoah!E25</f>
        <v>0</v>
      </c>
      <c r="F25" s="1">
        <f>+'American Community'!F25+'Confed Life &amp; Annty (CLIAC)'!F25+'Fidelity Mutual'!F25+'First Capital'!F25+Midcontinent!F25+'Pavonia Life'!F25+Settlers!F25+Shenandoah!F25</f>
        <v>0</v>
      </c>
      <c r="G25" s="1">
        <f t="shared" si="0"/>
        <v>376851.89038551494</v>
      </c>
      <c r="H25" s="1">
        <f>+'American Community'!G25+'Confed Life &amp; Annty (CLIAC)'!G25+'Fidelity Mutual'!G25+'First Capital'!G25+Midcontinent!G25+'Pavonia Life'!G25+Settlers!G25+Shenandoah!G25</f>
        <v>376851.89038551494</v>
      </c>
      <c r="I25" s="1">
        <f t="shared" si="1"/>
        <v>0</v>
      </c>
    </row>
    <row r="26" spans="1:12">
      <c r="A26" s="1" t="s">
        <v>45</v>
      </c>
      <c r="B26" s="1">
        <f>+'American Community'!B26+'Confed Life &amp; Annty (CLIAC)'!B26+'Fidelity Mutual'!B26+'First Capital'!B26+Midcontinent!B26+'Pavonia Life'!B26+Settlers!B26+Shenandoah!B26</f>
        <v>2966882.5891708001</v>
      </c>
      <c r="C26" s="1">
        <f>+'American Community'!C26+'Confed Life &amp; Annty (CLIAC)'!C26+'Fidelity Mutual'!C26+'First Capital'!C26+Midcontinent!C26+'Pavonia Life'!C26+Settlers!C26+Shenandoah!C26</f>
        <v>4531.2985178440122</v>
      </c>
      <c r="D26" s="1">
        <f>+'American Community'!D26+'Confed Life &amp; Annty (CLIAC)'!D26+'Fidelity Mutual'!D26+'First Capital'!D26+Midcontinent!D26+'Pavonia Life'!D26+Settlers!D26+Shenandoah!D26</f>
        <v>88836.780717429385</v>
      </c>
      <c r="E26" s="1">
        <f>+'American Community'!E26+'Confed Life &amp; Annty (CLIAC)'!E26+'Fidelity Mutual'!E26+'First Capital'!E26+Midcontinent!E26+'Pavonia Life'!E26+Settlers!E26+Shenandoah!E26</f>
        <v>0</v>
      </c>
      <c r="F26" s="1">
        <f>+'American Community'!F26+'Confed Life &amp; Annty (CLIAC)'!F26+'Fidelity Mutual'!F26+'First Capital'!F26+Midcontinent!F26+'Pavonia Life'!F26+Settlers!F26+Shenandoah!F26</f>
        <v>0</v>
      </c>
      <c r="G26" s="1">
        <f t="shared" si="0"/>
        <v>3060250.6684060735</v>
      </c>
      <c r="H26" s="1">
        <f>+'American Community'!G26+'Confed Life &amp; Annty (CLIAC)'!G26+'Fidelity Mutual'!G26+'First Capital'!G26+Midcontinent!G26+'Pavonia Life'!G26+Settlers!G26+Shenandoah!G26</f>
        <v>3060250.6684060735</v>
      </c>
      <c r="I26" s="1">
        <f t="shared" si="1"/>
        <v>0</v>
      </c>
    </row>
    <row r="27" spans="1:12">
      <c r="A27" s="1" t="s">
        <v>47</v>
      </c>
      <c r="B27" s="1">
        <f>+'American Community'!B27+'Confed Life &amp; Annty (CLIAC)'!B27+'Fidelity Mutual'!B27+'First Capital'!B27+Midcontinent!B27+'Pavonia Life'!B27+Settlers!B27+Shenandoah!B27</f>
        <v>2132678.4274861501</v>
      </c>
      <c r="C27" s="1">
        <f>+'American Community'!C27+'Confed Life &amp; Annty (CLIAC)'!C27+'Fidelity Mutual'!C27+'First Capital'!C27+Midcontinent!C27+'Pavonia Life'!C27+Settlers!C27+Shenandoah!C27</f>
        <v>2735.900303098786</v>
      </c>
      <c r="D27" s="1">
        <f>+'American Community'!D27+'Confed Life &amp; Annty (CLIAC)'!D27+'Fidelity Mutual'!D27+'First Capital'!D27+Midcontinent!D27+'Pavonia Life'!D27+Settlers!D27+Shenandoah!D27</f>
        <v>91378.18744776817</v>
      </c>
      <c r="E27" s="1">
        <f>+'American Community'!E27+'Confed Life &amp; Annty (CLIAC)'!E27+'Fidelity Mutual'!E27+'First Capital'!E27+Midcontinent!E27+'Pavonia Life'!E27+Settlers!E27+Shenandoah!E27</f>
        <v>0</v>
      </c>
      <c r="F27" s="1">
        <f>+'American Community'!F27+'Confed Life &amp; Annty (CLIAC)'!F27+'Fidelity Mutual'!F27+'First Capital'!F27+Midcontinent!F27+'Pavonia Life'!F27+Settlers!F27+Shenandoah!F27</f>
        <v>0</v>
      </c>
      <c r="G27" s="1">
        <f t="shared" si="0"/>
        <v>2226792.5152370171</v>
      </c>
      <c r="H27" s="1">
        <f>+'American Community'!G27+'Confed Life &amp; Annty (CLIAC)'!G27+'Fidelity Mutual'!G27+'First Capital'!G27+Midcontinent!G27+'Pavonia Life'!G27+Settlers!G27+Shenandoah!G27</f>
        <v>2226792.5152370171</v>
      </c>
      <c r="I27" s="1">
        <f t="shared" si="1"/>
        <v>0</v>
      </c>
    </row>
    <row r="28" spans="1:12">
      <c r="A28" s="1" t="s">
        <v>49</v>
      </c>
      <c r="B28" s="1">
        <f>+'American Community'!B28+'Confed Life &amp; Annty (CLIAC)'!B28+'Fidelity Mutual'!B28+'First Capital'!B28+Midcontinent!B28+'Pavonia Life'!B28+Settlers!B28+Shenandoah!B28</f>
        <v>2074580.0436600761</v>
      </c>
      <c r="C28" s="1">
        <f>+'American Community'!C28+'Confed Life &amp; Annty (CLIAC)'!C28+'Fidelity Mutual'!C28+'First Capital'!C28+Midcontinent!C28+'Pavonia Life'!C28+Settlers!C28+Shenandoah!C28</f>
        <v>6513.2116479248452</v>
      </c>
      <c r="D28" s="1">
        <f>+'American Community'!D28+'Confed Life &amp; Annty (CLIAC)'!D28+'Fidelity Mutual'!D28+'First Capital'!D28+Midcontinent!D28+'Pavonia Life'!D28+Settlers!D28+Shenandoah!D28</f>
        <v>109243.04798440528</v>
      </c>
      <c r="E28" s="1">
        <f>+'American Community'!E28+'Confed Life &amp; Annty (CLIAC)'!E28+'Fidelity Mutual'!E28+'First Capital'!E28+Midcontinent!E28+'Pavonia Life'!E28+Settlers!E28+Shenandoah!E28</f>
        <v>748.10052834782493</v>
      </c>
      <c r="F28" s="1">
        <f>+'American Community'!F28+'Confed Life &amp; Annty (CLIAC)'!F28+'Fidelity Mutual'!F28+'First Capital'!F28+Midcontinent!F28+'Pavonia Life'!F28+Settlers!F28+Shenandoah!F28</f>
        <v>0</v>
      </c>
      <c r="G28" s="1">
        <f t="shared" si="0"/>
        <v>2191084.403820754</v>
      </c>
      <c r="H28" s="1">
        <f>+'American Community'!G28+'Confed Life &amp; Annty (CLIAC)'!G28+'Fidelity Mutual'!G28+'First Capital'!G28+Midcontinent!G28+'Pavonia Life'!G28+Settlers!G28+Shenandoah!G28</f>
        <v>2191084.403820754</v>
      </c>
      <c r="I28" s="1">
        <f t="shared" si="1"/>
        <v>0</v>
      </c>
    </row>
    <row r="29" spans="1:12">
      <c r="A29" s="1" t="s">
        <v>50</v>
      </c>
      <c r="B29" s="1">
        <f>+'American Community'!B29+'Confed Life &amp; Annty (CLIAC)'!B29+'Fidelity Mutual'!B29+'First Capital'!B29+Midcontinent!B29+'Pavonia Life'!B29+Settlers!B29+Shenandoah!B29</f>
        <v>979481.193372885</v>
      </c>
      <c r="C29" s="1">
        <f>+'American Community'!C29+'Confed Life &amp; Annty (CLIAC)'!C29+'Fidelity Mutual'!C29+'First Capital'!C29+Midcontinent!C29+'Pavonia Life'!C29+Settlers!C29+Shenandoah!C29</f>
        <v>192.9784195548971</v>
      </c>
      <c r="D29" s="1">
        <f>+'American Community'!D29+'Confed Life &amp; Annty (CLIAC)'!D29+'Fidelity Mutual'!D29+'First Capital'!D29+Midcontinent!D29+'Pavonia Life'!D29+Settlers!D29+Shenandoah!D29</f>
        <v>29847.555957345678</v>
      </c>
      <c r="E29" s="1">
        <f>+'American Community'!E29+'Confed Life &amp; Annty (CLIAC)'!E29+'Fidelity Mutual'!E29+'First Capital'!E29+Midcontinent!E29+'Pavonia Life'!E29+Settlers!E29+Shenandoah!E29</f>
        <v>0</v>
      </c>
      <c r="F29" s="1">
        <f>+'American Community'!F29+'Confed Life &amp; Annty (CLIAC)'!F29+'Fidelity Mutual'!F29+'First Capital'!F29+Midcontinent!F29+'Pavonia Life'!F29+Settlers!F29+Shenandoah!F29</f>
        <v>0</v>
      </c>
      <c r="G29" s="1">
        <f t="shared" si="0"/>
        <v>1009521.7277497855</v>
      </c>
      <c r="H29" s="1">
        <f>+'American Community'!G29+'Confed Life &amp; Annty (CLIAC)'!G29+'Fidelity Mutual'!G29+'First Capital'!G29+Midcontinent!G29+'Pavonia Life'!G29+Settlers!G29+Shenandoah!G29</f>
        <v>1009521.7277497855</v>
      </c>
      <c r="I29" s="1">
        <f t="shared" si="1"/>
        <v>0</v>
      </c>
    </row>
    <row r="30" spans="1:12">
      <c r="A30" s="1" t="s">
        <v>51</v>
      </c>
      <c r="B30" s="1">
        <f>+'American Community'!B30+'Confed Life &amp; Annty (CLIAC)'!B30+'Fidelity Mutual'!B30+'First Capital'!B30+Midcontinent!B30+'Pavonia Life'!B30+Settlers!B30+Shenandoah!B30</f>
        <v>766014.3043446606</v>
      </c>
      <c r="C30" s="1">
        <f>+'American Community'!C30+'Confed Life &amp; Annty (CLIAC)'!C30+'Fidelity Mutual'!C30+'First Capital'!C30+Midcontinent!C30+'Pavonia Life'!C30+Settlers!C30+Shenandoah!C30</f>
        <v>2333.6686515046349</v>
      </c>
      <c r="D30" s="1">
        <f>+'American Community'!D30+'Confed Life &amp; Annty (CLIAC)'!D30+'Fidelity Mutual'!D30+'First Capital'!D30+Midcontinent!D30+'Pavonia Life'!D30+Settlers!D30+Shenandoah!D30</f>
        <v>2577.3779114639797</v>
      </c>
      <c r="E30" s="1">
        <f>+'American Community'!E30+'Confed Life &amp; Annty (CLIAC)'!E30+'Fidelity Mutual'!E30+'First Capital'!E30+Midcontinent!E30+'Pavonia Life'!E30+Settlers!E30+Shenandoah!E30</f>
        <v>0</v>
      </c>
      <c r="F30" s="1">
        <f>+'American Community'!F30+'Confed Life &amp; Annty (CLIAC)'!F30+'Fidelity Mutual'!F30+'First Capital'!F30+Midcontinent!F30+'Pavonia Life'!F30+Settlers!F30+Shenandoah!F30</f>
        <v>0</v>
      </c>
      <c r="G30" s="1">
        <f t="shared" si="0"/>
        <v>770925.35090762924</v>
      </c>
      <c r="H30" s="1">
        <f>+'American Community'!G30+'Confed Life &amp; Annty (CLIAC)'!G30+'Fidelity Mutual'!G30+'First Capital'!G30+Midcontinent!G30+'Pavonia Life'!G30+Settlers!G30+Shenandoah!G30</f>
        <v>770925.35090762924</v>
      </c>
      <c r="I30" s="1">
        <f t="shared" si="1"/>
        <v>0</v>
      </c>
    </row>
    <row r="31" spans="1:12">
      <c r="A31" s="1" t="s">
        <v>52</v>
      </c>
      <c r="B31" s="1">
        <f>+'American Community'!B31+'Confed Life &amp; Annty (CLIAC)'!B31+'Fidelity Mutual'!B31+'First Capital'!B31+Midcontinent!B31+'Pavonia Life'!B31+Settlers!B31+Shenandoah!B31</f>
        <v>1267610.0433572761</v>
      </c>
      <c r="C31" s="1">
        <f>+'American Community'!C31+'Confed Life &amp; Annty (CLIAC)'!C31+'Fidelity Mutual'!C31+'First Capital'!C31+Midcontinent!C31+'Pavonia Life'!C31+Settlers!C31+Shenandoah!C31</f>
        <v>1935.6623832243786</v>
      </c>
      <c r="D31" s="1">
        <f>+'American Community'!D31+'Confed Life &amp; Annty (CLIAC)'!D31+'Fidelity Mutual'!D31+'First Capital'!D31+Midcontinent!D31+'Pavonia Life'!D31+Settlers!D31+Shenandoah!D31</f>
        <v>46574.020168905801</v>
      </c>
      <c r="E31" s="1">
        <f>+'American Community'!E31+'Confed Life &amp; Annty (CLIAC)'!E31+'Fidelity Mutual'!E31+'First Capital'!E31+Midcontinent!E31+'Pavonia Life'!E31+Settlers!E31+Shenandoah!E31</f>
        <v>0</v>
      </c>
      <c r="F31" s="1">
        <f>+'American Community'!F31+'Confed Life &amp; Annty (CLIAC)'!F31+'Fidelity Mutual'!F31+'First Capital'!F31+Midcontinent!F31+'Pavonia Life'!F31+Settlers!F31+Shenandoah!F31</f>
        <v>0</v>
      </c>
      <c r="G31" s="1">
        <f t="shared" si="0"/>
        <v>1316119.7259094063</v>
      </c>
      <c r="H31" s="1">
        <f>+'American Community'!G31+'Confed Life &amp; Annty (CLIAC)'!G31+'Fidelity Mutual'!G31+'First Capital'!G31+Midcontinent!G31+'Pavonia Life'!G31+Settlers!G31+Shenandoah!G31</f>
        <v>1316119.7259094063</v>
      </c>
      <c r="I31" s="1">
        <f t="shared" si="1"/>
        <v>0</v>
      </c>
    </row>
    <row r="32" spans="1:12">
      <c r="A32" s="1" t="s">
        <v>53</v>
      </c>
      <c r="B32" s="1">
        <f>+'American Community'!B32+'Confed Life &amp; Annty (CLIAC)'!B32+'Fidelity Mutual'!B32+'First Capital'!B32+Midcontinent!B32+'Pavonia Life'!B32+Settlers!B32+Shenandoah!B32</f>
        <v>211457.8624911122</v>
      </c>
      <c r="C32" s="1">
        <f>+'American Community'!C32+'Confed Life &amp; Annty (CLIAC)'!C32+'Fidelity Mutual'!C32+'First Capital'!C32+Midcontinent!C32+'Pavonia Life'!C32+Settlers!C32+Shenandoah!C32</f>
        <v>0</v>
      </c>
      <c r="D32" s="1">
        <f>+'American Community'!D32+'Confed Life &amp; Annty (CLIAC)'!D32+'Fidelity Mutual'!D32+'First Capital'!D32+Midcontinent!D32+'Pavonia Life'!D32+Settlers!D32+Shenandoah!D32</f>
        <v>331.21090719679438</v>
      </c>
      <c r="E32" s="1">
        <f>+'American Community'!E32+'Confed Life &amp; Annty (CLIAC)'!E32+'Fidelity Mutual'!E32+'First Capital'!E32+Midcontinent!E32+'Pavonia Life'!E32+Settlers!E32+Shenandoah!E32</f>
        <v>0</v>
      </c>
      <c r="F32" s="1">
        <f>+'American Community'!F32+'Confed Life &amp; Annty (CLIAC)'!F32+'Fidelity Mutual'!F32+'First Capital'!F32+Midcontinent!F32+'Pavonia Life'!F32+Settlers!F32+Shenandoah!F32</f>
        <v>0</v>
      </c>
      <c r="G32" s="1">
        <f t="shared" si="0"/>
        <v>211789.073398309</v>
      </c>
      <c r="H32" s="1">
        <f>+'American Community'!G32+'Confed Life &amp; Annty (CLIAC)'!G32+'Fidelity Mutual'!G32+'First Capital'!G32+Midcontinent!G32+'Pavonia Life'!G32+Settlers!G32+Shenandoah!G32</f>
        <v>211789.073398309</v>
      </c>
      <c r="I32" s="1">
        <f t="shared" si="1"/>
        <v>0</v>
      </c>
    </row>
    <row r="33" spans="1:9">
      <c r="A33" s="1" t="s">
        <v>54</v>
      </c>
      <c r="B33" s="1">
        <f>+'American Community'!B33+'Confed Life &amp; Annty (CLIAC)'!B33+'Fidelity Mutual'!B33+'First Capital'!B33+Midcontinent!B33+'Pavonia Life'!B33+Settlers!B33+Shenandoah!B33</f>
        <v>360167.74206646148</v>
      </c>
      <c r="C33" s="1">
        <f>+'American Community'!C33+'Confed Life &amp; Annty (CLIAC)'!C33+'Fidelity Mutual'!C33+'First Capital'!C33+Midcontinent!C33+'Pavonia Life'!C33+Settlers!C33+Shenandoah!C33</f>
        <v>294.88975218956273</v>
      </c>
      <c r="D33" s="1">
        <f>+'American Community'!D33+'Confed Life &amp; Annty (CLIAC)'!D33+'Fidelity Mutual'!D33+'First Capital'!D33+Midcontinent!D33+'Pavonia Life'!D33+Settlers!D33+Shenandoah!D33</f>
        <v>30971.075023054451</v>
      </c>
      <c r="E33" s="1">
        <f>+'American Community'!E33+'Confed Life &amp; Annty (CLIAC)'!E33+'Fidelity Mutual'!E33+'First Capital'!E33+Midcontinent!E33+'Pavonia Life'!E33+Settlers!E33+Shenandoah!E33</f>
        <v>0</v>
      </c>
      <c r="F33" s="1">
        <f>+'American Community'!F33+'Confed Life &amp; Annty (CLIAC)'!F33+'Fidelity Mutual'!F33+'First Capital'!F33+Midcontinent!F33+'Pavonia Life'!F33+Settlers!F33+Shenandoah!F33</f>
        <v>0</v>
      </c>
      <c r="G33" s="1">
        <f t="shared" si="0"/>
        <v>391433.70684170548</v>
      </c>
      <c r="H33" s="1">
        <f>+'American Community'!G33+'Confed Life &amp; Annty (CLIAC)'!G33+'Fidelity Mutual'!G33+'First Capital'!G33+Midcontinent!G33+'Pavonia Life'!G33+Settlers!G33+Shenandoah!G33</f>
        <v>391433.70684170548</v>
      </c>
      <c r="I33" s="1">
        <f t="shared" si="1"/>
        <v>0</v>
      </c>
    </row>
    <row r="34" spans="1:9">
      <c r="A34" s="1" t="s">
        <v>55</v>
      </c>
      <c r="B34" s="1">
        <f>+'American Community'!B34+'Confed Life &amp; Annty (CLIAC)'!B34+'Fidelity Mutual'!B34+'First Capital'!B34+Midcontinent!B34+'Pavonia Life'!B34+Settlers!B34+Shenandoah!B34</f>
        <v>1084644.2677097626</v>
      </c>
      <c r="C34" s="1">
        <f>+'American Community'!C34+'Confed Life &amp; Annty (CLIAC)'!C34+'Fidelity Mutual'!C34+'First Capital'!C34+Midcontinent!C34+'Pavonia Life'!C34+Settlers!C34+Shenandoah!C34</f>
        <v>7.7035187164677623</v>
      </c>
      <c r="D34" s="1">
        <f>+'American Community'!D34+'Confed Life &amp; Annty (CLIAC)'!D34+'Fidelity Mutual'!D34+'First Capital'!D34+Midcontinent!D34+'Pavonia Life'!D34+Settlers!D34+Shenandoah!D34</f>
        <v>6952.9511439567113</v>
      </c>
      <c r="E34" s="1">
        <f>+'American Community'!E34+'Confed Life &amp; Annty (CLIAC)'!E34+'Fidelity Mutual'!E34+'First Capital'!E34+Midcontinent!E34+'Pavonia Life'!E34+Settlers!E34+Shenandoah!E34</f>
        <v>0</v>
      </c>
      <c r="F34" s="1">
        <f>+'American Community'!F34+'Confed Life &amp; Annty (CLIAC)'!F34+'Fidelity Mutual'!F34+'First Capital'!F34+Midcontinent!F34+'Pavonia Life'!F34+Settlers!F34+Shenandoah!F34</f>
        <v>0</v>
      </c>
      <c r="G34" s="1">
        <f t="shared" si="0"/>
        <v>1091604.9223724357</v>
      </c>
      <c r="H34" s="1">
        <f>+'American Community'!G34+'Confed Life &amp; Annty (CLIAC)'!G34+'Fidelity Mutual'!G34+'First Capital'!G34+Midcontinent!G34+'Pavonia Life'!G34+Settlers!G34+Shenandoah!G34</f>
        <v>1091604.9223724355</v>
      </c>
      <c r="I34" s="1">
        <f t="shared" si="1"/>
        <v>0</v>
      </c>
    </row>
    <row r="35" spans="1:9">
      <c r="A35" s="1" t="s">
        <v>56</v>
      </c>
      <c r="B35" s="1">
        <f>+'American Community'!B35+'Confed Life &amp; Annty (CLIAC)'!B35+'Fidelity Mutual'!B35+'First Capital'!B35+Midcontinent!B35+'Pavonia Life'!B35+Settlers!B35+Shenandoah!B35</f>
        <v>376447.93988079752</v>
      </c>
      <c r="C35" s="1">
        <f>+'American Community'!C35+'Confed Life &amp; Annty (CLIAC)'!C35+'Fidelity Mutual'!C35+'First Capital'!C35+Midcontinent!C35+'Pavonia Life'!C35+Settlers!C35+Shenandoah!C35</f>
        <v>305.75621289070995</v>
      </c>
      <c r="D35" s="1">
        <f>+'American Community'!D35+'Confed Life &amp; Annty (CLIAC)'!D35+'Fidelity Mutual'!D35+'First Capital'!D35+Midcontinent!D35+'Pavonia Life'!D35+Settlers!D35+Shenandoah!D35</f>
        <v>0</v>
      </c>
      <c r="E35" s="1">
        <f>+'American Community'!E35+'Confed Life &amp; Annty (CLIAC)'!E35+'Fidelity Mutual'!E35+'First Capital'!E35+Midcontinent!E35+'Pavonia Life'!E35+Settlers!E35+Shenandoah!E35</f>
        <v>0</v>
      </c>
      <c r="F35" s="1">
        <f>+'American Community'!F35+'Confed Life &amp; Annty (CLIAC)'!F35+'Fidelity Mutual'!F35+'First Capital'!F35+Midcontinent!F35+'Pavonia Life'!F35+Settlers!F35+Shenandoah!F35</f>
        <v>0</v>
      </c>
      <c r="G35" s="1">
        <f t="shared" si="0"/>
        <v>376753.69609368825</v>
      </c>
      <c r="H35" s="1">
        <f>+'American Community'!G35+'Confed Life &amp; Annty (CLIAC)'!G35+'Fidelity Mutual'!G35+'First Capital'!G35+Midcontinent!G35+'Pavonia Life'!G35+Settlers!G35+Shenandoah!G35</f>
        <v>376753.69609368825</v>
      </c>
      <c r="I35" s="1">
        <f t="shared" si="1"/>
        <v>0</v>
      </c>
    </row>
    <row r="36" spans="1:9">
      <c r="A36" s="1" t="s">
        <v>57</v>
      </c>
      <c r="B36" s="1">
        <f>+'American Community'!B36+'Confed Life &amp; Annty (CLIAC)'!B36+'Fidelity Mutual'!B36+'First Capital'!B36+Midcontinent!B36+'Pavonia Life'!B36+Settlers!B36+Shenandoah!B36</f>
        <v>5685790.2207253715</v>
      </c>
      <c r="C36" s="1">
        <f>+'American Community'!C36+'Confed Life &amp; Annty (CLIAC)'!C36+'Fidelity Mutual'!C36+'First Capital'!C36+Midcontinent!C36+'Pavonia Life'!C36+Settlers!C36+Shenandoah!C36</f>
        <v>5513.1751090383914</v>
      </c>
      <c r="D36" s="1">
        <f>+'American Community'!D36+'Confed Life &amp; Annty (CLIAC)'!D36+'Fidelity Mutual'!D36+'First Capital'!D36+Midcontinent!D36+'Pavonia Life'!D36+Settlers!D36+Shenandoah!D36</f>
        <v>24809.247971748067</v>
      </c>
      <c r="E36" s="1">
        <f>+'American Community'!E36+'Confed Life &amp; Annty (CLIAC)'!E36+'Fidelity Mutual'!E36+'First Capital'!E36+Midcontinent!E36+'Pavonia Life'!E36+Settlers!E36+Shenandoah!E36</f>
        <v>2637.5875582230933</v>
      </c>
      <c r="F36" s="1">
        <f>+'American Community'!F36+'Confed Life &amp; Annty (CLIAC)'!F36+'Fidelity Mutual'!F36+'First Capital'!F36+Midcontinent!F36+'Pavonia Life'!F36+Settlers!F36+Shenandoah!F36</f>
        <v>0</v>
      </c>
      <c r="G36" s="1">
        <f t="shared" si="0"/>
        <v>5718750.2313643806</v>
      </c>
      <c r="H36" s="1">
        <f>+'American Community'!G36+'Confed Life &amp; Annty (CLIAC)'!G36+'Fidelity Mutual'!G36+'First Capital'!G36+Midcontinent!G36+'Pavonia Life'!G36+Settlers!G36+Shenandoah!G36</f>
        <v>5718750.2313643806</v>
      </c>
      <c r="I36" s="1">
        <f t="shared" si="1"/>
        <v>0</v>
      </c>
    </row>
    <row r="37" spans="1:9">
      <c r="A37" s="1" t="s">
        <v>58</v>
      </c>
      <c r="B37" s="1">
        <f>+'American Community'!B37+'Confed Life &amp; Annty (CLIAC)'!B37+'Fidelity Mutual'!B37+'First Capital'!B37+Midcontinent!B37+'Pavonia Life'!B37+Settlers!B37+Shenandoah!B37</f>
        <v>521058.58670073841</v>
      </c>
      <c r="C37" s="1">
        <f>+'American Community'!C37+'Confed Life &amp; Annty (CLIAC)'!C37+'Fidelity Mutual'!C37+'First Capital'!C37+Midcontinent!C37+'Pavonia Life'!C37+Settlers!C37+Shenandoah!C37</f>
        <v>336.85384499459815</v>
      </c>
      <c r="D37" s="1">
        <f>+'American Community'!D37+'Confed Life &amp; Annty (CLIAC)'!D37+'Fidelity Mutual'!D37+'First Capital'!D37+Midcontinent!D37+'Pavonia Life'!D37+Settlers!D37+Shenandoah!D37</f>
        <v>20771.952045953418</v>
      </c>
      <c r="E37" s="1">
        <f>+'American Community'!E37+'Confed Life &amp; Annty (CLIAC)'!E37+'Fidelity Mutual'!E37+'First Capital'!E37+Midcontinent!E37+'Pavonia Life'!E37+Settlers!E37+Shenandoah!E37</f>
        <v>0</v>
      </c>
      <c r="F37" s="1">
        <f>+'American Community'!F37+'Confed Life &amp; Annty (CLIAC)'!F37+'Fidelity Mutual'!F37+'First Capital'!F37+Midcontinent!F37+'Pavonia Life'!F37+Settlers!F37+Shenandoah!F37</f>
        <v>0</v>
      </c>
      <c r="G37" s="1">
        <f t="shared" si="0"/>
        <v>542167.39259168645</v>
      </c>
      <c r="H37" s="1">
        <f>+'American Community'!G37+'Confed Life &amp; Annty (CLIAC)'!G37+'Fidelity Mutual'!G37+'First Capital'!G37+Midcontinent!G37+'Pavonia Life'!G37+Settlers!G37+Shenandoah!G37</f>
        <v>542167.39259168645</v>
      </c>
      <c r="I37" s="1">
        <f t="shared" si="1"/>
        <v>0</v>
      </c>
    </row>
    <row r="38" spans="1:9">
      <c r="A38" s="1" t="s">
        <v>59</v>
      </c>
      <c r="B38" s="1">
        <f>+'American Community'!B38+'Confed Life &amp; Annty (CLIAC)'!B38+'Fidelity Mutual'!B38+'First Capital'!B38+Midcontinent!B38+'Pavonia Life'!B38+Settlers!B38+Shenandoah!B38</f>
        <v>66077.781985260372</v>
      </c>
      <c r="C38" s="1">
        <f>+'American Community'!C38+'Confed Life &amp; Annty (CLIAC)'!C38+'Fidelity Mutual'!C38+'First Capital'!C38+Midcontinent!C38+'Pavonia Life'!C38+Settlers!C38+Shenandoah!C38</f>
        <v>8241.2230776572706</v>
      </c>
      <c r="D38" s="1">
        <f>+'American Community'!D38+'Confed Life &amp; Annty (CLIAC)'!D38+'Fidelity Mutual'!D38+'First Capital'!D38+Midcontinent!D38+'Pavonia Life'!D38+Settlers!D38+Shenandoah!D38</f>
        <v>0</v>
      </c>
      <c r="E38" s="1">
        <f>+'American Community'!E38+'Confed Life &amp; Annty (CLIAC)'!E38+'Fidelity Mutual'!E38+'First Capital'!E38+Midcontinent!E38+'Pavonia Life'!E38+Settlers!E38+Shenandoah!E38</f>
        <v>2625.4326901761783</v>
      </c>
      <c r="F38" s="1">
        <f>+'American Community'!F38+'Confed Life &amp; Annty (CLIAC)'!F38+'Fidelity Mutual'!F38+'First Capital'!F38+Midcontinent!F38+'Pavonia Life'!F38+Settlers!F38+Shenandoah!F38</f>
        <v>0</v>
      </c>
      <c r="G38" s="1">
        <f t="shared" ref="G38:G58" si="2">SUM(B38:F38)</f>
        <v>76944.437753093822</v>
      </c>
      <c r="H38" s="1">
        <f>+'American Community'!G38+'Confed Life &amp; Annty (CLIAC)'!G38+'Fidelity Mutual'!G38+'First Capital'!G38+Midcontinent!G38+'Pavonia Life'!G38+Settlers!G38+Shenandoah!G38</f>
        <v>76944.437753093822</v>
      </c>
      <c r="I38" s="1">
        <f t="shared" ref="I38:I58" si="3">G38-H38</f>
        <v>0</v>
      </c>
    </row>
    <row r="39" spans="1:9">
      <c r="A39" s="1" t="s">
        <v>60</v>
      </c>
      <c r="B39" s="1">
        <f>+'American Community'!B39+'Confed Life &amp; Annty (CLIAC)'!B39+'Fidelity Mutual'!B39+'First Capital'!B39+Midcontinent!B39+'Pavonia Life'!B39+Settlers!B39+Shenandoah!B39</f>
        <v>3922698.619638586</v>
      </c>
      <c r="C39" s="1">
        <f>+'American Community'!C39+'Confed Life &amp; Annty (CLIAC)'!C39+'Fidelity Mutual'!C39+'First Capital'!C39+Midcontinent!C39+'Pavonia Life'!C39+Settlers!C39+Shenandoah!C39</f>
        <v>52332.193987086954</v>
      </c>
      <c r="D39" s="1">
        <f>+'American Community'!D39+'Confed Life &amp; Annty (CLIAC)'!D39+'Fidelity Mutual'!D39+'First Capital'!D39+Midcontinent!D39+'Pavonia Life'!D39+Settlers!D39+Shenandoah!D39</f>
        <v>238581.66821437798</v>
      </c>
      <c r="E39" s="1">
        <f>+'American Community'!E39+'Confed Life &amp; Annty (CLIAC)'!E39+'Fidelity Mutual'!E39+'First Capital'!E39+Midcontinent!E39+'Pavonia Life'!E39+Settlers!E39+Shenandoah!E39</f>
        <v>3367.4268659084501</v>
      </c>
      <c r="F39" s="1">
        <f>+'American Community'!F39+'Confed Life &amp; Annty (CLIAC)'!F39+'Fidelity Mutual'!F39+'First Capital'!F39+Midcontinent!F39+'Pavonia Life'!F39+Settlers!F39+Shenandoah!F39</f>
        <v>0</v>
      </c>
      <c r="G39" s="1">
        <f t="shared" si="2"/>
        <v>4216979.9087059591</v>
      </c>
      <c r="H39" s="1">
        <f>+'American Community'!G39+'Confed Life &amp; Annty (CLIAC)'!G39+'Fidelity Mutual'!G39+'First Capital'!G39+Midcontinent!G39+'Pavonia Life'!G39+Settlers!G39+Shenandoah!G39</f>
        <v>4216979.90870596</v>
      </c>
      <c r="I39" s="1">
        <f t="shared" si="3"/>
        <v>0</v>
      </c>
    </row>
    <row r="40" spans="1:9">
      <c r="A40" s="1" t="s">
        <v>61</v>
      </c>
      <c r="B40" s="1">
        <f>+'American Community'!B40+'Confed Life &amp; Annty (CLIAC)'!B40+'Fidelity Mutual'!B40+'First Capital'!B40+Midcontinent!B40+'Pavonia Life'!B40+Settlers!B40+Shenandoah!B40</f>
        <v>190018.46349933534</v>
      </c>
      <c r="C40" s="1">
        <f>+'American Community'!C40+'Confed Life &amp; Annty (CLIAC)'!C40+'Fidelity Mutual'!C40+'First Capital'!C40+Midcontinent!C40+'Pavonia Life'!C40+Settlers!C40+Shenandoah!C40</f>
        <v>0</v>
      </c>
      <c r="D40" s="1">
        <f>+'American Community'!D40+'Confed Life &amp; Annty (CLIAC)'!D40+'Fidelity Mutual'!D40+'First Capital'!D40+Midcontinent!D40+'Pavonia Life'!D40+Settlers!D40+Shenandoah!D40</f>
        <v>1.9762207348083973</v>
      </c>
      <c r="E40" s="1">
        <f>+'American Community'!E40+'Confed Life &amp; Annty (CLIAC)'!E40+'Fidelity Mutual'!E40+'First Capital'!E40+Midcontinent!E40+'Pavonia Life'!E40+Settlers!E40+Shenandoah!E40</f>
        <v>0</v>
      </c>
      <c r="F40" s="1">
        <f>+'American Community'!F40+'Confed Life &amp; Annty (CLIAC)'!F40+'Fidelity Mutual'!F40+'First Capital'!F40+Midcontinent!F40+'Pavonia Life'!F40+Settlers!F40+Shenandoah!F40</f>
        <v>0</v>
      </c>
      <c r="G40" s="1">
        <f t="shared" si="2"/>
        <v>190020.43972007014</v>
      </c>
      <c r="H40" s="1">
        <f>+'American Community'!G40+'Confed Life &amp; Annty (CLIAC)'!G40+'Fidelity Mutual'!G40+'First Capital'!G40+Midcontinent!G40+'Pavonia Life'!G40+Settlers!G40+Shenandoah!G40</f>
        <v>190020.43972007016</v>
      </c>
      <c r="I40" s="1">
        <f t="shared" si="3"/>
        <v>0</v>
      </c>
    </row>
    <row r="41" spans="1:9">
      <c r="A41" s="1" t="s">
        <v>62</v>
      </c>
      <c r="B41" s="1">
        <f>+'American Community'!B41+'Confed Life &amp; Annty (CLIAC)'!B41+'Fidelity Mutual'!B41+'First Capital'!B41+Midcontinent!B41+'Pavonia Life'!B41+Settlers!B41+Shenandoah!B41</f>
        <v>2566785.3486228213</v>
      </c>
      <c r="C41" s="1">
        <f>+'American Community'!C41+'Confed Life &amp; Annty (CLIAC)'!C41+'Fidelity Mutual'!C41+'First Capital'!C41+Midcontinent!C41+'Pavonia Life'!C41+Settlers!C41+Shenandoah!C41</f>
        <v>15159.786262364512</v>
      </c>
      <c r="D41" s="1">
        <f>+'American Community'!D41+'Confed Life &amp; Annty (CLIAC)'!D41+'Fidelity Mutual'!D41+'First Capital'!D41+Midcontinent!D41+'Pavonia Life'!D41+Settlers!D41+Shenandoah!D41</f>
        <v>149899.90205871584</v>
      </c>
      <c r="E41" s="1">
        <f>+'American Community'!E41+'Confed Life &amp; Annty (CLIAC)'!E41+'Fidelity Mutual'!E41+'First Capital'!E41+Midcontinent!E41+'Pavonia Life'!E41+Settlers!E41+Shenandoah!E41</f>
        <v>3699.9370291093323</v>
      </c>
      <c r="F41" s="1">
        <f>+'American Community'!F41+'Confed Life &amp; Annty (CLIAC)'!F41+'Fidelity Mutual'!F41+'First Capital'!F41+Midcontinent!F41+'Pavonia Life'!F41+Settlers!F41+Shenandoah!F41</f>
        <v>0</v>
      </c>
      <c r="G41" s="1">
        <f t="shared" si="2"/>
        <v>2735544.9739730111</v>
      </c>
      <c r="H41" s="1">
        <f>+'American Community'!G41+'Confed Life &amp; Annty (CLIAC)'!G41+'Fidelity Mutual'!G41+'First Capital'!G41+Midcontinent!G41+'Pavonia Life'!G41+Settlers!G41+Shenandoah!G41</f>
        <v>2735544.9739730111</v>
      </c>
      <c r="I41" s="1">
        <f t="shared" si="3"/>
        <v>0</v>
      </c>
    </row>
    <row r="42" spans="1:9">
      <c r="A42" s="1" t="s">
        <v>63</v>
      </c>
      <c r="B42" s="1">
        <f>+'American Community'!B42+'Confed Life &amp; Annty (CLIAC)'!B42+'Fidelity Mutual'!B42+'First Capital'!B42+Midcontinent!B42+'Pavonia Life'!B42+Settlers!B42+Shenandoah!B42</f>
        <v>1164144.7077502937</v>
      </c>
      <c r="C42" s="1">
        <f>+'American Community'!C42+'Confed Life &amp; Annty (CLIAC)'!C42+'Fidelity Mutual'!C42+'First Capital'!C42+Midcontinent!C42+'Pavonia Life'!C42+Settlers!C42+Shenandoah!C42</f>
        <v>3867.6190658636033</v>
      </c>
      <c r="D42" s="1">
        <f>+'American Community'!D42+'Confed Life &amp; Annty (CLIAC)'!D42+'Fidelity Mutual'!D42+'First Capital'!D42+Midcontinent!D42+'Pavonia Life'!D42+Settlers!D42+Shenandoah!D42</f>
        <v>27467.91572199716</v>
      </c>
      <c r="E42" s="1">
        <f>+'American Community'!E42+'Confed Life &amp; Annty (CLIAC)'!E42+'Fidelity Mutual'!E42+'First Capital'!E42+Midcontinent!E42+'Pavonia Life'!E42+Settlers!E42+Shenandoah!E42</f>
        <v>0</v>
      </c>
      <c r="F42" s="1">
        <f>+'American Community'!F42+'Confed Life &amp; Annty (CLIAC)'!F42+'Fidelity Mutual'!F42+'First Capital'!F42+Midcontinent!F42+'Pavonia Life'!F42+Settlers!F42+Shenandoah!F42</f>
        <v>0</v>
      </c>
      <c r="G42" s="1">
        <f t="shared" si="2"/>
        <v>1195480.2425381544</v>
      </c>
      <c r="H42" s="1">
        <f>+'American Community'!G42+'Confed Life &amp; Annty (CLIAC)'!G42+'Fidelity Mutual'!G42+'First Capital'!G42+Midcontinent!G42+'Pavonia Life'!G42+Settlers!G42+Shenandoah!G42</f>
        <v>1195480.2425381546</v>
      </c>
      <c r="I42" s="1">
        <f t="shared" si="3"/>
        <v>0</v>
      </c>
    </row>
    <row r="43" spans="1:9">
      <c r="A43" s="1" t="s">
        <v>64</v>
      </c>
      <c r="B43" s="1">
        <f>+'American Community'!B43+'Confed Life &amp; Annty (CLIAC)'!B43+'Fidelity Mutual'!B43+'First Capital'!B43+Midcontinent!B43+'Pavonia Life'!B43+Settlers!B43+Shenandoah!B43</f>
        <v>936451.76639044122</v>
      </c>
      <c r="C43" s="1">
        <f>+'American Community'!C43+'Confed Life &amp; Annty (CLIAC)'!C43+'Fidelity Mutual'!C43+'First Capital'!C43+Midcontinent!C43+'Pavonia Life'!C43+Settlers!C43+Shenandoah!C43</f>
        <v>67.264595534309649</v>
      </c>
      <c r="D43" s="1">
        <f>+'American Community'!D43+'Confed Life &amp; Annty (CLIAC)'!D43+'Fidelity Mutual'!D43+'First Capital'!D43+Midcontinent!D43+'Pavonia Life'!D43+Settlers!D43+Shenandoah!D43</f>
        <v>9932.7200729954893</v>
      </c>
      <c r="E43" s="1">
        <f>+'American Community'!E43+'Confed Life &amp; Annty (CLIAC)'!E43+'Fidelity Mutual'!E43+'First Capital'!E43+Midcontinent!E43+'Pavonia Life'!E43+Settlers!E43+Shenandoah!E43</f>
        <v>0</v>
      </c>
      <c r="F43" s="1">
        <f>+'American Community'!F43+'Confed Life &amp; Annty (CLIAC)'!F43+'Fidelity Mutual'!F43+'First Capital'!F43+Midcontinent!F43+'Pavonia Life'!F43+Settlers!F43+Shenandoah!F43</f>
        <v>0</v>
      </c>
      <c r="G43" s="1">
        <f t="shared" si="2"/>
        <v>946451.75105897104</v>
      </c>
      <c r="H43" s="1">
        <f>+'American Community'!G43+'Confed Life &amp; Annty (CLIAC)'!G43+'Fidelity Mutual'!G43+'First Capital'!G43+Midcontinent!G43+'Pavonia Life'!G43+Settlers!G43+Shenandoah!G43</f>
        <v>946451.75105897104</v>
      </c>
      <c r="I43" s="1">
        <f t="shared" si="3"/>
        <v>0</v>
      </c>
    </row>
    <row r="44" spans="1:9">
      <c r="A44" s="1" t="s">
        <v>65</v>
      </c>
      <c r="B44" s="1">
        <f>+'American Community'!B44+'Confed Life &amp; Annty (CLIAC)'!B44+'Fidelity Mutual'!B44+'First Capital'!B44+Midcontinent!B44+'Pavonia Life'!B44+Settlers!B44+Shenandoah!B44</f>
        <v>4105085.7831895691</v>
      </c>
      <c r="C44" s="1">
        <f>+'American Community'!C44+'Confed Life &amp; Annty (CLIAC)'!C44+'Fidelity Mutual'!C44+'First Capital'!C44+Midcontinent!C44+'Pavonia Life'!C44+Settlers!C44+Shenandoah!C44</f>
        <v>36108.474118489154</v>
      </c>
      <c r="D44" s="1">
        <f>+'American Community'!D44+'Confed Life &amp; Annty (CLIAC)'!D44+'Fidelity Mutual'!D44+'First Capital'!D44+Midcontinent!D44+'Pavonia Life'!D44+Settlers!D44+Shenandoah!D44</f>
        <v>11294.886615968626</v>
      </c>
      <c r="E44" s="1">
        <f>+'American Community'!E44+'Confed Life &amp; Annty (CLIAC)'!E44+'Fidelity Mutual'!E44+'First Capital'!E44+Midcontinent!E44+'Pavonia Life'!E44+Settlers!E44+Shenandoah!E44</f>
        <v>13441.201397507341</v>
      </c>
      <c r="F44" s="1">
        <f>+'American Community'!F44+'Confed Life &amp; Annty (CLIAC)'!F44+'Fidelity Mutual'!F44+'First Capital'!F44+Midcontinent!F44+'Pavonia Life'!F44+Settlers!F44+Shenandoah!F44</f>
        <v>0</v>
      </c>
      <c r="G44" s="1">
        <f t="shared" si="2"/>
        <v>4165930.3453215347</v>
      </c>
      <c r="H44" s="1">
        <f>+'American Community'!G44+'Confed Life &amp; Annty (CLIAC)'!G44+'Fidelity Mutual'!G44+'First Capital'!G44+Midcontinent!G44+'Pavonia Life'!G44+Settlers!G44+Shenandoah!G44</f>
        <v>4165930.3453215347</v>
      </c>
      <c r="I44" s="1">
        <f t="shared" si="3"/>
        <v>0</v>
      </c>
    </row>
    <row r="45" spans="1:9">
      <c r="A45" s="1" t="s">
        <v>66</v>
      </c>
      <c r="B45" s="1">
        <f>+'American Community'!B45+'Confed Life &amp; Annty (CLIAC)'!B45+'Fidelity Mutual'!B45+'First Capital'!B45+Midcontinent!B45+'Pavonia Life'!B45+Settlers!B45+Shenandoah!B45</f>
        <v>33.649569152645</v>
      </c>
      <c r="C45" s="1">
        <f>+'American Community'!C45+'Confed Life &amp; Annty (CLIAC)'!C45+'Fidelity Mutual'!C45+'First Capital'!C45+Midcontinent!C45+'Pavonia Life'!C45+Settlers!C45+Shenandoah!C45</f>
        <v>0</v>
      </c>
      <c r="D45" s="1">
        <f>+'American Community'!D45+'Confed Life &amp; Annty (CLIAC)'!D45+'Fidelity Mutual'!D45+'First Capital'!D45+Midcontinent!D45+'Pavonia Life'!D45+Settlers!D45+Shenandoah!D45</f>
        <v>0</v>
      </c>
      <c r="E45" s="1">
        <f>+'American Community'!E45+'Confed Life &amp; Annty (CLIAC)'!E45+'Fidelity Mutual'!E45+'First Capital'!E45+Midcontinent!E45+'Pavonia Life'!E45+Settlers!E45+Shenandoah!E45</f>
        <v>0</v>
      </c>
      <c r="F45" s="1">
        <f>+'American Community'!F45+'Confed Life &amp; Annty (CLIAC)'!F45+'Fidelity Mutual'!F45+'First Capital'!F45+Midcontinent!F45+'Pavonia Life'!F45+Settlers!F45+Shenandoah!F45</f>
        <v>0</v>
      </c>
      <c r="G45" s="1">
        <f t="shared" si="2"/>
        <v>33.649569152645</v>
      </c>
      <c r="H45" s="1">
        <f>+'American Community'!G45+'Confed Life &amp; Annty (CLIAC)'!G45+'Fidelity Mutual'!G45+'First Capital'!G45+Midcontinent!G45+'Pavonia Life'!G45+Settlers!G45+Shenandoah!G45</f>
        <v>33.649569152645</v>
      </c>
      <c r="I45" s="1">
        <f t="shared" si="3"/>
        <v>0</v>
      </c>
    </row>
    <row r="46" spans="1:9">
      <c r="A46" s="1" t="s">
        <v>67</v>
      </c>
      <c r="B46" s="1">
        <f>+'American Community'!B46+'Confed Life &amp; Annty (CLIAC)'!B46+'Fidelity Mutual'!B46+'First Capital'!B46+Midcontinent!B46+'Pavonia Life'!B46+Settlers!B46+Shenandoah!B46</f>
        <v>254710.26810524261</v>
      </c>
      <c r="C46" s="1">
        <f>+'American Community'!C46+'Confed Life &amp; Annty (CLIAC)'!C46+'Fidelity Mutual'!C46+'First Capital'!C46+Midcontinent!C46+'Pavonia Life'!C46+Settlers!C46+Shenandoah!C46</f>
        <v>225.61601127540882</v>
      </c>
      <c r="D46" s="1">
        <f>+'American Community'!D46+'Confed Life &amp; Annty (CLIAC)'!D46+'Fidelity Mutual'!D46+'First Capital'!D46+Midcontinent!D46+'Pavonia Life'!D46+Settlers!D46+Shenandoah!D46</f>
        <v>6952.4271395870919</v>
      </c>
      <c r="E46" s="1">
        <f>+'American Community'!E46+'Confed Life &amp; Annty (CLIAC)'!E46+'Fidelity Mutual'!E46+'First Capital'!E46+Midcontinent!E46+'Pavonia Life'!E46+Settlers!E46+Shenandoah!E46</f>
        <v>0</v>
      </c>
      <c r="F46" s="1">
        <f>+'American Community'!F46+'Confed Life &amp; Annty (CLIAC)'!F46+'Fidelity Mutual'!F46+'First Capital'!F46+Midcontinent!F46+'Pavonia Life'!F46+Settlers!F46+Shenandoah!F46</f>
        <v>0</v>
      </c>
      <c r="G46" s="1">
        <f t="shared" si="2"/>
        <v>261888.31125610511</v>
      </c>
      <c r="H46" s="1">
        <f>+'American Community'!G46+'Confed Life &amp; Annty (CLIAC)'!G46+'Fidelity Mutual'!G46+'First Capital'!G46+Midcontinent!G46+'Pavonia Life'!G46+Settlers!G46+Shenandoah!G46</f>
        <v>261888.31125610511</v>
      </c>
      <c r="I46" s="1">
        <f t="shared" si="3"/>
        <v>0</v>
      </c>
    </row>
    <row r="47" spans="1:9">
      <c r="A47" s="1" t="s">
        <v>68</v>
      </c>
      <c r="B47" s="1">
        <f>+'American Community'!B47+'Confed Life &amp; Annty (CLIAC)'!B47+'Fidelity Mutual'!B47+'First Capital'!B47+Midcontinent!B47+'Pavonia Life'!B47+Settlers!B47+Shenandoah!B47</f>
        <v>1662533.874365147</v>
      </c>
      <c r="C47" s="1">
        <f>+'American Community'!C47+'Confed Life &amp; Annty (CLIAC)'!C47+'Fidelity Mutual'!C47+'First Capital'!C47+Midcontinent!C47+'Pavonia Life'!C47+Settlers!C47+Shenandoah!C47</f>
        <v>10092.294283578849</v>
      </c>
      <c r="D47" s="1">
        <f>+'American Community'!D47+'Confed Life &amp; Annty (CLIAC)'!D47+'Fidelity Mutual'!D47+'First Capital'!D47+Midcontinent!D47+'Pavonia Life'!D47+Settlers!D47+Shenandoah!D47</f>
        <v>33309.884373360321</v>
      </c>
      <c r="E47" s="1">
        <f>+'American Community'!E47+'Confed Life &amp; Annty (CLIAC)'!E47+'Fidelity Mutual'!E47+'First Capital'!E47+Midcontinent!E47+'Pavonia Life'!E47+Settlers!E47+Shenandoah!E47</f>
        <v>0</v>
      </c>
      <c r="F47" s="1">
        <f>+'American Community'!F47+'Confed Life &amp; Annty (CLIAC)'!F47+'Fidelity Mutual'!F47+'First Capital'!F47+Midcontinent!F47+'Pavonia Life'!F47+Settlers!F47+Shenandoah!F47</f>
        <v>0</v>
      </c>
      <c r="G47" s="1">
        <f t="shared" si="2"/>
        <v>1705936.0530220862</v>
      </c>
      <c r="H47" s="1">
        <f>+'American Community'!G47+'Confed Life &amp; Annty (CLIAC)'!G47+'Fidelity Mutual'!G47+'First Capital'!G47+Midcontinent!G47+'Pavonia Life'!G47+Settlers!G47+Shenandoah!G47</f>
        <v>1705936.0530220862</v>
      </c>
      <c r="I47" s="1">
        <f t="shared" si="3"/>
        <v>0</v>
      </c>
    </row>
    <row r="48" spans="1:9">
      <c r="A48" s="1" t="s">
        <v>69</v>
      </c>
      <c r="B48" s="1">
        <f>+'American Community'!B48+'Confed Life &amp; Annty (CLIAC)'!B48+'Fidelity Mutual'!B48+'First Capital'!B48+Midcontinent!B48+'Pavonia Life'!B48+Settlers!B48+Shenandoah!B48</f>
        <v>149463.21392296042</v>
      </c>
      <c r="C48" s="1">
        <f>+'American Community'!C48+'Confed Life &amp; Annty (CLIAC)'!C48+'Fidelity Mutual'!C48+'First Capital'!C48+Midcontinent!C48+'Pavonia Life'!C48+Settlers!C48+Shenandoah!C48</f>
        <v>2.0708961659710763</v>
      </c>
      <c r="D48" s="1">
        <f>+'American Community'!D48+'Confed Life &amp; Annty (CLIAC)'!D48+'Fidelity Mutual'!D48+'First Capital'!D48+Midcontinent!D48+'Pavonia Life'!D48+Settlers!D48+Shenandoah!D48</f>
        <v>2979.8975275892863</v>
      </c>
      <c r="E48" s="1">
        <f>+'American Community'!E48+'Confed Life &amp; Annty (CLIAC)'!E48+'Fidelity Mutual'!E48+'First Capital'!E48+Midcontinent!E48+'Pavonia Life'!E48+Settlers!E48+Shenandoah!E48</f>
        <v>0</v>
      </c>
      <c r="F48" s="1">
        <f>+'American Community'!F48+'Confed Life &amp; Annty (CLIAC)'!F48+'Fidelity Mutual'!F48+'First Capital'!F48+Midcontinent!F48+'Pavonia Life'!F48+Settlers!F48+Shenandoah!F48</f>
        <v>0</v>
      </c>
      <c r="G48" s="1">
        <f t="shared" si="2"/>
        <v>152445.18234671568</v>
      </c>
      <c r="H48" s="1">
        <f>+'American Community'!G48+'Confed Life &amp; Annty (CLIAC)'!G48+'Fidelity Mutual'!G48+'First Capital'!G48+Midcontinent!G48+'Pavonia Life'!G48+Settlers!G48+Shenandoah!G48</f>
        <v>152445.18234671568</v>
      </c>
      <c r="I48" s="1">
        <f t="shared" si="3"/>
        <v>0</v>
      </c>
    </row>
    <row r="49" spans="1:9">
      <c r="A49" s="1" t="s">
        <v>70</v>
      </c>
      <c r="B49" s="1">
        <f>+'American Community'!B49+'Confed Life &amp; Annty (CLIAC)'!B49+'Fidelity Mutual'!B49+'First Capital'!B49+Midcontinent!B49+'Pavonia Life'!B49+Settlers!B49+Shenandoah!B49</f>
        <v>1799634.8897249806</v>
      </c>
      <c r="C49" s="1">
        <f>+'American Community'!C49+'Confed Life &amp; Annty (CLIAC)'!C49+'Fidelity Mutual'!C49+'First Capital'!C49+Midcontinent!C49+'Pavonia Life'!C49+Settlers!C49+Shenandoah!C49</f>
        <v>18229.288244095136</v>
      </c>
      <c r="D49" s="1">
        <f>+'American Community'!D49+'Confed Life &amp; Annty (CLIAC)'!D49+'Fidelity Mutual'!D49+'First Capital'!D49+Midcontinent!D49+'Pavonia Life'!D49+Settlers!D49+Shenandoah!D49</f>
        <v>51970.276191096375</v>
      </c>
      <c r="E49" s="1">
        <f>+'American Community'!E49+'Confed Life &amp; Annty (CLIAC)'!E49+'Fidelity Mutual'!E49+'First Capital'!E49+Midcontinent!E49+'Pavonia Life'!E49+Settlers!E49+Shenandoah!E49</f>
        <v>0</v>
      </c>
      <c r="F49" s="1">
        <f>+'American Community'!F49+'Confed Life &amp; Annty (CLIAC)'!F49+'Fidelity Mutual'!F49+'First Capital'!F49+Midcontinent!F49+'Pavonia Life'!F49+Settlers!F49+Shenandoah!F49</f>
        <v>0</v>
      </c>
      <c r="G49" s="1">
        <f t="shared" si="2"/>
        <v>1869834.454160172</v>
      </c>
      <c r="H49" s="1">
        <f>+'American Community'!G49+'Confed Life &amp; Annty (CLIAC)'!G49+'Fidelity Mutual'!G49+'First Capital'!G49+Midcontinent!G49+'Pavonia Life'!G49+Settlers!G49+Shenandoah!G49</f>
        <v>1869834.4541601723</v>
      </c>
      <c r="I49" s="1">
        <f t="shared" si="3"/>
        <v>0</v>
      </c>
    </row>
    <row r="50" spans="1:9">
      <c r="A50" s="1" t="s">
        <v>71</v>
      </c>
      <c r="B50" s="1">
        <f>+'American Community'!B50+'Confed Life &amp; Annty (CLIAC)'!B50+'Fidelity Mutual'!B50+'First Capital'!B50+Midcontinent!B50+'Pavonia Life'!B50+Settlers!B50+Shenandoah!B50</f>
        <v>11114986.51015598</v>
      </c>
      <c r="C50" s="1">
        <f>+'American Community'!C50+'Confed Life &amp; Annty (CLIAC)'!C50+'Fidelity Mutual'!C50+'First Capital'!C50+Midcontinent!C50+'Pavonia Life'!C50+Settlers!C50+Shenandoah!C50</f>
        <v>14546.974850618441</v>
      </c>
      <c r="D50" s="1">
        <f>+'American Community'!D50+'Confed Life &amp; Annty (CLIAC)'!D50+'Fidelity Mutual'!D50+'First Capital'!D50+Midcontinent!D50+'Pavonia Life'!D50+Settlers!D50+Shenandoah!D50</f>
        <v>62878.392811441256</v>
      </c>
      <c r="E50" s="1">
        <f>+'American Community'!E50+'Confed Life &amp; Annty (CLIAC)'!E50+'Fidelity Mutual'!E50+'First Capital'!E50+Midcontinent!E50+'Pavonia Life'!E50+Settlers!E50+Shenandoah!E50</f>
        <v>0</v>
      </c>
      <c r="F50" s="1">
        <f>+'American Community'!F50+'Confed Life &amp; Annty (CLIAC)'!F50+'Fidelity Mutual'!F50+'First Capital'!F50+Midcontinent!F50+'Pavonia Life'!F50+Settlers!F50+Shenandoah!F50</f>
        <v>0</v>
      </c>
      <c r="G50" s="1">
        <f t="shared" si="2"/>
        <v>11192411.877818041</v>
      </c>
      <c r="H50" s="1">
        <f>+'American Community'!G50+'Confed Life &amp; Annty (CLIAC)'!G50+'Fidelity Mutual'!G50+'First Capital'!G50+Midcontinent!G50+'Pavonia Life'!G50+Settlers!G50+Shenandoah!G50</f>
        <v>11192411.877818039</v>
      </c>
      <c r="I50" s="1">
        <f t="shared" si="3"/>
        <v>0</v>
      </c>
    </row>
    <row r="51" spans="1:9">
      <c r="A51" s="1" t="s">
        <v>72</v>
      </c>
      <c r="B51" s="1">
        <f>+'American Community'!B51+'Confed Life &amp; Annty (CLIAC)'!B51+'Fidelity Mutual'!B51+'First Capital'!B51+Midcontinent!B51+'Pavonia Life'!B51+Settlers!B51+Shenandoah!B51</f>
        <v>594331.84670125274</v>
      </c>
      <c r="C51" s="1">
        <f>+'American Community'!C51+'Confed Life &amp; Annty (CLIAC)'!C51+'Fidelity Mutual'!C51+'First Capital'!C51+Midcontinent!C51+'Pavonia Life'!C51+Settlers!C51+Shenandoah!C51</f>
        <v>24.133596308984295</v>
      </c>
      <c r="D51" s="1">
        <f>+'American Community'!D51+'Confed Life &amp; Annty (CLIAC)'!D51+'Fidelity Mutual'!D51+'First Capital'!D51+Midcontinent!D51+'Pavonia Life'!D51+Settlers!D51+Shenandoah!D51</f>
        <v>7283.6380467838862</v>
      </c>
      <c r="E51" s="1">
        <f>+'American Community'!E51+'Confed Life &amp; Annty (CLIAC)'!E51+'Fidelity Mutual'!E51+'First Capital'!E51+Midcontinent!E51+'Pavonia Life'!E51+Settlers!E51+Shenandoah!E51</f>
        <v>0</v>
      </c>
      <c r="F51" s="1">
        <f>+'American Community'!F51+'Confed Life &amp; Annty (CLIAC)'!F51+'Fidelity Mutual'!F51+'First Capital'!F51+Midcontinent!F51+'Pavonia Life'!F51+Settlers!F51+Shenandoah!F51</f>
        <v>0</v>
      </c>
      <c r="G51" s="1">
        <f t="shared" si="2"/>
        <v>601639.6183443456</v>
      </c>
      <c r="H51" s="1">
        <f>+'American Community'!G51+'Confed Life &amp; Annty (CLIAC)'!G51+'Fidelity Mutual'!G51+'First Capital'!G51+Midcontinent!G51+'Pavonia Life'!G51+Settlers!G51+Shenandoah!G51</f>
        <v>601639.6183443456</v>
      </c>
      <c r="I51" s="1">
        <f t="shared" si="3"/>
        <v>0</v>
      </c>
    </row>
    <row r="52" spans="1:9">
      <c r="A52" s="1" t="s">
        <v>73</v>
      </c>
      <c r="B52" s="1">
        <f>+'American Community'!B52+'Confed Life &amp; Annty (CLIAC)'!B52+'Fidelity Mutual'!B52+'First Capital'!B52+Midcontinent!B52+'Pavonia Life'!B52+Settlers!B52+Shenandoah!B52</f>
        <v>171043.67489238014</v>
      </c>
      <c r="C52" s="1">
        <f>+'American Community'!C52+'Confed Life &amp; Annty (CLIAC)'!C52+'Fidelity Mutual'!C52+'First Capital'!C52+Midcontinent!C52+'Pavonia Life'!C52+Settlers!C52+Shenandoah!C52</f>
        <v>5.2385971834387632</v>
      </c>
      <c r="D52" s="1">
        <f>+'American Community'!D52+'Confed Life &amp; Annty (CLIAC)'!D52+'Fidelity Mutual'!D52+'First Capital'!D52+Midcontinent!D52+'Pavonia Life'!D52+Settlers!D52+Shenandoah!D52</f>
        <v>0</v>
      </c>
      <c r="E52" s="1">
        <f>+'American Community'!E52+'Confed Life &amp; Annty (CLIAC)'!E52+'Fidelity Mutual'!E52+'First Capital'!E52+Midcontinent!E52+'Pavonia Life'!E52+Settlers!E52+Shenandoah!E52</f>
        <v>0</v>
      </c>
      <c r="F52" s="1">
        <f>+'American Community'!F52+'Confed Life &amp; Annty (CLIAC)'!F52+'Fidelity Mutual'!F52+'First Capital'!F52+Midcontinent!F52+'Pavonia Life'!F52+Settlers!F52+Shenandoah!F52</f>
        <v>0</v>
      </c>
      <c r="G52" s="1">
        <f t="shared" si="2"/>
        <v>171048.91348956357</v>
      </c>
      <c r="H52" s="1">
        <f>+'American Community'!G52+'Confed Life &amp; Annty (CLIAC)'!G52+'Fidelity Mutual'!G52+'First Capital'!G52+Midcontinent!G52+'Pavonia Life'!G52+Settlers!G52+Shenandoah!G52</f>
        <v>171048.91348956357</v>
      </c>
      <c r="I52" s="1">
        <f t="shared" si="3"/>
        <v>0</v>
      </c>
    </row>
    <row r="53" spans="1:9">
      <c r="A53" s="1" t="s">
        <v>74</v>
      </c>
      <c r="B53" s="1">
        <f>+'American Community'!B53+'Confed Life &amp; Annty (CLIAC)'!B53+'Fidelity Mutual'!B53+'First Capital'!B53+Midcontinent!B53+'Pavonia Life'!B53+Settlers!B53+Shenandoah!B53</f>
        <v>2438795.9083367283</v>
      </c>
      <c r="C53" s="1">
        <f>+'American Community'!C53+'Confed Life &amp; Annty (CLIAC)'!C53+'Fidelity Mutual'!C53+'First Capital'!C53+Midcontinent!C53+'Pavonia Life'!C53+Settlers!C53+Shenandoah!C53</f>
        <v>23284.260587932768</v>
      </c>
      <c r="D53" s="1">
        <f>+'American Community'!D53+'Confed Life &amp; Annty (CLIAC)'!D53+'Fidelity Mutual'!D53+'First Capital'!D53+Midcontinent!D53+'Pavonia Life'!D53+Settlers!D53+Shenandoah!D53</f>
        <v>99011.198451143122</v>
      </c>
      <c r="E53" s="1">
        <f>+'American Community'!E53+'Confed Life &amp; Annty (CLIAC)'!E53+'Fidelity Mutual'!E53+'First Capital'!E53+Midcontinent!E53+'Pavonia Life'!E53+Settlers!E53+Shenandoah!E53</f>
        <v>0</v>
      </c>
      <c r="F53" s="1">
        <f>+'American Community'!F53+'Confed Life &amp; Annty (CLIAC)'!F53+'Fidelity Mutual'!F53+'First Capital'!F53+Midcontinent!F53+'Pavonia Life'!F53+Settlers!F53+Shenandoah!F53</f>
        <v>0</v>
      </c>
      <c r="G53" s="1">
        <f t="shared" si="2"/>
        <v>2561091.3673758041</v>
      </c>
      <c r="H53" s="1">
        <f>+'American Community'!G53+'Confed Life &amp; Annty (CLIAC)'!G53+'Fidelity Mutual'!G53+'First Capital'!G53+Midcontinent!G53+'Pavonia Life'!G53+Settlers!G53+Shenandoah!G53</f>
        <v>2561091.3673758041</v>
      </c>
      <c r="I53" s="1">
        <f t="shared" si="3"/>
        <v>0</v>
      </c>
    </row>
    <row r="54" spans="1:9">
      <c r="A54" s="1" t="s">
        <v>75</v>
      </c>
      <c r="B54" s="1">
        <f>+'American Community'!B54+'Confed Life &amp; Annty (CLIAC)'!B54+'Fidelity Mutual'!B54+'First Capital'!B54+Midcontinent!B54+'Pavonia Life'!B54+Settlers!B54+Shenandoah!B54</f>
        <v>2171946.1205642703</v>
      </c>
      <c r="C54" s="1">
        <f>+'American Community'!C54+'Confed Life &amp; Annty (CLIAC)'!C54+'Fidelity Mutual'!C54+'First Capital'!C54+Midcontinent!C54+'Pavonia Life'!C54+Settlers!C54+Shenandoah!C54</f>
        <v>3250.3808491795326</v>
      </c>
      <c r="D54" s="1">
        <f>+'American Community'!D54+'Confed Life &amp; Annty (CLIAC)'!D54+'Fidelity Mutual'!D54+'First Capital'!D54+Midcontinent!D54+'Pavonia Life'!D54+Settlers!D54+Shenandoah!D54</f>
        <v>45378.633134402779</v>
      </c>
      <c r="E54" s="1">
        <f>+'American Community'!E54+'Confed Life &amp; Annty (CLIAC)'!E54+'Fidelity Mutual'!E54+'First Capital'!E54+Midcontinent!E54+'Pavonia Life'!E54+Settlers!E54+Shenandoah!E54</f>
        <v>0</v>
      </c>
      <c r="F54" s="1">
        <f>+'American Community'!F54+'Confed Life &amp; Annty (CLIAC)'!F54+'Fidelity Mutual'!F54+'First Capital'!F54+Midcontinent!F54+'Pavonia Life'!F54+Settlers!F54+Shenandoah!F54</f>
        <v>0</v>
      </c>
      <c r="G54" s="1">
        <f t="shared" si="2"/>
        <v>2220575.1345478524</v>
      </c>
      <c r="H54" s="1">
        <f>+'American Community'!G54+'Confed Life &amp; Annty (CLIAC)'!G54+'Fidelity Mutual'!G54+'First Capital'!G54+Midcontinent!G54+'Pavonia Life'!G54+Settlers!G54+Shenandoah!G54</f>
        <v>2220575.1345478529</v>
      </c>
      <c r="I54" s="1">
        <f t="shared" si="3"/>
        <v>0</v>
      </c>
    </row>
    <row r="55" spans="1:9">
      <c r="A55" s="1" t="s">
        <v>76</v>
      </c>
      <c r="B55" s="1">
        <f>+'American Community'!B55+'Confed Life &amp; Annty (CLIAC)'!B55+'Fidelity Mutual'!B55+'First Capital'!B55+Midcontinent!B55+'Pavonia Life'!B55+Settlers!B55+Shenandoah!B55</f>
        <v>385050.27032879781</v>
      </c>
      <c r="C55" s="1">
        <f>+'American Community'!C55+'Confed Life &amp; Annty (CLIAC)'!C55+'Fidelity Mutual'!C55+'First Capital'!C55+Midcontinent!C55+'Pavonia Life'!C55+Settlers!C55+Shenandoah!C55</f>
        <v>1372.641474865728</v>
      </c>
      <c r="D55" s="1">
        <f>+'American Community'!D55+'Confed Life &amp; Annty (CLIAC)'!D55+'Fidelity Mutual'!D55+'First Capital'!D55+Midcontinent!D55+'Pavonia Life'!D55+Settlers!D55+Shenandoah!D55</f>
        <v>7225.8751824852252</v>
      </c>
      <c r="E55" s="1">
        <f>+'American Community'!E55+'Confed Life &amp; Annty (CLIAC)'!E55+'Fidelity Mutual'!E55+'First Capital'!E55+Midcontinent!E55+'Pavonia Life'!E55+Settlers!E55+Shenandoah!E55</f>
        <v>0</v>
      </c>
      <c r="F55" s="1">
        <f>+'American Community'!F55+'Confed Life &amp; Annty (CLIAC)'!F55+'Fidelity Mutual'!F55+'First Capital'!F55+Midcontinent!F55+'Pavonia Life'!F55+Settlers!F55+Shenandoah!F55</f>
        <v>0</v>
      </c>
      <c r="G55" s="1">
        <f t="shared" si="2"/>
        <v>393648.78698614874</v>
      </c>
      <c r="H55" s="1">
        <f>+'American Community'!G55+'Confed Life &amp; Annty (CLIAC)'!G55+'Fidelity Mutual'!G55+'First Capital'!G55+Midcontinent!G55+'Pavonia Life'!G55+Settlers!G55+Shenandoah!G55</f>
        <v>393648.7869861488</v>
      </c>
      <c r="I55" s="1">
        <f t="shared" si="3"/>
        <v>0</v>
      </c>
    </row>
    <row r="56" spans="1:9">
      <c r="A56" s="1" t="s">
        <v>77</v>
      </c>
      <c r="B56" s="1">
        <f>+'American Community'!B56+'Confed Life &amp; Annty (CLIAC)'!B56+'Fidelity Mutual'!B56+'First Capital'!B56+Midcontinent!B56+'Pavonia Life'!B56+Settlers!B56+Shenandoah!B56</f>
        <v>1555756.2538217315</v>
      </c>
      <c r="C56" s="1">
        <f>+'American Community'!C56+'Confed Life &amp; Annty (CLIAC)'!C56+'Fidelity Mutual'!C56+'First Capital'!C56+Midcontinent!C56+'Pavonia Life'!C56+Settlers!C56+Shenandoah!C56</f>
        <v>3177.6556871016223</v>
      </c>
      <c r="D56" s="1">
        <f>+'American Community'!D56+'Confed Life &amp; Annty (CLIAC)'!D56+'Fidelity Mutual'!D56+'First Capital'!D56+Midcontinent!D56+'Pavonia Life'!D56+Settlers!D56+Shenandoah!D56</f>
        <v>33906.545813902419</v>
      </c>
      <c r="E56" s="1">
        <f>+'American Community'!E56+'Confed Life &amp; Annty (CLIAC)'!E56+'Fidelity Mutual'!E56+'First Capital'!E56+Midcontinent!E56+'Pavonia Life'!E56+Settlers!E56+Shenandoah!E56</f>
        <v>0</v>
      </c>
      <c r="F56" s="1">
        <f>+'American Community'!F56+'Confed Life &amp; Annty (CLIAC)'!F56+'Fidelity Mutual'!F56+'First Capital'!F56+Midcontinent!F56+'Pavonia Life'!F56+Settlers!F56+Shenandoah!F56</f>
        <v>0</v>
      </c>
      <c r="G56" s="1">
        <f t="shared" si="2"/>
        <v>1592840.4553227357</v>
      </c>
      <c r="H56" s="1">
        <f>+'American Community'!G56+'Confed Life &amp; Annty (CLIAC)'!G56+'Fidelity Mutual'!G56+'First Capital'!G56+Midcontinent!G56+'Pavonia Life'!G56+Settlers!G56+Shenandoah!G56</f>
        <v>1592840.4553227357</v>
      </c>
      <c r="I56" s="1">
        <f t="shared" si="3"/>
        <v>0</v>
      </c>
    </row>
    <row r="57" spans="1:9">
      <c r="A57" s="1" t="s">
        <v>78</v>
      </c>
      <c r="B57" s="1">
        <f>+'American Community'!B57+'Confed Life &amp; Annty (CLIAC)'!B57+'Fidelity Mutual'!B57+'First Capital'!B57+Midcontinent!B57+'Pavonia Life'!B57+Settlers!B57+Shenandoah!B57</f>
        <v>279827.58018132445</v>
      </c>
      <c r="C57" s="1">
        <f>+'American Community'!C57+'Confed Life &amp; Annty (CLIAC)'!C57+'Fidelity Mutual'!C57+'First Capital'!C57+Midcontinent!C57+'Pavonia Life'!C57+Settlers!C57+Shenandoah!C57</f>
        <v>18.717197970786913</v>
      </c>
      <c r="D57" s="1">
        <f>+'American Community'!D57+'Confed Life &amp; Annty (CLIAC)'!D57+'Fidelity Mutual'!D57+'First Capital'!D57+Midcontinent!D57+'Pavonia Life'!D57+Settlers!D57+Shenandoah!D57</f>
        <v>4969.1266646904023</v>
      </c>
      <c r="E57" s="1">
        <f>+'American Community'!E57+'Confed Life &amp; Annty (CLIAC)'!E57+'Fidelity Mutual'!E57+'First Capital'!E57+Midcontinent!E57+'Pavonia Life'!E57+Settlers!E57+Shenandoah!E57</f>
        <v>0</v>
      </c>
      <c r="F57" s="1">
        <f>+'American Community'!F57+'Confed Life &amp; Annty (CLIAC)'!F57+'Fidelity Mutual'!F57+'First Capital'!F57+Midcontinent!F57+'Pavonia Life'!F57+Settlers!F57+Shenandoah!F57</f>
        <v>0</v>
      </c>
      <c r="G57" s="1">
        <f t="shared" si="2"/>
        <v>284815.42404398561</v>
      </c>
      <c r="H57" s="1">
        <f>+'American Community'!G57+'Confed Life &amp; Annty (CLIAC)'!G57+'Fidelity Mutual'!G57+'First Capital'!G57+Midcontinent!G57+'Pavonia Life'!G57+Settlers!G57+Shenandoah!G57</f>
        <v>284815.42404398561</v>
      </c>
      <c r="I57" s="1">
        <f t="shared" si="3"/>
        <v>0</v>
      </c>
    </row>
    <row r="58" spans="1:9">
      <c r="A58" s="1" t="s">
        <v>79</v>
      </c>
      <c r="B58" s="1">
        <f>+'American Community'!B58+'Confed Life &amp; Annty (CLIAC)'!B58+'Fidelity Mutual'!B58+'First Capital'!B58+Midcontinent!B58+'Pavonia Life'!B58+Settlers!B58+Shenandoah!B58</f>
        <v>0</v>
      </c>
      <c r="C58" s="1">
        <f>+'American Community'!C58+'Confed Life &amp; Annty (CLIAC)'!C58+'Fidelity Mutual'!C58+'First Capital'!C58+Midcontinent!C58+'Pavonia Life'!C58+Settlers!C58+Shenandoah!C58</f>
        <v>0</v>
      </c>
      <c r="D58" s="1">
        <f>+'American Community'!D58+'Confed Life &amp; Annty (CLIAC)'!D58+'Fidelity Mutual'!D58+'First Capital'!D58+Midcontinent!D58+'Pavonia Life'!D58+Settlers!D58+Shenandoah!D58</f>
        <v>0</v>
      </c>
      <c r="E58" s="1">
        <f>+'American Community'!E58+'Confed Life &amp; Annty (CLIAC)'!E58+'Fidelity Mutual'!E58+'First Capital'!E58+Midcontinent!E58+'Pavonia Life'!E58+Settlers!E58+Shenandoah!E58</f>
        <v>0</v>
      </c>
      <c r="F58" s="1">
        <f>+'American Community'!F58+'Confed Life &amp; Annty (CLIAC)'!F58+'Fidelity Mutual'!F58+'First Capital'!F58+Midcontinent!F58+'Pavonia Life'!F58+Settlers!F58+Shenandoah!F58</f>
        <v>0</v>
      </c>
      <c r="G58" s="1">
        <f t="shared" si="2"/>
        <v>0</v>
      </c>
      <c r="H58" s="1">
        <f>+'American Community'!G58+'Confed Life &amp; Annty (CLIAC)'!G58+'Fidelity Mutual'!G58+'First Capital'!G58+Midcontinent!G58+'Pavonia Life'!G58+Settlers!G58+Shenandoah!G58</f>
        <v>0</v>
      </c>
      <c r="I58" s="1">
        <f t="shared" si="3"/>
        <v>0</v>
      </c>
    </row>
    <row r="61" spans="1:9">
      <c r="A61" s="1" t="s">
        <v>8</v>
      </c>
      <c r="B61" s="1">
        <f>SUM(LIFE)</f>
        <v>98177304.357450768</v>
      </c>
      <c r="C61" s="1">
        <f>SUM(ALLOCATED)</f>
        <v>305927.78861455363</v>
      </c>
      <c r="D61" s="1">
        <f>SUM(HEALTH)</f>
        <v>1913654.7380206569</v>
      </c>
      <c r="E61" s="1">
        <f>SUM(UNALLOCATED)</f>
        <v>28074.675914009502</v>
      </c>
      <c r="F61" s="1">
        <f>SUM(LTC)</f>
        <v>0</v>
      </c>
      <c r="G61" s="1">
        <f>SUM(TOTAL)</f>
        <v>100424961.56000002</v>
      </c>
      <c r="H61" s="1">
        <f>SUM(TOTAL_CROSSCHECK)</f>
        <v>100424961.56</v>
      </c>
      <c r="I61" s="1">
        <f>SUM(RECON)</f>
        <v>0</v>
      </c>
    </row>
  </sheetData>
  <mergeCells count="1">
    <mergeCell ref="A1:G1"/>
  </mergeCells>
  <pageMargins left="0" right="0" top="0" bottom="0" header="0" footer="0"/>
  <pageSetup scale="66" orientation="landscape"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pageSetUpPr fitToPage="1"/>
  </sheetPr>
  <dimension ref="A1:S61"/>
  <sheetViews>
    <sheetView topLeftCell="A12" zoomScale="75" workbookViewId="0">
      <selection activeCell="T20" sqref="T20"/>
    </sheetView>
  </sheetViews>
  <sheetFormatPr defaultColWidth="9.109375" defaultRowHeight="14.4"/>
  <cols>
    <col min="1" max="1" width="20" style="1" customWidth="1"/>
    <col min="2" max="7" width="15" style="1" customWidth="1"/>
    <col min="8" max="8" width="1" style="1" customWidth="1"/>
    <col min="9" max="10" width="15" style="1" customWidth="1"/>
    <col min="11" max="11" width="1" style="1" customWidth="1"/>
    <col min="12" max="13" width="15" style="1" customWidth="1"/>
    <col min="14" max="14" width="1" style="1" customWidth="1"/>
    <col min="15" max="16" width="15" style="1" customWidth="1"/>
    <col min="17" max="17" width="1" style="1" customWidth="1"/>
    <col min="18" max="19" width="15" style="1" customWidth="1"/>
    <col min="20" max="20" width="9.109375" style="1" customWidth="1"/>
    <col min="21" max="16384" width="9.109375" style="1"/>
  </cols>
  <sheetData>
    <row r="1" spans="1:19">
      <c r="A1" s="85" t="s">
        <v>716</v>
      </c>
      <c r="B1" s="85"/>
      <c r="C1" s="85"/>
      <c r="D1" s="85"/>
      <c r="E1" s="85"/>
      <c r="F1" s="85"/>
      <c r="G1" s="85"/>
    </row>
    <row r="3" spans="1:19">
      <c r="B3" s="86" t="s">
        <v>1</v>
      </c>
      <c r="C3" s="87"/>
      <c r="D3" s="87"/>
      <c r="E3" s="87"/>
      <c r="F3" s="87"/>
      <c r="G3" s="88"/>
      <c r="I3" s="89" t="s">
        <v>2</v>
      </c>
      <c r="J3" s="90"/>
      <c r="K3" s="90"/>
      <c r="L3" s="90"/>
      <c r="M3" s="90"/>
      <c r="N3" s="90"/>
      <c r="O3" s="90"/>
      <c r="P3" s="90"/>
      <c r="Q3" s="90"/>
      <c r="R3" s="90"/>
      <c r="S3" s="91"/>
    </row>
    <row r="4" spans="1:19">
      <c r="B4" s="6"/>
      <c r="G4" s="9"/>
      <c r="I4" s="92" t="s">
        <v>3</v>
      </c>
      <c r="J4" s="93"/>
      <c r="K4" s="3"/>
      <c r="L4" s="94" t="s">
        <v>4</v>
      </c>
      <c r="M4" s="93"/>
      <c r="N4" s="3"/>
      <c r="O4" s="94" t="s">
        <v>5</v>
      </c>
      <c r="P4" s="93"/>
      <c r="Q4" s="3"/>
      <c r="R4" s="94" t="s">
        <v>6</v>
      </c>
      <c r="S4" s="95"/>
    </row>
    <row r="5" spans="1:19" ht="60" customHeight="1">
      <c r="B5" s="7" t="s">
        <v>3</v>
      </c>
      <c r="C5" s="4" t="s">
        <v>4</v>
      </c>
      <c r="D5" s="4" t="s">
        <v>5</v>
      </c>
      <c r="E5" s="4" t="s">
        <v>6</v>
      </c>
      <c r="F5" s="4" t="s">
        <v>7</v>
      </c>
      <c r="G5" s="10" t="s">
        <v>8</v>
      </c>
      <c r="I5" s="19" t="s">
        <v>9</v>
      </c>
      <c r="J5" s="18" t="s">
        <v>10</v>
      </c>
      <c r="K5" s="18"/>
      <c r="L5" s="18" t="s">
        <v>9</v>
      </c>
      <c r="M5" s="18" t="s">
        <v>10</v>
      </c>
      <c r="N5" s="18"/>
      <c r="O5" s="18" t="s">
        <v>9</v>
      </c>
      <c r="P5" s="18" t="s">
        <v>10</v>
      </c>
      <c r="Q5" s="18"/>
      <c r="R5" s="18" t="s">
        <v>9</v>
      </c>
      <c r="S5" s="20" t="s">
        <v>10</v>
      </c>
    </row>
    <row r="6" spans="1:19">
      <c r="A6" s="1" t="s">
        <v>11</v>
      </c>
      <c r="B6" s="6">
        <f>+'Pre-Liquidation Summary'!B6+'Open Summary'!B6+'Closed Summary'!B6+'Estate Closed Summary'!B6+'Released from Oversight Summary'!B6</f>
        <v>92984628.942685768</v>
      </c>
      <c r="C6" s="1">
        <f>+'Pre-Liquidation Summary'!C6+'Open Summary'!C6+'Closed Summary'!C6+'Estate Closed Summary'!C6+'Released from Oversight Summary'!C6</f>
        <v>39335313.495810717</v>
      </c>
      <c r="D6" s="1">
        <f>+'Pre-Liquidation Summary'!D6+'Open Summary'!D6+'Closed Summary'!D6+'Estate Closed Summary'!D6+'Released from Oversight Summary'!D6</f>
        <v>10338612.698179595</v>
      </c>
      <c r="E6" s="1">
        <f>+'Pre-Liquidation Summary'!E6+'Open Summary'!E6+'Closed Summary'!E6+'Estate Closed Summary'!E6+'Released from Oversight Summary'!E6</f>
        <v>0</v>
      </c>
      <c r="F6" s="1">
        <f>+'Pre-Liquidation Summary'!F6+'Open Summary'!F6+'Closed Summary'!F6+'Estate Closed Summary'!F6+'Released from Oversight Summary'!F6</f>
        <v>0</v>
      </c>
      <c r="G6" s="9">
        <f>SUM(AL_FINANCIAL)</f>
        <v>142658555.13667607</v>
      </c>
      <c r="I6" s="6">
        <f>SUM('AF&amp;L:Villanova'!L6)</f>
        <v>22368855</v>
      </c>
      <c r="J6" s="1">
        <f>SUM('AF&amp;L:Villanova'!M6)</f>
        <v>0</v>
      </c>
      <c r="L6" s="1">
        <f>SUM('AF&amp;L:Villanova'!O6)</f>
        <v>33937732</v>
      </c>
      <c r="M6" s="1">
        <f>SUM('AF&amp;L:Villanova'!P6)</f>
        <v>0</v>
      </c>
      <c r="O6" s="1">
        <f>SUM('AF&amp;L:Villanova'!R6)</f>
        <v>2060000</v>
      </c>
      <c r="P6" s="1">
        <f>SUM('AF&amp;L:Villanova'!S6)</f>
        <v>0</v>
      </c>
      <c r="R6" s="1">
        <f>SUM('AF&amp;L:Villanova'!U6)</f>
        <v>0</v>
      </c>
      <c r="S6" s="9">
        <f>SUM('AF&amp;L:Villanova'!V6)</f>
        <v>0</v>
      </c>
    </row>
    <row r="7" spans="1:19">
      <c r="A7" s="1" t="s">
        <v>12</v>
      </c>
      <c r="B7" s="6">
        <f>+'Pre-Liquidation Summary'!B7+'Open Summary'!B7+'Closed Summary'!B7+'Estate Closed Summary'!B7+'Released from Oversight Summary'!B7</f>
        <v>906978.13597026048</v>
      </c>
      <c r="C7" s="1">
        <f>+'Pre-Liquidation Summary'!C7+'Open Summary'!C7+'Closed Summary'!C7+'Estate Closed Summary'!C7+'Released from Oversight Summary'!C7</f>
        <v>6598429.3228974845</v>
      </c>
      <c r="D7" s="1">
        <f>+'Pre-Liquidation Summary'!D7+'Open Summary'!D7+'Closed Summary'!D7+'Estate Closed Summary'!D7+'Released from Oversight Summary'!D7</f>
        <v>1259054.4151931445</v>
      </c>
      <c r="E7" s="1">
        <f>+'Pre-Liquidation Summary'!E7+'Open Summary'!E7+'Closed Summary'!E7+'Estate Closed Summary'!E7+'Released from Oversight Summary'!E7</f>
        <v>-526.53156057171236</v>
      </c>
      <c r="F7" s="1">
        <f>+'Pre-Liquidation Summary'!F7+'Open Summary'!F7+'Closed Summary'!F7+'Estate Closed Summary'!F7+'Released from Oversight Summary'!F7</f>
        <v>0</v>
      </c>
      <c r="G7" s="9">
        <f>SUM(AK_FINANCIAL)</f>
        <v>8763935.3425003178</v>
      </c>
      <c r="I7" s="6">
        <f>SUM('AF&amp;L:Villanova'!L7)</f>
        <v>2247884</v>
      </c>
      <c r="J7" s="1">
        <f>SUM('AF&amp;L:Villanova'!M7)</f>
        <v>454500</v>
      </c>
      <c r="L7" s="1">
        <f>SUM('AF&amp;L:Villanova'!O7)</f>
        <v>7812055</v>
      </c>
      <c r="M7" s="1">
        <f>SUM('AF&amp;L:Villanova'!P7)</f>
        <v>333181</v>
      </c>
      <c r="O7" s="1">
        <f>SUM('AF&amp;L:Villanova'!R7)</f>
        <v>1303415</v>
      </c>
      <c r="P7" s="1">
        <f>SUM('AF&amp;L:Villanova'!S7)</f>
        <v>56000</v>
      </c>
      <c r="R7" s="1">
        <f>SUM('AF&amp;L:Villanova'!U7)</f>
        <v>2428923</v>
      </c>
      <c r="S7" s="9">
        <f>SUM('AF&amp;L:Villanova'!V7)</f>
        <v>29</v>
      </c>
    </row>
    <row r="8" spans="1:19">
      <c r="A8" s="1" t="s">
        <v>13</v>
      </c>
      <c r="B8" s="6">
        <f>+'Pre-Liquidation Summary'!B8+'Open Summary'!B8+'Closed Summary'!B8+'Estate Closed Summary'!B8+'Released from Oversight Summary'!B8</f>
        <v>30655400.256561965</v>
      </c>
      <c r="C8" s="1">
        <f>+'Pre-Liquidation Summary'!C8+'Open Summary'!C8+'Closed Summary'!C8+'Estate Closed Summary'!C8+'Released from Oversight Summary'!C8</f>
        <v>56904177.777930215</v>
      </c>
      <c r="D8" s="1">
        <f>+'Pre-Liquidation Summary'!D8+'Open Summary'!D8+'Closed Summary'!D8+'Estate Closed Summary'!D8+'Released from Oversight Summary'!D8</f>
        <v>135090282.45045251</v>
      </c>
      <c r="E8" s="1">
        <f>+'Pre-Liquidation Summary'!E8+'Open Summary'!E8+'Closed Summary'!E8+'Estate Closed Summary'!E8+'Released from Oversight Summary'!E8</f>
        <v>0</v>
      </c>
      <c r="F8" s="1">
        <f>+'Pre-Liquidation Summary'!F8+'Open Summary'!F8+'Closed Summary'!F8+'Estate Closed Summary'!F8+'Released from Oversight Summary'!F8</f>
        <v>2004472.9841224004</v>
      </c>
      <c r="G8" s="9">
        <f>SUM(AZ_FINANCIAL)</f>
        <v>224654333.4690671</v>
      </c>
      <c r="I8" s="6">
        <f>SUM('AF&amp;L:Villanova'!L8)</f>
        <v>38214894</v>
      </c>
      <c r="J8" s="1">
        <f>SUM('AF&amp;L:Villanova'!M8)</f>
        <v>0</v>
      </c>
      <c r="L8" s="1">
        <f>SUM('AF&amp;L:Villanova'!O8)</f>
        <v>38206946</v>
      </c>
      <c r="M8" s="1">
        <f>SUM('AF&amp;L:Villanova'!P8)</f>
        <v>0</v>
      </c>
      <c r="O8" s="1">
        <f>SUM('AF&amp;L:Villanova'!R8)</f>
        <v>59059267</v>
      </c>
      <c r="P8" s="1">
        <f>SUM('AF&amp;L:Villanova'!S8)</f>
        <v>3181</v>
      </c>
      <c r="R8" s="1">
        <f>SUM('AF&amp;L:Villanova'!U8)</f>
        <v>0</v>
      </c>
      <c r="S8" s="9">
        <f>SUM('AF&amp;L:Villanova'!V8)</f>
        <v>0</v>
      </c>
    </row>
    <row r="9" spans="1:19">
      <c r="A9" s="1" t="s">
        <v>15</v>
      </c>
      <c r="B9" s="6">
        <f>+'Pre-Liquidation Summary'!B9+'Open Summary'!B9+'Closed Summary'!B9+'Estate Closed Summary'!B9+'Released from Oversight Summary'!B9</f>
        <v>17430409.916888438</v>
      </c>
      <c r="C9" s="1">
        <f>+'Pre-Liquidation Summary'!C9+'Open Summary'!C9+'Closed Summary'!C9+'Estate Closed Summary'!C9+'Released from Oversight Summary'!C9</f>
        <v>17292657.800926041</v>
      </c>
      <c r="D9" s="1">
        <f>+'Pre-Liquidation Summary'!D9+'Open Summary'!D9+'Closed Summary'!D9+'Estate Closed Summary'!D9+'Released from Oversight Summary'!D9</f>
        <v>8164111.1630289815</v>
      </c>
      <c r="E9" s="1">
        <f>+'Pre-Liquidation Summary'!E9+'Open Summary'!E9+'Closed Summary'!E9+'Estate Closed Summary'!E9+'Released from Oversight Summary'!E9</f>
        <v>52678.454269775219</v>
      </c>
      <c r="F9" s="1">
        <f>+'Pre-Liquidation Summary'!F9+'Open Summary'!F9+'Closed Summary'!F9+'Estate Closed Summary'!F9+'Released from Oversight Summary'!F9</f>
        <v>0</v>
      </c>
      <c r="G9" s="9">
        <f>SUM(AR_FINANCIAL)</f>
        <v>42939857.335113235</v>
      </c>
      <c r="I9" s="6">
        <f>SUM('AF&amp;L:Villanova'!L9)</f>
        <v>29056734</v>
      </c>
      <c r="J9" s="1">
        <f>SUM('AF&amp;L:Villanova'!M9)</f>
        <v>0</v>
      </c>
      <c r="L9" s="1">
        <f>SUM('AF&amp;L:Villanova'!O9)</f>
        <v>8467826</v>
      </c>
      <c r="M9" s="1">
        <f>SUM('AF&amp;L:Villanova'!P9)</f>
        <v>0</v>
      </c>
      <c r="O9" s="1">
        <f>SUM('AF&amp;L:Villanova'!R9)</f>
        <v>9736334</v>
      </c>
      <c r="P9" s="1">
        <f>SUM('AF&amp;L:Villanova'!S9)</f>
        <v>0</v>
      </c>
      <c r="R9" s="1">
        <f>SUM('AF&amp;L:Villanova'!U9)</f>
        <v>0</v>
      </c>
      <c r="S9" s="9">
        <f>SUM('AF&amp;L:Villanova'!V9)</f>
        <v>0</v>
      </c>
    </row>
    <row r="10" spans="1:19">
      <c r="A10" s="1" t="s">
        <v>16</v>
      </c>
      <c r="B10" s="6">
        <f>+'Pre-Liquidation Summary'!B10+'Open Summary'!B10+'Closed Summary'!B10+'Estate Closed Summary'!B10+'Released from Oversight Summary'!B10</f>
        <v>316797079.75566864</v>
      </c>
      <c r="C10" s="1">
        <f>+'Pre-Liquidation Summary'!C10+'Open Summary'!C10+'Closed Summary'!C10+'Estate Closed Summary'!C10+'Released from Oversight Summary'!C10</f>
        <v>500200326.39046067</v>
      </c>
      <c r="D10" s="1">
        <f>+'Pre-Liquidation Summary'!D10+'Open Summary'!D10+'Closed Summary'!D10+'Estate Closed Summary'!D10+'Released from Oversight Summary'!D10</f>
        <v>437720879.76247638</v>
      </c>
      <c r="E10" s="1">
        <f>+'Pre-Liquidation Summary'!E10+'Open Summary'!E10+'Closed Summary'!E10+'Estate Closed Summary'!E10+'Released from Oversight Summary'!E10</f>
        <v>0</v>
      </c>
      <c r="F10" s="1">
        <f>+'Pre-Liquidation Summary'!F10+'Open Summary'!F10+'Closed Summary'!F10+'Estate Closed Summary'!F10+'Released from Oversight Summary'!F10</f>
        <v>0</v>
      </c>
      <c r="G10" s="9">
        <f>SUM(CA_FINANCIAL)</f>
        <v>1254718285.9086058</v>
      </c>
      <c r="I10" s="6">
        <f>SUM('AF&amp;L:Villanova'!L10)</f>
        <v>334656930</v>
      </c>
      <c r="J10" s="1">
        <f>SUM('AF&amp;L:Villanova'!M10)</f>
        <v>41665000</v>
      </c>
      <c r="L10" s="1">
        <f>SUM('AF&amp;L:Villanova'!O10)</f>
        <v>529978212</v>
      </c>
      <c r="M10" s="1">
        <f>SUM('AF&amp;L:Villanova'!P10)</f>
        <v>23273000</v>
      </c>
      <c r="O10" s="1">
        <f>SUM('AF&amp;L:Villanova'!R10)</f>
        <v>422761272</v>
      </c>
      <c r="P10" s="1">
        <f>SUM('AF&amp;L:Villanova'!S10)</f>
        <v>11275000</v>
      </c>
      <c r="R10" s="1">
        <f>SUM('AF&amp;L:Villanova'!U10)</f>
        <v>0</v>
      </c>
      <c r="S10" s="9">
        <f>SUM('AF&amp;L:Villanova'!V10)</f>
        <v>0</v>
      </c>
    </row>
    <row r="11" spans="1:19">
      <c r="A11" s="1" t="s">
        <v>18</v>
      </c>
      <c r="B11" s="6">
        <f>+'Pre-Liquidation Summary'!B11+'Open Summary'!B11+'Closed Summary'!B11+'Estate Closed Summary'!B11+'Released from Oversight Summary'!B11</f>
        <v>4274106.654968515</v>
      </c>
      <c r="C11" s="1">
        <f>+'Pre-Liquidation Summary'!C11+'Open Summary'!C11+'Closed Summary'!C11+'Estate Closed Summary'!C11+'Released from Oversight Summary'!C11</f>
        <v>18595535.295244526</v>
      </c>
      <c r="D11" s="1">
        <f>+'Pre-Liquidation Summary'!D11+'Open Summary'!D11+'Closed Summary'!D11+'Estate Closed Summary'!D11+'Released from Oversight Summary'!D11</f>
        <v>158324021.34487858</v>
      </c>
      <c r="E11" s="1">
        <f>+'Pre-Liquidation Summary'!E11+'Open Summary'!E11+'Closed Summary'!E11+'Estate Closed Summary'!E11+'Released from Oversight Summary'!E11</f>
        <v>0</v>
      </c>
      <c r="F11" s="1">
        <f>+'Pre-Liquidation Summary'!F11+'Open Summary'!F11+'Closed Summary'!F11+'Estate Closed Summary'!F11+'Released from Oversight Summary'!F11</f>
        <v>0</v>
      </c>
      <c r="G11" s="9">
        <f>SUM(CO_FINANCIAL)</f>
        <v>181193663.29509163</v>
      </c>
      <c r="I11" s="6">
        <f>SUM('AF&amp;L:Villanova'!L11)</f>
        <v>10004556</v>
      </c>
      <c r="J11" s="1">
        <f>SUM('AF&amp;L:Villanova'!M11)</f>
        <v>18410470</v>
      </c>
      <c r="L11" s="1">
        <f>SUM('AF&amp;L:Villanova'!O11)</f>
        <v>30644425</v>
      </c>
      <c r="M11" s="1">
        <f>SUM('AF&amp;L:Villanova'!P11)</f>
        <v>39239670</v>
      </c>
      <c r="O11" s="1">
        <f>SUM('AF&amp;L:Villanova'!R11)</f>
        <v>172020798</v>
      </c>
      <c r="P11" s="1">
        <f>SUM('AF&amp;L:Villanova'!S11)</f>
        <v>54032143</v>
      </c>
      <c r="R11" s="1">
        <f>SUM('AF&amp;L:Villanova'!U11)</f>
        <v>0</v>
      </c>
      <c r="S11" s="9">
        <f>SUM('AF&amp;L:Villanova'!V11)</f>
        <v>0</v>
      </c>
    </row>
    <row r="12" spans="1:19">
      <c r="A12" s="1" t="s">
        <v>19</v>
      </c>
      <c r="B12" s="6">
        <f>+'Pre-Liquidation Summary'!B12+'Open Summary'!B12+'Closed Summary'!B12+'Estate Closed Summary'!B12+'Released from Oversight Summary'!B12</f>
        <v>1827725.2686562939</v>
      </c>
      <c r="C12" s="1">
        <f>+'Pre-Liquidation Summary'!C12+'Open Summary'!C12+'Closed Summary'!C12+'Estate Closed Summary'!C12+'Released from Oversight Summary'!C12</f>
        <v>53795481.298480384</v>
      </c>
      <c r="D12" s="1">
        <f>+'Pre-Liquidation Summary'!D12+'Open Summary'!D12+'Closed Summary'!D12+'Estate Closed Summary'!D12+'Released from Oversight Summary'!D12</f>
        <v>29607038.939337865</v>
      </c>
      <c r="E12" s="1">
        <f>+'Pre-Liquidation Summary'!E12+'Open Summary'!E12+'Closed Summary'!E12+'Estate Closed Summary'!E12+'Released from Oversight Summary'!E12</f>
        <v>-1407.829435692176</v>
      </c>
      <c r="F12" s="1">
        <f>+'Pre-Liquidation Summary'!F12+'Open Summary'!F12+'Closed Summary'!F12+'Estate Closed Summary'!F12+'Released from Oversight Summary'!F12</f>
        <v>0</v>
      </c>
      <c r="G12" s="9">
        <f>SUM(CT_FINANCIAL)</f>
        <v>85228837.677038848</v>
      </c>
      <c r="I12" s="6">
        <f>SUM('AF&amp;L:Villanova'!L12)</f>
        <v>4732230</v>
      </c>
      <c r="J12" s="1">
        <f>SUM('AF&amp;L:Villanova'!M12)</f>
        <v>4154158</v>
      </c>
      <c r="L12" s="1">
        <f>SUM('AF&amp;L:Villanova'!O12)</f>
        <v>62821643</v>
      </c>
      <c r="M12" s="1">
        <f>SUM('AF&amp;L:Villanova'!P12)</f>
        <v>3421902</v>
      </c>
      <c r="O12" s="1">
        <f>SUM('AF&amp;L:Villanova'!R12)</f>
        <v>45380793</v>
      </c>
      <c r="P12" s="1">
        <f>SUM('AF&amp;L:Villanova'!S12)</f>
        <v>0</v>
      </c>
      <c r="R12" s="1">
        <f>SUM('AF&amp;L:Villanova'!U12)</f>
        <v>1445000</v>
      </c>
      <c r="S12" s="9">
        <f>SUM('AF&amp;L:Villanova'!V12)</f>
        <v>1444994</v>
      </c>
    </row>
    <row r="13" spans="1:19">
      <c r="A13" s="1" t="s">
        <v>21</v>
      </c>
      <c r="B13" s="6">
        <f>+'Pre-Liquidation Summary'!B13+'Open Summary'!B13+'Closed Summary'!B13+'Estate Closed Summary'!B13+'Released from Oversight Summary'!B13</f>
        <v>5184078.9648762625</v>
      </c>
      <c r="C13" s="1">
        <f>+'Pre-Liquidation Summary'!C13+'Open Summary'!C13+'Closed Summary'!C13+'Estate Closed Summary'!C13+'Released from Oversight Summary'!C13</f>
        <v>27899026.473191071</v>
      </c>
      <c r="D13" s="1">
        <f>+'Pre-Liquidation Summary'!D13+'Open Summary'!D13+'Closed Summary'!D13+'Estate Closed Summary'!D13+'Released from Oversight Summary'!D13</f>
        <v>5287140.0202896986</v>
      </c>
      <c r="E13" s="1">
        <f>+'Pre-Liquidation Summary'!E13+'Open Summary'!E13+'Closed Summary'!E13+'Estate Closed Summary'!E13+'Released from Oversight Summary'!E13</f>
        <v>334610.01646633912</v>
      </c>
      <c r="F13" s="1">
        <f>+'Pre-Liquidation Summary'!F13+'Open Summary'!F13+'Closed Summary'!F13+'Estate Closed Summary'!F13+'Released from Oversight Summary'!F13</f>
        <v>0</v>
      </c>
      <c r="G13" s="9">
        <f>SUM(DE_FINANCIAL)</f>
        <v>38704855.474823371</v>
      </c>
      <c r="I13" s="6">
        <f>SUM('AF&amp;L:Villanova'!L13)</f>
        <v>8796303</v>
      </c>
      <c r="J13" s="1">
        <f>SUM('AF&amp;L:Villanova'!M13)</f>
        <v>0</v>
      </c>
      <c r="L13" s="1">
        <f>SUM('AF&amp;L:Villanova'!O13)</f>
        <v>33105910</v>
      </c>
      <c r="M13" s="1">
        <f>SUM('AF&amp;L:Villanova'!P13)</f>
        <v>0</v>
      </c>
      <c r="O13" s="1">
        <f>SUM('AF&amp;L:Villanova'!R13)</f>
        <v>6053000</v>
      </c>
      <c r="P13" s="1">
        <f>SUM('AF&amp;L:Villanova'!S13)</f>
        <v>0</v>
      </c>
      <c r="R13" s="1">
        <f>SUM('AF&amp;L:Villanova'!U13)</f>
        <v>984787</v>
      </c>
      <c r="S13" s="9">
        <f>SUM('AF&amp;L:Villanova'!V13)</f>
        <v>0</v>
      </c>
    </row>
    <row r="14" spans="1:19">
      <c r="A14" s="1" t="s">
        <v>23</v>
      </c>
      <c r="B14" s="6">
        <f>+'Pre-Liquidation Summary'!B14+'Open Summary'!B14+'Closed Summary'!B14+'Estate Closed Summary'!B14+'Released from Oversight Summary'!B14</f>
        <v>3704457.6877665897</v>
      </c>
      <c r="C14" s="1">
        <f>+'Pre-Liquidation Summary'!C14+'Open Summary'!C14+'Closed Summary'!C14+'Estate Closed Summary'!C14+'Released from Oversight Summary'!C14</f>
        <v>1243313.6022077149</v>
      </c>
      <c r="D14" s="1">
        <f>+'Pre-Liquidation Summary'!D14+'Open Summary'!D14+'Closed Summary'!D14+'Estate Closed Summary'!D14+'Released from Oversight Summary'!D14</f>
        <v>1637300.0763620201</v>
      </c>
      <c r="E14" s="1">
        <f>+'Pre-Liquidation Summary'!E14+'Open Summary'!E14+'Closed Summary'!E14+'Estate Closed Summary'!E14+'Released from Oversight Summary'!E14</f>
        <v>0</v>
      </c>
      <c r="F14" s="1">
        <f>+'Pre-Liquidation Summary'!F14+'Open Summary'!F14+'Closed Summary'!F14+'Estate Closed Summary'!F14+'Released from Oversight Summary'!F14</f>
        <v>0</v>
      </c>
      <c r="G14" s="9">
        <f>SUM(DC_FINANCIAL)</f>
        <v>6585071.3663363252</v>
      </c>
      <c r="I14" s="6">
        <f>SUM('AF&amp;L:Villanova'!L14)</f>
        <v>1584826</v>
      </c>
      <c r="J14" s="1">
        <f>SUM('AF&amp;L:Villanova'!M14)</f>
        <v>512527</v>
      </c>
      <c r="L14" s="1">
        <f>SUM('AF&amp;L:Villanova'!O14)</f>
        <v>3209248</v>
      </c>
      <c r="M14" s="1">
        <f>SUM('AF&amp;L:Villanova'!P14)</f>
        <v>1539695</v>
      </c>
      <c r="O14" s="1">
        <f>SUM('AF&amp;L:Villanova'!R14)</f>
        <v>2029000</v>
      </c>
      <c r="P14" s="1">
        <f>SUM('AF&amp;L:Villanova'!S14)</f>
        <v>259707</v>
      </c>
      <c r="R14" s="1">
        <f>SUM('AF&amp;L:Villanova'!U14)</f>
        <v>0</v>
      </c>
      <c r="S14" s="9">
        <f>SUM('AF&amp;L:Villanova'!V14)</f>
        <v>0</v>
      </c>
    </row>
    <row r="15" spans="1:19">
      <c r="A15" s="1" t="s">
        <v>25</v>
      </c>
      <c r="B15" s="6">
        <f>+'Pre-Liquidation Summary'!B15+'Open Summary'!B15+'Closed Summary'!B15+'Estate Closed Summary'!B15+'Released from Oversight Summary'!B15</f>
        <v>128284343.87880386</v>
      </c>
      <c r="C15" s="1">
        <f>+'Pre-Liquidation Summary'!C15+'Open Summary'!C15+'Closed Summary'!C15+'Estate Closed Summary'!C15+'Released from Oversight Summary'!C15</f>
        <v>309696690.91210997</v>
      </c>
      <c r="D15" s="1">
        <f>+'Pre-Liquidation Summary'!D15+'Open Summary'!D15+'Closed Summary'!D15+'Estate Closed Summary'!D15+'Released from Oversight Summary'!D15</f>
        <v>456422956.6641407</v>
      </c>
      <c r="E15" s="1">
        <f>+'Pre-Liquidation Summary'!E15+'Open Summary'!E15+'Closed Summary'!E15+'Estate Closed Summary'!E15+'Released from Oversight Summary'!E15</f>
        <v>5811.7582404316236</v>
      </c>
      <c r="F15" s="1">
        <f>+'Pre-Liquidation Summary'!F15+'Open Summary'!F15+'Closed Summary'!F15+'Estate Closed Summary'!F15+'Released from Oversight Summary'!F15</f>
        <v>2710867.0543387467</v>
      </c>
      <c r="G15" s="9">
        <f>SUM(FL_FINANCIAL)</f>
        <v>897120670.26763368</v>
      </c>
      <c r="I15" s="6">
        <f>SUM('AF&amp;L:Villanova'!L15)</f>
        <v>125771479</v>
      </c>
      <c r="J15" s="1">
        <f>SUM('AF&amp;L:Villanova'!M15)</f>
        <v>0</v>
      </c>
      <c r="L15" s="1">
        <f>SUM('AF&amp;L:Villanova'!O15)</f>
        <v>361359474</v>
      </c>
      <c r="M15" s="1">
        <f>SUM('AF&amp;L:Villanova'!P15)</f>
        <v>142450</v>
      </c>
      <c r="O15" s="1">
        <f>SUM('AF&amp;L:Villanova'!R15)</f>
        <v>409889140</v>
      </c>
      <c r="P15" s="1">
        <f>SUM('AF&amp;L:Villanova'!S15)</f>
        <v>0</v>
      </c>
      <c r="R15" s="1">
        <f>SUM('AF&amp;L:Villanova'!U15)</f>
        <v>0</v>
      </c>
      <c r="S15" s="9">
        <f>SUM('AF&amp;L:Villanova'!V15)</f>
        <v>0</v>
      </c>
    </row>
    <row r="16" spans="1:19">
      <c r="A16" s="1" t="s">
        <v>27</v>
      </c>
      <c r="B16" s="6">
        <f>+'Pre-Liquidation Summary'!B16+'Open Summary'!B16+'Closed Summary'!B16+'Estate Closed Summary'!B16+'Released from Oversight Summary'!B16</f>
        <v>49716566.735117026</v>
      </c>
      <c r="C16" s="1">
        <f>+'Pre-Liquidation Summary'!C16+'Open Summary'!C16+'Closed Summary'!C16+'Estate Closed Summary'!C16+'Released from Oversight Summary'!C16</f>
        <v>54684172.057714909</v>
      </c>
      <c r="D16" s="1">
        <f>+'Pre-Liquidation Summary'!D16+'Open Summary'!D16+'Closed Summary'!D16+'Estate Closed Summary'!D16+'Released from Oversight Summary'!D16</f>
        <v>95435660.847018033</v>
      </c>
      <c r="E16" s="1">
        <f>+'Pre-Liquidation Summary'!E16+'Open Summary'!E16+'Closed Summary'!E16+'Estate Closed Summary'!E16+'Released from Oversight Summary'!E16</f>
        <v>2407640.2785977181</v>
      </c>
      <c r="F16" s="1">
        <f>+'Pre-Liquidation Summary'!F16+'Open Summary'!F16+'Closed Summary'!F16+'Estate Closed Summary'!F16+'Released from Oversight Summary'!F16</f>
        <v>0</v>
      </c>
      <c r="G16" s="9">
        <f>SUM(GA_FINANCIAL)</f>
        <v>202244039.91844767</v>
      </c>
      <c r="I16" s="6">
        <f>SUM('AF&amp;L:Villanova'!L16)</f>
        <v>43275908</v>
      </c>
      <c r="J16" s="1">
        <f>SUM('AF&amp;L:Villanova'!M16)</f>
        <v>0</v>
      </c>
      <c r="L16" s="1">
        <f>SUM('AF&amp;L:Villanova'!O16)</f>
        <v>44189138</v>
      </c>
      <c r="M16" s="1">
        <f>SUM('AF&amp;L:Villanova'!P16)</f>
        <v>584662.33000000007</v>
      </c>
      <c r="O16" s="1">
        <f>SUM('AF&amp;L:Villanova'!R16)</f>
        <v>97115785</v>
      </c>
      <c r="P16" s="1">
        <f>SUM('AF&amp;L:Villanova'!S16)</f>
        <v>64528</v>
      </c>
      <c r="R16" s="1">
        <f>SUM('AF&amp;L:Villanova'!U16)</f>
        <v>5870582</v>
      </c>
      <c r="S16" s="9">
        <f>SUM('AF&amp;L:Villanova'!V16)</f>
        <v>-32978.18</v>
      </c>
    </row>
    <row r="17" spans="1:19">
      <c r="A17" s="1" t="s">
        <v>29</v>
      </c>
      <c r="B17" s="6">
        <f>+'Pre-Liquidation Summary'!B17+'Open Summary'!B17+'Closed Summary'!B17+'Estate Closed Summary'!B17+'Released from Oversight Summary'!B17</f>
        <v>27924288.987393517</v>
      </c>
      <c r="C17" s="1">
        <f>+'Pre-Liquidation Summary'!C17+'Open Summary'!C17+'Closed Summary'!C17+'Estate Closed Summary'!C17+'Released from Oversight Summary'!C17</f>
        <v>56108210.528993599</v>
      </c>
      <c r="D17" s="1">
        <f>+'Pre-Liquidation Summary'!D17+'Open Summary'!D17+'Closed Summary'!D17+'Estate Closed Summary'!D17+'Released from Oversight Summary'!D17</f>
        <v>9819604.803518936</v>
      </c>
      <c r="E17" s="1">
        <f>+'Pre-Liquidation Summary'!E17+'Open Summary'!E17+'Closed Summary'!E17+'Estate Closed Summary'!E17+'Released from Oversight Summary'!E17</f>
        <v>0</v>
      </c>
      <c r="F17" s="1">
        <f>+'Pre-Liquidation Summary'!F17+'Open Summary'!F17+'Closed Summary'!F17+'Estate Closed Summary'!F17+'Released from Oversight Summary'!F17</f>
        <v>0</v>
      </c>
      <c r="G17" s="9">
        <f>SUM(HI_FINANCIAL)</f>
        <v>93852104.319906056</v>
      </c>
      <c r="I17" s="6">
        <f>SUM('AF&amp;L:Villanova'!L17)</f>
        <v>47538543</v>
      </c>
      <c r="J17" s="1">
        <f>SUM('AF&amp;L:Villanova'!M17)</f>
        <v>21042109</v>
      </c>
      <c r="L17" s="1">
        <f>SUM('AF&amp;L:Villanova'!O17)</f>
        <v>41818128</v>
      </c>
      <c r="M17" s="1">
        <f>SUM('AF&amp;L:Villanova'!P17)</f>
        <v>15586534</v>
      </c>
      <c r="O17" s="1">
        <f>SUM('AF&amp;L:Villanova'!R17)</f>
        <v>19382729</v>
      </c>
      <c r="P17" s="1">
        <f>SUM('AF&amp;L:Villanova'!S17)</f>
        <v>11503683</v>
      </c>
      <c r="R17" s="1">
        <f>SUM('AF&amp;L:Villanova'!U17)</f>
        <v>0</v>
      </c>
      <c r="S17" s="9">
        <f>SUM('AF&amp;L:Villanova'!V17)</f>
        <v>0</v>
      </c>
    </row>
    <row r="18" spans="1:19">
      <c r="A18" s="1" t="s">
        <v>30</v>
      </c>
      <c r="B18" s="6">
        <f>+'Pre-Liquidation Summary'!B18+'Open Summary'!B18+'Closed Summary'!B18+'Estate Closed Summary'!B18+'Released from Oversight Summary'!B18</f>
        <v>8615189.4387040958</v>
      </c>
      <c r="C18" s="1">
        <f>+'Pre-Liquidation Summary'!C18+'Open Summary'!C18+'Closed Summary'!C18+'Estate Closed Summary'!C18+'Released from Oversight Summary'!C18</f>
        <v>13651076.521478198</v>
      </c>
      <c r="D18" s="1">
        <f>+'Pre-Liquidation Summary'!D18+'Open Summary'!D18+'Closed Summary'!D18+'Estate Closed Summary'!D18+'Released from Oversight Summary'!D18</f>
        <v>9172575.880346911</v>
      </c>
      <c r="E18" s="1">
        <f>+'Pre-Liquidation Summary'!E18+'Open Summary'!E18+'Closed Summary'!E18+'Estate Closed Summary'!E18+'Released from Oversight Summary'!E18</f>
        <v>0</v>
      </c>
      <c r="F18" s="1">
        <f>+'Pre-Liquidation Summary'!F18+'Open Summary'!F18+'Closed Summary'!F18+'Estate Closed Summary'!F18+'Released from Oversight Summary'!F18</f>
        <v>0</v>
      </c>
      <c r="G18" s="9">
        <f>SUM(ID_FINANCIAL)</f>
        <v>31438841.840529203</v>
      </c>
      <c r="I18" s="6">
        <f>SUM('AF&amp;L:Villanova'!L18)</f>
        <v>12214705</v>
      </c>
      <c r="J18" s="1">
        <f>SUM('AF&amp;L:Villanova'!M18)</f>
        <v>2699795</v>
      </c>
      <c r="L18" s="1">
        <f>SUM('AF&amp;L:Villanova'!O18)</f>
        <v>14240276</v>
      </c>
      <c r="M18" s="1">
        <f>SUM('AF&amp;L:Villanova'!P18)</f>
        <v>0</v>
      </c>
      <c r="O18" s="1">
        <f>SUM('AF&amp;L:Villanova'!R18)</f>
        <v>5379135</v>
      </c>
      <c r="P18" s="1">
        <f>SUM('AF&amp;L:Villanova'!S18)</f>
        <v>0</v>
      </c>
      <c r="R18" s="1">
        <f>SUM('AF&amp;L:Villanova'!U18)</f>
        <v>0</v>
      </c>
      <c r="S18" s="9">
        <f>SUM('AF&amp;L:Villanova'!V18)</f>
        <v>0</v>
      </c>
    </row>
    <row r="19" spans="1:19">
      <c r="A19" s="1" t="s">
        <v>32</v>
      </c>
      <c r="B19" s="6">
        <f>+'Pre-Liquidation Summary'!B19+'Open Summary'!B19+'Closed Summary'!B19+'Estate Closed Summary'!B19+'Released from Oversight Summary'!B19</f>
        <v>149350139.55769497</v>
      </c>
      <c r="C19" s="1">
        <f>+'Pre-Liquidation Summary'!C19+'Open Summary'!C19+'Closed Summary'!C19+'Estate Closed Summary'!C19+'Released from Oversight Summary'!C19</f>
        <v>199196691.42525053</v>
      </c>
      <c r="D19" s="1">
        <f>+'Pre-Liquidation Summary'!D19+'Open Summary'!D19+'Closed Summary'!D19+'Estate Closed Summary'!D19+'Released from Oversight Summary'!D19</f>
        <v>122819196.99460281</v>
      </c>
      <c r="E19" s="1">
        <f>+'Pre-Liquidation Summary'!E19+'Open Summary'!E19+'Closed Summary'!E19+'Estate Closed Summary'!E19+'Released from Oversight Summary'!E19</f>
        <v>8871311.0698575974</v>
      </c>
      <c r="F19" s="1">
        <f>+'Pre-Liquidation Summary'!F19+'Open Summary'!F19+'Closed Summary'!F19+'Estate Closed Summary'!F19+'Released from Oversight Summary'!F19</f>
        <v>0</v>
      </c>
      <c r="G19" s="9">
        <f>SUM(IL_FINANCIAL)</f>
        <v>480237339.0474059</v>
      </c>
      <c r="I19" s="6">
        <f>SUM('AF&amp;L:Villanova'!L19)</f>
        <v>205589738</v>
      </c>
      <c r="J19" s="1">
        <f>SUM('AF&amp;L:Villanova'!M19)</f>
        <v>37995670</v>
      </c>
      <c r="L19" s="1">
        <f>SUM('AF&amp;L:Villanova'!O19)</f>
        <v>273222147</v>
      </c>
      <c r="M19" s="1">
        <f>SUM('AF&amp;L:Villanova'!P19)</f>
        <v>103530755</v>
      </c>
      <c r="O19" s="1">
        <f>SUM('AF&amp;L:Villanova'!R19)</f>
        <v>111280000</v>
      </c>
      <c r="P19" s="1">
        <f>SUM('AF&amp;L:Villanova'!S19)</f>
        <v>18748240</v>
      </c>
      <c r="R19" s="1">
        <f>SUM('AF&amp;L:Villanova'!U19)</f>
        <v>77450410</v>
      </c>
      <c r="S19" s="9">
        <f>SUM('AF&amp;L:Villanova'!V19)</f>
        <v>59759367</v>
      </c>
    </row>
    <row r="20" spans="1:19">
      <c r="A20" s="1" t="s">
        <v>34</v>
      </c>
      <c r="B20" s="6">
        <f>+'Pre-Liquidation Summary'!B20+'Open Summary'!B20+'Closed Summary'!B20+'Estate Closed Summary'!B20+'Released from Oversight Summary'!B20</f>
        <v>34884148.2547969</v>
      </c>
      <c r="C20" s="1">
        <f>+'Pre-Liquidation Summary'!C20+'Open Summary'!C20+'Closed Summary'!C20+'Estate Closed Summary'!C20+'Released from Oversight Summary'!C20</f>
        <v>76242313.502056077</v>
      </c>
      <c r="D20" s="1">
        <f>+'Pre-Liquidation Summary'!D20+'Open Summary'!D20+'Closed Summary'!D20+'Estate Closed Summary'!D20+'Released from Oversight Summary'!D20</f>
        <v>39972095.732240371</v>
      </c>
      <c r="E20" s="1">
        <f>+'Pre-Liquidation Summary'!E20+'Open Summary'!E20+'Closed Summary'!E20+'Estate Closed Summary'!E20+'Released from Oversight Summary'!E20</f>
        <v>4702470.1575008361</v>
      </c>
      <c r="F20" s="1">
        <f>+'Pre-Liquidation Summary'!F20+'Open Summary'!F20+'Closed Summary'!F20+'Estate Closed Summary'!F20+'Released from Oversight Summary'!F20</f>
        <v>0</v>
      </c>
      <c r="G20" s="9">
        <f>SUM(IN_FINANCIAL)</f>
        <v>155801027.6465942</v>
      </c>
      <c r="I20" s="6">
        <f>SUM('AF&amp;L:Villanova'!L20)</f>
        <v>36726351</v>
      </c>
      <c r="J20" s="1">
        <f>SUM('AF&amp;L:Villanova'!M20)</f>
        <v>5000000</v>
      </c>
      <c r="L20" s="1">
        <f>SUM('AF&amp;L:Villanova'!O20)</f>
        <v>94662620</v>
      </c>
      <c r="M20" s="1">
        <f>SUM('AF&amp;L:Villanova'!P20)</f>
        <v>4999960</v>
      </c>
      <c r="O20" s="1">
        <f>SUM('AF&amp;L:Villanova'!R20)</f>
        <v>43846164</v>
      </c>
      <c r="P20" s="1">
        <f>SUM('AF&amp;L:Villanova'!S20)</f>
        <v>0</v>
      </c>
      <c r="R20" s="1">
        <f>SUM('AF&amp;L:Villanova'!U20)</f>
        <v>0</v>
      </c>
      <c r="S20" s="9">
        <f>SUM('AF&amp;L:Villanova'!V20)</f>
        <v>0</v>
      </c>
    </row>
    <row r="21" spans="1:19">
      <c r="A21" s="1" t="s">
        <v>36</v>
      </c>
      <c r="B21" s="6">
        <f>+'Pre-Liquidation Summary'!B21+'Open Summary'!B21+'Closed Summary'!B21+'Estate Closed Summary'!B21+'Released from Oversight Summary'!B21</f>
        <v>33181593.398967728</v>
      </c>
      <c r="C21" s="1">
        <f>+'Pre-Liquidation Summary'!C21+'Open Summary'!C21+'Closed Summary'!C21+'Estate Closed Summary'!C21+'Released from Oversight Summary'!C21</f>
        <v>47223449.673517354</v>
      </c>
      <c r="D21" s="1">
        <f>+'Pre-Liquidation Summary'!D21+'Open Summary'!D21+'Closed Summary'!D21+'Estate Closed Summary'!D21+'Released from Oversight Summary'!D21</f>
        <v>100901891.90541592</v>
      </c>
      <c r="E21" s="1">
        <f>+'Pre-Liquidation Summary'!E21+'Open Summary'!E21+'Closed Summary'!E21+'Estate Closed Summary'!E21+'Released from Oversight Summary'!E21</f>
        <v>40288.610687939588</v>
      </c>
      <c r="F21" s="1">
        <f>+'Pre-Liquidation Summary'!F21+'Open Summary'!F21+'Closed Summary'!F21+'Estate Closed Summary'!F21+'Released from Oversight Summary'!F21</f>
        <v>0</v>
      </c>
      <c r="G21" s="9">
        <f>SUM(IA_FINANCIAL)</f>
        <v>181347223.58858895</v>
      </c>
      <c r="I21" s="6">
        <f>SUM('AF&amp;L:Villanova'!L21)</f>
        <v>37559122</v>
      </c>
      <c r="J21" s="1">
        <f>SUM('AF&amp;L:Villanova'!M21)</f>
        <v>0</v>
      </c>
      <c r="L21" s="1">
        <f>SUM('AF&amp;L:Villanova'!O21)</f>
        <v>59014908</v>
      </c>
      <c r="M21" s="1">
        <f>SUM('AF&amp;L:Villanova'!P21)</f>
        <v>223887</v>
      </c>
      <c r="O21" s="1">
        <f>SUM('AF&amp;L:Villanova'!R21)</f>
        <v>92495360</v>
      </c>
      <c r="P21" s="1">
        <f>SUM('AF&amp;L:Villanova'!S21)</f>
        <v>0</v>
      </c>
      <c r="R21" s="1">
        <f>SUM('AF&amp;L:Villanova'!U21)</f>
        <v>1280000</v>
      </c>
      <c r="S21" s="9">
        <f>SUM('AF&amp;L:Villanova'!V21)</f>
        <v>0</v>
      </c>
    </row>
    <row r="22" spans="1:19">
      <c r="A22" s="1" t="s">
        <v>38</v>
      </c>
      <c r="B22" s="6">
        <f>+'Pre-Liquidation Summary'!B22+'Open Summary'!B22+'Closed Summary'!B22+'Estate Closed Summary'!B22+'Released from Oversight Summary'!B22</f>
        <v>39128398.177047841</v>
      </c>
      <c r="C22" s="1">
        <f>+'Pre-Liquidation Summary'!C22+'Open Summary'!C22+'Closed Summary'!C22+'Estate Closed Summary'!C22+'Released from Oversight Summary'!C22</f>
        <v>36936419.049015522</v>
      </c>
      <c r="D22" s="1">
        <f>+'Pre-Liquidation Summary'!D22+'Open Summary'!D22+'Closed Summary'!D22+'Estate Closed Summary'!D22+'Released from Oversight Summary'!D22</f>
        <v>15449335.992112003</v>
      </c>
      <c r="E22" s="1">
        <f>+'Pre-Liquidation Summary'!E22+'Open Summary'!E22+'Closed Summary'!E22+'Estate Closed Summary'!E22+'Released from Oversight Summary'!E22</f>
        <v>0</v>
      </c>
      <c r="F22" s="1">
        <f>+'Pre-Liquidation Summary'!F22+'Open Summary'!F22+'Closed Summary'!F22+'Estate Closed Summary'!F22+'Released from Oversight Summary'!F22</f>
        <v>0</v>
      </c>
      <c r="G22" s="9">
        <f>SUM(KS_FINANCIAL)</f>
        <v>91514153.218175381</v>
      </c>
      <c r="I22" s="6">
        <f>SUM('AF&amp;L:Villanova'!L22)</f>
        <v>41561000</v>
      </c>
      <c r="J22" s="1">
        <f>SUM('AF&amp;L:Villanova'!M22)</f>
        <v>0</v>
      </c>
      <c r="L22" s="1">
        <f>SUM('AF&amp;L:Villanova'!O22)</f>
        <v>19115000</v>
      </c>
      <c r="M22" s="1">
        <f>SUM('AF&amp;L:Villanova'!P22)</f>
        <v>0</v>
      </c>
      <c r="O22" s="1">
        <f>SUM('AF&amp;L:Villanova'!R22)</f>
        <v>11450000</v>
      </c>
      <c r="P22" s="1">
        <f>SUM('AF&amp;L:Villanova'!S22)</f>
        <v>0</v>
      </c>
      <c r="R22" s="1">
        <f>SUM('AF&amp;L:Villanova'!U22)</f>
        <v>0</v>
      </c>
      <c r="S22" s="9">
        <f>SUM('AF&amp;L:Villanova'!V22)</f>
        <v>0</v>
      </c>
    </row>
    <row r="23" spans="1:19">
      <c r="A23" s="1" t="s">
        <v>40</v>
      </c>
      <c r="B23" s="6">
        <f>+'Pre-Liquidation Summary'!B23+'Open Summary'!B23+'Closed Summary'!B23+'Estate Closed Summary'!B23+'Released from Oversight Summary'!B23</f>
        <v>24671380.966398008</v>
      </c>
      <c r="C23" s="1">
        <f>+'Pre-Liquidation Summary'!C23+'Open Summary'!C23+'Closed Summary'!C23+'Estate Closed Summary'!C23+'Released from Oversight Summary'!C23</f>
        <v>52790755.83741197</v>
      </c>
      <c r="D23" s="1">
        <f>+'Pre-Liquidation Summary'!D23+'Open Summary'!D23+'Closed Summary'!D23+'Estate Closed Summary'!D23+'Released from Oversight Summary'!D23</f>
        <v>47682643.391961373</v>
      </c>
      <c r="E23" s="1">
        <f>+'Pre-Liquidation Summary'!E23+'Open Summary'!E23+'Closed Summary'!E23+'Estate Closed Summary'!E23+'Released from Oversight Summary'!E23</f>
        <v>0</v>
      </c>
      <c r="F23" s="1">
        <f>+'Pre-Liquidation Summary'!F23+'Open Summary'!F23+'Closed Summary'!F23+'Estate Closed Summary'!F23+'Released from Oversight Summary'!F23</f>
        <v>0</v>
      </c>
      <c r="G23" s="9">
        <f>SUM(KY_FINANCIAL)</f>
        <v>125144780.19577134</v>
      </c>
      <c r="I23" s="6">
        <f>SUM('AF&amp;L:Villanova'!L23)</f>
        <v>51816219</v>
      </c>
      <c r="J23" s="1">
        <f>SUM('AF&amp;L:Villanova'!M23)</f>
        <v>16734637.4</v>
      </c>
      <c r="L23" s="1">
        <f>SUM('AF&amp;L:Villanova'!O23)</f>
        <v>67706630</v>
      </c>
      <c r="M23" s="1">
        <f>SUM('AF&amp;L:Villanova'!P23)</f>
        <v>4349723.96</v>
      </c>
      <c r="O23" s="1">
        <f>SUM('AF&amp;L:Villanova'!R23)</f>
        <v>47067681</v>
      </c>
      <c r="P23" s="1">
        <f>SUM('AF&amp;L:Villanova'!S23)</f>
        <v>1053336.01</v>
      </c>
      <c r="R23" s="1">
        <f>SUM('AF&amp;L:Villanova'!U23)</f>
        <v>0</v>
      </c>
      <c r="S23" s="9">
        <f>SUM('AF&amp;L:Villanova'!V23)</f>
        <v>0</v>
      </c>
    </row>
    <row r="24" spans="1:19">
      <c r="A24" s="1" t="s">
        <v>42</v>
      </c>
      <c r="B24" s="6">
        <f>+'Pre-Liquidation Summary'!B24+'Open Summary'!B24+'Closed Summary'!B24+'Estate Closed Summary'!B24+'Released from Oversight Summary'!B24</f>
        <v>50369168.96076338</v>
      </c>
      <c r="C24" s="1">
        <f>+'Pre-Liquidation Summary'!C24+'Open Summary'!C24+'Closed Summary'!C24+'Estate Closed Summary'!C24+'Released from Oversight Summary'!C24</f>
        <v>18031149.423551928</v>
      </c>
      <c r="D24" s="1">
        <f>+'Pre-Liquidation Summary'!D24+'Open Summary'!D24+'Closed Summary'!D24+'Estate Closed Summary'!D24+'Released from Oversight Summary'!D24</f>
        <v>17901284.537214007</v>
      </c>
      <c r="E24" s="1">
        <f>+'Pre-Liquidation Summary'!E24+'Open Summary'!E24+'Closed Summary'!E24+'Estate Closed Summary'!E24+'Released from Oversight Summary'!E24</f>
        <v>0</v>
      </c>
      <c r="F24" s="1">
        <f>+'Pre-Liquidation Summary'!F24+'Open Summary'!F24+'Closed Summary'!F24+'Estate Closed Summary'!F24+'Released from Oversight Summary'!F24</f>
        <v>9620228.1437475644</v>
      </c>
      <c r="G24" s="9">
        <f>SUM(LA_FINANCIAL)</f>
        <v>95921831.065276891</v>
      </c>
      <c r="I24" s="6">
        <f>SUM('AF&amp;L:Villanova'!L24)</f>
        <v>11914508</v>
      </c>
      <c r="J24" s="1">
        <f>SUM('AF&amp;L:Villanova'!M24)</f>
        <v>0</v>
      </c>
      <c r="L24" s="1">
        <f>SUM('AF&amp;L:Villanova'!O24)</f>
        <v>14413707</v>
      </c>
      <c r="M24" s="1">
        <f>SUM('AF&amp;L:Villanova'!P24)</f>
        <v>0</v>
      </c>
      <c r="O24" s="1">
        <f>SUM('AF&amp;L:Villanova'!R24)</f>
        <v>23187832</v>
      </c>
      <c r="P24" s="1">
        <f>SUM('AF&amp;L:Villanova'!S24)</f>
        <v>0</v>
      </c>
      <c r="R24" s="1">
        <f>SUM('AF&amp;L:Villanova'!U24)</f>
        <v>0</v>
      </c>
      <c r="S24" s="9">
        <f>SUM('AF&amp;L:Villanova'!V24)</f>
        <v>0</v>
      </c>
    </row>
    <row r="25" spans="1:19">
      <c r="A25" s="1" t="s">
        <v>44</v>
      </c>
      <c r="B25" s="6">
        <f>+'Pre-Liquidation Summary'!B25+'Open Summary'!B25+'Closed Summary'!B25+'Estate Closed Summary'!B25+'Released from Oversight Summary'!B25</f>
        <v>986902.60091794992</v>
      </c>
      <c r="C25" s="1">
        <f>+'Pre-Liquidation Summary'!C25+'Open Summary'!C25+'Closed Summary'!C25+'Estate Closed Summary'!C25+'Released from Oversight Summary'!C25</f>
        <v>5182566.865466373</v>
      </c>
      <c r="D25" s="1">
        <f>+'Pre-Liquidation Summary'!D25+'Open Summary'!D25+'Closed Summary'!D25+'Estate Closed Summary'!D25+'Released from Oversight Summary'!D25</f>
        <v>1095216.5319458367</v>
      </c>
      <c r="E25" s="1">
        <f>+'Pre-Liquidation Summary'!E25+'Open Summary'!E25+'Closed Summary'!E25+'Estate Closed Summary'!E25+'Released from Oversight Summary'!E25</f>
        <v>63023.182327443486</v>
      </c>
      <c r="F25" s="1">
        <f>+'Pre-Liquidation Summary'!F25+'Open Summary'!F25+'Closed Summary'!F25+'Estate Closed Summary'!F25+'Released from Oversight Summary'!F25</f>
        <v>0</v>
      </c>
      <c r="G25" s="9">
        <f>SUM(ME_FINANCIAL)</f>
        <v>7327709.1806576038</v>
      </c>
      <c r="I25" s="6">
        <f>SUM('AF&amp;L:Villanova'!L25)</f>
        <v>2172639</v>
      </c>
      <c r="J25" s="1">
        <f>SUM('AF&amp;L:Villanova'!M25)</f>
        <v>0</v>
      </c>
      <c r="L25" s="1">
        <f>SUM('AF&amp;L:Villanova'!O25)</f>
        <v>6441361</v>
      </c>
      <c r="M25" s="1">
        <f>SUM('AF&amp;L:Villanova'!P25)</f>
        <v>906</v>
      </c>
      <c r="O25" s="1">
        <f>SUM('AF&amp;L:Villanova'!R25)</f>
        <v>1033496</v>
      </c>
      <c r="P25" s="1">
        <f>SUM('AF&amp;L:Villanova'!S25)</f>
        <v>0</v>
      </c>
      <c r="R25" s="1">
        <f>SUM('AF&amp;L:Villanova'!U25)</f>
        <v>0</v>
      </c>
      <c r="S25" s="9">
        <f>SUM('AF&amp;L:Villanova'!V25)</f>
        <v>0</v>
      </c>
    </row>
    <row r="26" spans="1:19">
      <c r="A26" s="1" t="s">
        <v>45</v>
      </c>
      <c r="B26" s="6">
        <f>+'Pre-Liquidation Summary'!B26+'Open Summary'!B26+'Closed Summary'!B26+'Estate Closed Summary'!B26+'Released from Oversight Summary'!B26</f>
        <v>46502085.465245202</v>
      </c>
      <c r="C26" s="1">
        <f>+'Pre-Liquidation Summary'!C26+'Open Summary'!C26+'Closed Summary'!C26+'Estate Closed Summary'!C26+'Released from Oversight Summary'!C26</f>
        <v>50934829.739925176</v>
      </c>
      <c r="D26" s="1">
        <f>+'Pre-Liquidation Summary'!D26+'Open Summary'!D26+'Closed Summary'!D26+'Estate Closed Summary'!D26+'Released from Oversight Summary'!D26</f>
        <v>35632841.663814746</v>
      </c>
      <c r="E26" s="1">
        <f>+'Pre-Liquidation Summary'!E26+'Open Summary'!E26+'Closed Summary'!E26+'Estate Closed Summary'!E26+'Released from Oversight Summary'!E26</f>
        <v>5664061.4176475042</v>
      </c>
      <c r="F26" s="1">
        <f>+'Pre-Liquidation Summary'!F26+'Open Summary'!F26+'Closed Summary'!F26+'Estate Closed Summary'!F26+'Released from Oversight Summary'!F26</f>
        <v>0</v>
      </c>
      <c r="G26" s="9">
        <f>SUM(MD_FINANCIAL)</f>
        <v>138733818.28663263</v>
      </c>
      <c r="I26" s="6">
        <f>SUM('AF&amp;L:Villanova'!L26)</f>
        <v>44137287</v>
      </c>
      <c r="J26" s="1">
        <f>SUM('AF&amp;L:Villanova'!M26)</f>
        <v>0</v>
      </c>
      <c r="L26" s="1">
        <f>SUM('AF&amp;L:Villanova'!O26)</f>
        <v>73062121</v>
      </c>
      <c r="M26" s="1">
        <f>SUM('AF&amp;L:Villanova'!P26)</f>
        <v>0</v>
      </c>
      <c r="O26" s="1">
        <f>SUM('AF&amp;L:Villanova'!R26)</f>
        <v>32700000</v>
      </c>
      <c r="P26" s="1">
        <f>SUM('AF&amp;L:Villanova'!S26)</f>
        <v>0</v>
      </c>
      <c r="R26" s="1">
        <f>SUM('AF&amp;L:Villanova'!U26)</f>
        <v>0</v>
      </c>
      <c r="S26" s="9">
        <f>SUM('AF&amp;L:Villanova'!V26)</f>
        <v>0</v>
      </c>
    </row>
    <row r="27" spans="1:19">
      <c r="A27" s="1" t="s">
        <v>47</v>
      </c>
      <c r="B27" s="6">
        <f>+'Pre-Liquidation Summary'!B27+'Open Summary'!B27+'Closed Summary'!B27+'Estate Closed Summary'!B27+'Released from Oversight Summary'!B27</f>
        <v>46561354.166610137</v>
      </c>
      <c r="C27" s="1">
        <f>+'Pre-Liquidation Summary'!C27+'Open Summary'!C27+'Closed Summary'!C27+'Estate Closed Summary'!C27+'Released from Oversight Summary'!C27</f>
        <v>138417483.86395177</v>
      </c>
      <c r="D27" s="1">
        <f>+'Pre-Liquidation Summary'!D27+'Open Summary'!D27+'Closed Summary'!D27+'Estate Closed Summary'!D27+'Released from Oversight Summary'!D27</f>
        <v>5303160.3618537318</v>
      </c>
      <c r="E27" s="1">
        <f>+'Pre-Liquidation Summary'!E27+'Open Summary'!E27+'Closed Summary'!E27+'Estate Closed Summary'!E27+'Released from Oversight Summary'!E27</f>
        <v>0</v>
      </c>
      <c r="F27" s="1">
        <f>+'Pre-Liquidation Summary'!F27+'Open Summary'!F27+'Closed Summary'!F27+'Estate Closed Summary'!F27+'Released from Oversight Summary'!F27</f>
        <v>0</v>
      </c>
      <c r="G27" s="9">
        <f>SUM(MA_FINANCIAL)</f>
        <v>190281998.39241564</v>
      </c>
      <c r="I27" s="6">
        <f>SUM('AF&amp;L:Villanova'!L27)</f>
        <v>47675000</v>
      </c>
      <c r="J27" s="1">
        <f>SUM('AF&amp;L:Villanova'!M27)</f>
        <v>2125000</v>
      </c>
      <c r="L27" s="1">
        <f>SUM('AF&amp;L:Villanova'!O27)</f>
        <v>157441000</v>
      </c>
      <c r="M27" s="1">
        <f>SUM('AF&amp;L:Villanova'!P27)</f>
        <v>700000</v>
      </c>
      <c r="O27" s="1">
        <f>SUM('AF&amp;L:Villanova'!R27)</f>
        <v>7554000</v>
      </c>
      <c r="P27" s="1">
        <f>SUM('AF&amp;L:Villanova'!S27)</f>
        <v>1475000</v>
      </c>
      <c r="R27" s="1">
        <f>SUM('AF&amp;L:Villanova'!U27)</f>
        <v>0</v>
      </c>
      <c r="S27" s="9">
        <f>SUM('AF&amp;L:Villanova'!V27)</f>
        <v>0</v>
      </c>
    </row>
    <row r="28" spans="1:19">
      <c r="A28" s="1" t="s">
        <v>49</v>
      </c>
      <c r="B28" s="6">
        <f>+'Pre-Liquidation Summary'!B28+'Open Summary'!B28+'Closed Summary'!B28+'Estate Closed Summary'!B28+'Released from Oversight Summary'!B28</f>
        <v>19741834.22630607</v>
      </c>
      <c r="C28" s="1">
        <f>+'Pre-Liquidation Summary'!C28+'Open Summary'!C28+'Closed Summary'!C28+'Estate Closed Summary'!C28+'Released from Oversight Summary'!C28</f>
        <v>122361709.65553129</v>
      </c>
      <c r="D28" s="1">
        <f>+'Pre-Liquidation Summary'!D28+'Open Summary'!D28+'Closed Summary'!D28+'Estate Closed Summary'!D28+'Released from Oversight Summary'!D28</f>
        <v>40622937.206770547</v>
      </c>
      <c r="E28" s="1">
        <f>+'Pre-Liquidation Summary'!E28+'Open Summary'!E28+'Closed Summary'!E28+'Estate Closed Summary'!E28+'Released from Oversight Summary'!E28</f>
        <v>3317819.2263248605</v>
      </c>
      <c r="F28" s="1">
        <f>+'Pre-Liquidation Summary'!F28+'Open Summary'!F28+'Closed Summary'!F28+'Estate Closed Summary'!F28+'Released from Oversight Summary'!F28</f>
        <v>0</v>
      </c>
      <c r="G28" s="9">
        <f>SUM(MI_FINANCIAL)</f>
        <v>186044300.31493276</v>
      </c>
      <c r="I28" s="6">
        <f>SUM('AF&amp;L:Villanova'!L28)</f>
        <v>31384735</v>
      </c>
      <c r="J28" s="1">
        <f>SUM('AF&amp;L:Villanova'!M28)</f>
        <v>13088981</v>
      </c>
      <c r="L28" s="1">
        <f>SUM('AF&amp;L:Villanova'!O28)</f>
        <v>174795133</v>
      </c>
      <c r="M28" s="1">
        <f>SUM('AF&amp;L:Villanova'!P28)</f>
        <v>10100034</v>
      </c>
      <c r="O28" s="1">
        <f>SUM('AF&amp;L:Villanova'!R28)</f>
        <v>36960311</v>
      </c>
      <c r="P28" s="1">
        <f>SUM('AF&amp;L:Villanova'!S28)</f>
        <v>4998893</v>
      </c>
      <c r="R28" s="1">
        <f>SUM('AF&amp;L:Villanova'!U28)</f>
        <v>34158333</v>
      </c>
      <c r="S28" s="9">
        <f>SUM('AF&amp;L:Villanova'!V28)</f>
        <v>29297170</v>
      </c>
    </row>
    <row r="29" spans="1:19">
      <c r="A29" s="1" t="s">
        <v>50</v>
      </c>
      <c r="B29" s="6">
        <f>+'Pre-Liquidation Summary'!B29+'Open Summary'!B29+'Closed Summary'!B29+'Estate Closed Summary'!B29+'Released from Oversight Summary'!B29</f>
        <v>18006425.272954252</v>
      </c>
      <c r="C29" s="1">
        <f>+'Pre-Liquidation Summary'!C29+'Open Summary'!C29+'Closed Summary'!C29+'Estate Closed Summary'!C29+'Released from Oversight Summary'!C29</f>
        <v>75206639.948738024</v>
      </c>
      <c r="D29" s="1">
        <f>+'Pre-Liquidation Summary'!D29+'Open Summary'!D29+'Closed Summary'!D29+'Estate Closed Summary'!D29+'Released from Oversight Summary'!D29</f>
        <v>4969453.7258804888</v>
      </c>
      <c r="E29" s="1">
        <f>+'Pre-Liquidation Summary'!E29+'Open Summary'!E29+'Closed Summary'!E29+'Estate Closed Summary'!E29+'Released from Oversight Summary'!E29</f>
        <v>2406850.4443886154</v>
      </c>
      <c r="F29" s="1">
        <f>+'Pre-Liquidation Summary'!F29+'Open Summary'!F29+'Closed Summary'!F29+'Estate Closed Summary'!F29+'Released from Oversight Summary'!F29</f>
        <v>0</v>
      </c>
      <c r="G29" s="9">
        <f>SUM(MN_FINANCIAL)</f>
        <v>100589369.39196138</v>
      </c>
      <c r="I29" s="6">
        <f>SUM('AF&amp;L:Villanova'!L29)</f>
        <v>24063000</v>
      </c>
      <c r="J29" s="1">
        <f>SUM('AF&amp;L:Villanova'!M29)</f>
        <v>2144001</v>
      </c>
      <c r="L29" s="1">
        <f>SUM('AF&amp;L:Villanova'!O29)</f>
        <v>120079500</v>
      </c>
      <c r="M29" s="1">
        <f>SUM('AF&amp;L:Villanova'!P29)</f>
        <v>24707255</v>
      </c>
      <c r="O29" s="1">
        <f>SUM('AF&amp;L:Villanova'!R29)</f>
        <v>4968500</v>
      </c>
      <c r="P29" s="1">
        <f>SUM('AF&amp;L:Villanova'!S29)</f>
        <v>0</v>
      </c>
      <c r="R29" s="1">
        <f>SUM('AF&amp;L:Villanova'!U29)</f>
        <v>5700000</v>
      </c>
      <c r="S29" s="9">
        <f>SUM('AF&amp;L:Villanova'!V29)</f>
        <v>0</v>
      </c>
    </row>
    <row r="30" spans="1:19">
      <c r="A30" s="1" t="s">
        <v>51</v>
      </c>
      <c r="B30" s="6">
        <f>+'Pre-Liquidation Summary'!B30+'Open Summary'!B30+'Closed Summary'!B30+'Estate Closed Summary'!B30+'Released from Oversight Summary'!B30</f>
        <v>65356005.991930783</v>
      </c>
      <c r="C30" s="1">
        <f>+'Pre-Liquidation Summary'!C30+'Open Summary'!C30+'Closed Summary'!C30+'Estate Closed Summary'!C30+'Released from Oversight Summary'!C30</f>
        <v>22402031.283380501</v>
      </c>
      <c r="D30" s="1">
        <f>+'Pre-Liquidation Summary'!D30+'Open Summary'!D30+'Closed Summary'!D30+'Estate Closed Summary'!D30+'Released from Oversight Summary'!D30</f>
        <v>31717457.193541743</v>
      </c>
      <c r="E30" s="1">
        <f>+'Pre-Liquidation Summary'!E30+'Open Summary'!E30+'Closed Summary'!E30+'Estate Closed Summary'!E30+'Released from Oversight Summary'!E30</f>
        <v>94448.881541999261</v>
      </c>
      <c r="F30" s="1">
        <f>+'Pre-Liquidation Summary'!F30+'Open Summary'!F30+'Closed Summary'!F30+'Estate Closed Summary'!F30+'Released from Oversight Summary'!F30</f>
        <v>0</v>
      </c>
      <c r="G30" s="9">
        <f>SUM(MS_FINANCIAL)</f>
        <v>119569943.35039502</v>
      </c>
      <c r="I30" s="6">
        <f>SUM('AF&amp;L:Villanova'!L30)</f>
        <v>50334095</v>
      </c>
      <c r="J30" s="1">
        <f>SUM('AF&amp;L:Villanova'!M30)</f>
        <v>14626</v>
      </c>
      <c r="L30" s="1">
        <f>SUM('AF&amp;L:Villanova'!O30)</f>
        <v>20172670</v>
      </c>
      <c r="M30" s="1">
        <f>SUM('AF&amp;L:Villanova'!P30)</f>
        <v>0</v>
      </c>
      <c r="O30" s="1">
        <f>SUM('AF&amp;L:Villanova'!R30)</f>
        <v>26034678</v>
      </c>
      <c r="P30" s="1">
        <f>SUM('AF&amp;L:Villanova'!S30)</f>
        <v>30041</v>
      </c>
      <c r="R30" s="1">
        <f>SUM('AF&amp;L:Villanova'!U30)</f>
        <v>6850139</v>
      </c>
      <c r="S30" s="9">
        <f>SUM('AF&amp;L:Villanova'!V30)</f>
        <v>0</v>
      </c>
    </row>
    <row r="31" spans="1:19">
      <c r="A31" s="1" t="s">
        <v>52</v>
      </c>
      <c r="B31" s="6">
        <f>+'Pre-Liquidation Summary'!B31+'Open Summary'!B31+'Closed Summary'!B31+'Estate Closed Summary'!B31+'Released from Oversight Summary'!B31</f>
        <v>154035205.15893534</v>
      </c>
      <c r="C31" s="1">
        <f>+'Pre-Liquidation Summary'!C31+'Open Summary'!C31+'Closed Summary'!C31+'Estate Closed Summary'!C31+'Released from Oversight Summary'!C31</f>
        <v>53557496.905418687</v>
      </c>
      <c r="D31" s="1">
        <f>+'Pre-Liquidation Summary'!D31+'Open Summary'!D31+'Closed Summary'!D31+'Estate Closed Summary'!D31+'Released from Oversight Summary'!D31</f>
        <v>27120915.443000071</v>
      </c>
      <c r="E31" s="1">
        <f>+'Pre-Liquidation Summary'!E31+'Open Summary'!E31+'Closed Summary'!E31+'Estate Closed Summary'!E31+'Released from Oversight Summary'!E31</f>
        <v>27443.965790575112</v>
      </c>
      <c r="F31" s="1">
        <f>+'Pre-Liquidation Summary'!F31+'Open Summary'!F31+'Closed Summary'!F31+'Estate Closed Summary'!F31+'Released from Oversight Summary'!F31</f>
        <v>0</v>
      </c>
      <c r="G31" s="9">
        <f>SUM(MO_FINANCIAL)</f>
        <v>234741061.47314468</v>
      </c>
      <c r="I31" s="6">
        <f>SUM('AF&amp;L:Villanova'!L31)</f>
        <v>166523552</v>
      </c>
      <c r="J31" s="1">
        <f>SUM('AF&amp;L:Villanova'!M31)</f>
        <v>0</v>
      </c>
      <c r="L31" s="1">
        <f>SUM('AF&amp;L:Villanova'!O31)</f>
        <v>57285110</v>
      </c>
      <c r="M31" s="1">
        <f>SUM('AF&amp;L:Villanova'!P31)</f>
        <v>0</v>
      </c>
      <c r="O31" s="1">
        <f>SUM('AF&amp;L:Villanova'!R31)</f>
        <v>26932629</v>
      </c>
      <c r="P31" s="1">
        <f>SUM('AF&amp;L:Villanova'!S31)</f>
        <v>0</v>
      </c>
      <c r="R31" s="1">
        <f>SUM('AF&amp;L:Villanova'!U31)</f>
        <v>0</v>
      </c>
      <c r="S31" s="9">
        <f>SUM('AF&amp;L:Villanova'!V31)</f>
        <v>0</v>
      </c>
    </row>
    <row r="32" spans="1:19">
      <c r="A32" s="1" t="s">
        <v>53</v>
      </c>
      <c r="B32" s="6">
        <f>+'Pre-Liquidation Summary'!B32+'Open Summary'!B32+'Closed Summary'!B32+'Estate Closed Summary'!B32+'Released from Oversight Summary'!B32</f>
        <v>4662503.8560181204</v>
      </c>
      <c r="C32" s="1">
        <f>+'Pre-Liquidation Summary'!C32+'Open Summary'!C32+'Closed Summary'!C32+'Estate Closed Summary'!C32+'Released from Oversight Summary'!C32</f>
        <v>7647283.2137470543</v>
      </c>
      <c r="D32" s="1">
        <f>+'Pre-Liquidation Summary'!D32+'Open Summary'!D32+'Closed Summary'!D32+'Estate Closed Summary'!D32+'Released from Oversight Summary'!D32</f>
        <v>6494202.6173877893</v>
      </c>
      <c r="E32" s="1">
        <f>+'Pre-Liquidation Summary'!E32+'Open Summary'!E32+'Closed Summary'!E32+'Estate Closed Summary'!E32+'Released from Oversight Summary'!E32</f>
        <v>0</v>
      </c>
      <c r="F32" s="1">
        <f>+'Pre-Liquidation Summary'!F32+'Open Summary'!F32+'Closed Summary'!F32+'Estate Closed Summary'!F32+'Released from Oversight Summary'!F32</f>
        <v>0</v>
      </c>
      <c r="G32" s="9">
        <f>SUM(MT_FINANCIAL)</f>
        <v>18803989.687152963</v>
      </c>
      <c r="I32" s="6">
        <f>SUM('AF&amp;L:Villanova'!L32)</f>
        <v>8210287</v>
      </c>
      <c r="J32" s="1">
        <f>SUM('AF&amp;L:Villanova'!M32)</f>
        <v>0</v>
      </c>
      <c r="L32" s="1">
        <f>SUM('AF&amp;L:Villanova'!O32)</f>
        <v>9223955</v>
      </c>
      <c r="M32" s="1">
        <f>SUM('AF&amp;L:Villanova'!P32)</f>
        <v>0</v>
      </c>
      <c r="O32" s="1">
        <f>SUM('AF&amp;L:Villanova'!R32)</f>
        <v>5457700</v>
      </c>
      <c r="P32" s="1">
        <f>SUM('AF&amp;L:Villanova'!S32)</f>
        <v>0</v>
      </c>
      <c r="R32" s="1">
        <f>SUM('AF&amp;L:Villanova'!U32)</f>
        <v>0</v>
      </c>
      <c r="S32" s="9">
        <f>SUM('AF&amp;L:Villanova'!V32)</f>
        <v>0</v>
      </c>
    </row>
    <row r="33" spans="1:19">
      <c r="A33" s="1" t="s">
        <v>54</v>
      </c>
      <c r="B33" s="6">
        <f>+'Pre-Liquidation Summary'!B33+'Open Summary'!B33+'Closed Summary'!B33+'Estate Closed Summary'!B33+'Released from Oversight Summary'!B33</f>
        <v>15574766.00565704</v>
      </c>
      <c r="C33" s="1">
        <f>+'Pre-Liquidation Summary'!C33+'Open Summary'!C33+'Closed Summary'!C33+'Estate Closed Summary'!C33+'Released from Oversight Summary'!C33</f>
        <v>22707041.664320704</v>
      </c>
      <c r="D33" s="1">
        <f>+'Pre-Liquidation Summary'!D33+'Open Summary'!D33+'Closed Summary'!D33+'Estate Closed Summary'!D33+'Released from Oversight Summary'!D33</f>
        <v>48192683.11557509</v>
      </c>
      <c r="E33" s="1">
        <f>+'Pre-Liquidation Summary'!E33+'Open Summary'!E33+'Closed Summary'!E33+'Estate Closed Summary'!E33+'Released from Oversight Summary'!E33</f>
        <v>0</v>
      </c>
      <c r="F33" s="1">
        <f>+'Pre-Liquidation Summary'!F33+'Open Summary'!F33+'Closed Summary'!F33+'Estate Closed Summary'!F33+'Released from Oversight Summary'!F33</f>
        <v>0</v>
      </c>
      <c r="G33" s="9">
        <f>SUM(NE_FINANCIAL)</f>
        <v>86474490.78555283</v>
      </c>
      <c r="I33" s="6">
        <f>SUM('AF&amp;L:Villanova'!L33)</f>
        <v>11938351</v>
      </c>
      <c r="J33" s="1">
        <f>SUM('AF&amp;L:Villanova'!M33)</f>
        <v>532785</v>
      </c>
      <c r="L33" s="1">
        <f>SUM('AF&amp;L:Villanova'!O33)</f>
        <v>17050339</v>
      </c>
      <c r="M33" s="1">
        <f>SUM('AF&amp;L:Villanova'!P33)</f>
        <v>293315</v>
      </c>
      <c r="O33" s="1">
        <f>SUM('AF&amp;L:Villanova'!R33)</f>
        <v>65724326</v>
      </c>
      <c r="P33" s="1">
        <f>SUM('AF&amp;L:Villanova'!S33)</f>
        <v>5700000</v>
      </c>
      <c r="R33" s="1">
        <f>SUM('AF&amp;L:Villanova'!U33)</f>
        <v>0</v>
      </c>
      <c r="S33" s="9">
        <f>SUM('AF&amp;L:Villanova'!V33)</f>
        <v>0</v>
      </c>
    </row>
    <row r="34" spans="1:19">
      <c r="A34" s="1" t="s">
        <v>55</v>
      </c>
      <c r="B34" s="6">
        <f>+'Pre-Liquidation Summary'!B34+'Open Summary'!B34+'Closed Summary'!B34+'Estate Closed Summary'!B34+'Released from Oversight Summary'!B34</f>
        <v>14046024.067036638</v>
      </c>
      <c r="C34" s="1">
        <f>+'Pre-Liquidation Summary'!C34+'Open Summary'!C34+'Closed Summary'!C34+'Estate Closed Summary'!C34+'Released from Oversight Summary'!C34</f>
        <v>12922213.115313314</v>
      </c>
      <c r="D34" s="1">
        <f>+'Pre-Liquidation Summary'!D34+'Open Summary'!D34+'Closed Summary'!D34+'Estate Closed Summary'!D34+'Released from Oversight Summary'!D34</f>
        <v>21921169.68989142</v>
      </c>
      <c r="E34" s="1">
        <f>+'Pre-Liquidation Summary'!E34+'Open Summary'!E34+'Closed Summary'!E34+'Estate Closed Summary'!E34+'Released from Oversight Summary'!E34</f>
        <v>0</v>
      </c>
      <c r="F34" s="1">
        <f>+'Pre-Liquidation Summary'!F34+'Open Summary'!F34+'Closed Summary'!F34+'Estate Closed Summary'!F34+'Released from Oversight Summary'!F34</f>
        <v>0</v>
      </c>
      <c r="G34" s="9">
        <f>SUM(NV_FINANCIAL)</f>
        <v>48889406.87224137</v>
      </c>
      <c r="I34" s="6">
        <f>SUM('AF&amp;L:Villanova'!L34)</f>
        <v>12262827</v>
      </c>
      <c r="J34" s="1">
        <f>SUM('AF&amp;L:Villanova'!M34)</f>
        <v>337000</v>
      </c>
      <c r="L34" s="1">
        <f>SUM('AF&amp;L:Villanova'!O34)</f>
        <v>14197685</v>
      </c>
      <c r="M34" s="1">
        <f>SUM('AF&amp;L:Villanova'!P34)</f>
        <v>69630</v>
      </c>
      <c r="O34" s="1">
        <f>SUM('AF&amp;L:Villanova'!R34)</f>
        <v>27839600</v>
      </c>
      <c r="P34" s="1">
        <f>SUM('AF&amp;L:Villanova'!S34)</f>
        <v>178000</v>
      </c>
      <c r="R34" s="1">
        <f>SUM('AF&amp;L:Villanova'!U34)</f>
        <v>0</v>
      </c>
      <c r="S34" s="9">
        <f>SUM('AF&amp;L:Villanova'!V34)</f>
        <v>0</v>
      </c>
    </row>
    <row r="35" spans="1:19">
      <c r="A35" s="1" t="s">
        <v>56</v>
      </c>
      <c r="B35" s="6">
        <f>+'Pre-Liquidation Summary'!B35+'Open Summary'!B35+'Closed Summary'!B35+'Estate Closed Summary'!B35+'Released from Oversight Summary'!B35</f>
        <v>1007313.2633600883</v>
      </c>
      <c r="C35" s="1">
        <f>+'Pre-Liquidation Summary'!C35+'Open Summary'!C35+'Closed Summary'!C35+'Estate Closed Summary'!C35+'Released from Oversight Summary'!C35</f>
        <v>25928786.227829814</v>
      </c>
      <c r="D35" s="1">
        <f>+'Pre-Liquidation Summary'!D35+'Open Summary'!D35+'Closed Summary'!D35+'Estate Closed Summary'!D35+'Released from Oversight Summary'!D35</f>
        <v>8228353.5945724975</v>
      </c>
      <c r="E35" s="1">
        <f>+'Pre-Liquidation Summary'!E35+'Open Summary'!E35+'Closed Summary'!E35+'Estate Closed Summary'!E35+'Released from Oversight Summary'!E35</f>
        <v>607576.32708864158</v>
      </c>
      <c r="F35" s="1">
        <f>+'Pre-Liquidation Summary'!F35+'Open Summary'!F35+'Closed Summary'!F35+'Estate Closed Summary'!F35+'Released from Oversight Summary'!F35</f>
        <v>0</v>
      </c>
      <c r="G35" s="9">
        <f>SUM(NH_FINANCIAL)</f>
        <v>35772029.412851036</v>
      </c>
      <c r="I35" s="6">
        <f>SUM('AF&amp;L:Villanova'!L35)</f>
        <v>2023542</v>
      </c>
      <c r="J35" s="1">
        <f>SUM('AF&amp;L:Villanova'!M35)</f>
        <v>563123</v>
      </c>
      <c r="L35" s="1">
        <f>SUM('AF&amp;L:Villanova'!O35)</f>
        <v>38781993</v>
      </c>
      <c r="M35" s="1">
        <f>SUM('AF&amp;L:Villanova'!P35)</f>
        <v>996376</v>
      </c>
      <c r="O35" s="1">
        <f>SUM('AF&amp;L:Villanova'!R35)</f>
        <v>6586065</v>
      </c>
      <c r="P35" s="1">
        <f>SUM('AF&amp;L:Villanova'!S35)</f>
        <v>0</v>
      </c>
      <c r="R35" s="1">
        <f>SUM('AF&amp;L:Villanova'!U35)</f>
        <v>0</v>
      </c>
      <c r="S35" s="9">
        <f>SUM('AF&amp;L:Villanova'!V35)</f>
        <v>0</v>
      </c>
    </row>
    <row r="36" spans="1:19">
      <c r="A36" s="1" t="s">
        <v>57</v>
      </c>
      <c r="B36" s="6">
        <f>+'Pre-Liquidation Summary'!B36+'Open Summary'!B36+'Closed Summary'!B36+'Estate Closed Summary'!B36+'Released from Oversight Summary'!B36</f>
        <v>47751682.752432376</v>
      </c>
      <c r="C36" s="1">
        <f>+'Pre-Liquidation Summary'!C36+'Open Summary'!C36+'Closed Summary'!C36+'Estate Closed Summary'!C36+'Released from Oversight Summary'!C36</f>
        <v>128501413.46230461</v>
      </c>
      <c r="D36" s="1">
        <f>+'Pre-Liquidation Summary'!D36+'Open Summary'!D36+'Closed Summary'!D36+'Estate Closed Summary'!D36+'Released from Oversight Summary'!D36</f>
        <v>178029693.11255595</v>
      </c>
      <c r="E36" s="1">
        <f>+'Pre-Liquidation Summary'!E36+'Open Summary'!E36+'Closed Summary'!E36+'Estate Closed Summary'!E36+'Released from Oversight Summary'!E36</f>
        <v>4591142.9334342126</v>
      </c>
      <c r="F36" s="1">
        <f>+'Pre-Liquidation Summary'!F36+'Open Summary'!F36+'Closed Summary'!F36+'Estate Closed Summary'!F36+'Released from Oversight Summary'!F36</f>
        <v>0</v>
      </c>
      <c r="G36" s="9">
        <f>SUM(NJ_FINANCIAL)</f>
        <v>358873932.26072711</v>
      </c>
      <c r="I36" s="6">
        <f>SUM('AF&amp;L:Villanova'!L36)</f>
        <v>49589846</v>
      </c>
      <c r="J36" s="1">
        <f>SUM('AF&amp;L:Villanova'!M36)</f>
        <v>7892387</v>
      </c>
      <c r="L36" s="1">
        <f>SUM('AF&amp;L:Villanova'!O36)</f>
        <v>143717299</v>
      </c>
      <c r="M36" s="1">
        <f>SUM('AF&amp;L:Villanova'!P36)</f>
        <v>20136428</v>
      </c>
      <c r="O36" s="1">
        <f>SUM('AF&amp;L:Villanova'!R36)</f>
        <v>153874000</v>
      </c>
      <c r="P36" s="1">
        <f>SUM('AF&amp;L:Villanova'!S36)</f>
        <v>26750944</v>
      </c>
      <c r="R36" s="1">
        <f>SUM('AF&amp;L:Villanova'!U36)</f>
        <v>23104352</v>
      </c>
      <c r="S36" s="9">
        <f>SUM('AF&amp;L:Villanova'!V36)</f>
        <v>11865605</v>
      </c>
    </row>
    <row r="37" spans="1:19">
      <c r="A37" s="1" t="s">
        <v>58</v>
      </c>
      <c r="B37" s="6">
        <f>+'Pre-Liquidation Summary'!B37+'Open Summary'!B37+'Closed Summary'!B37+'Estate Closed Summary'!B37+'Released from Oversight Summary'!B37</f>
        <v>7018280.6391272238</v>
      </c>
      <c r="C37" s="1">
        <f>+'Pre-Liquidation Summary'!C37+'Open Summary'!C37+'Closed Summary'!C37+'Estate Closed Summary'!C37+'Released from Oversight Summary'!C37</f>
        <v>12493269.068077531</v>
      </c>
      <c r="D37" s="1">
        <f>+'Pre-Liquidation Summary'!D37+'Open Summary'!D37+'Closed Summary'!D37+'Estate Closed Summary'!D37+'Released from Oversight Summary'!D37</f>
        <v>10199023.412328806</v>
      </c>
      <c r="E37" s="1">
        <f>+'Pre-Liquidation Summary'!E37+'Open Summary'!E37+'Closed Summary'!E37+'Estate Closed Summary'!E37+'Released from Oversight Summary'!E37</f>
        <v>0</v>
      </c>
      <c r="F37" s="1">
        <f>+'Pre-Liquidation Summary'!F37+'Open Summary'!F37+'Closed Summary'!F37+'Estate Closed Summary'!F37+'Released from Oversight Summary'!F37</f>
        <v>0</v>
      </c>
      <c r="G37" s="9">
        <f>SUM(NM_FINANCIAL)</f>
        <v>29710573.119533561</v>
      </c>
      <c r="I37" s="6">
        <f>SUM('AF&amp;L:Villanova'!L37)</f>
        <v>4924513</v>
      </c>
      <c r="J37" s="1">
        <f>SUM('AF&amp;L:Villanova'!M37)</f>
        <v>120000</v>
      </c>
      <c r="L37" s="1">
        <f>SUM('AF&amp;L:Villanova'!O37)</f>
        <v>11030525</v>
      </c>
      <c r="M37" s="1">
        <f>SUM('AF&amp;L:Villanova'!P37)</f>
        <v>0</v>
      </c>
      <c r="O37" s="1">
        <f>SUM('AF&amp;L:Villanova'!R37)</f>
        <v>9198590</v>
      </c>
      <c r="P37" s="1">
        <f>SUM('AF&amp;L:Villanova'!S37)</f>
        <v>9982</v>
      </c>
      <c r="R37" s="1">
        <f>SUM('AF&amp;L:Villanova'!U37)</f>
        <v>0</v>
      </c>
      <c r="S37" s="9">
        <f>SUM('AF&amp;L:Villanova'!V37)</f>
        <v>0</v>
      </c>
    </row>
    <row r="38" spans="1:19">
      <c r="A38" s="1" t="s">
        <v>59</v>
      </c>
      <c r="B38" s="6">
        <f>+'Pre-Liquidation Summary'!B38+'Open Summary'!B38+'Closed Summary'!B38+'Estate Closed Summary'!B38+'Released from Oversight Summary'!B38</f>
        <v>56038.214969297696</v>
      </c>
      <c r="C38" s="1">
        <f>+'Pre-Liquidation Summary'!C38+'Open Summary'!C38+'Closed Summary'!C38+'Estate Closed Summary'!C38+'Released from Oversight Summary'!C38</f>
        <v>537729715.54211962</v>
      </c>
      <c r="D38" s="1">
        <f>+'Pre-Liquidation Summary'!D38+'Open Summary'!D38+'Closed Summary'!D38+'Estate Closed Summary'!D38+'Released from Oversight Summary'!D38</f>
        <v>-37264.229020565515</v>
      </c>
      <c r="E38" s="1">
        <f>+'Pre-Liquidation Summary'!E38+'Open Summary'!E38+'Closed Summary'!E38+'Estate Closed Summary'!E38+'Released from Oversight Summary'!E38</f>
        <v>-7021.3451492979402</v>
      </c>
      <c r="F38" s="1">
        <f>+'Pre-Liquidation Summary'!F38+'Open Summary'!F38+'Closed Summary'!F38+'Estate Closed Summary'!F38+'Released from Oversight Summary'!F38</f>
        <v>0</v>
      </c>
      <c r="G38" s="9">
        <f>SUM(NY_FINANCIAL)</f>
        <v>537741468.18291903</v>
      </c>
      <c r="I38" s="6">
        <f>SUM('AF&amp;L:Villanova'!L38)</f>
        <v>647978179</v>
      </c>
      <c r="J38" s="1">
        <f>SUM('AF&amp;L:Villanova'!M38)</f>
        <v>54000000</v>
      </c>
      <c r="L38" s="1">
        <f>SUM('AF&amp;L:Villanova'!O38)</f>
        <v>0</v>
      </c>
      <c r="M38" s="1">
        <f>SUM('AF&amp;L:Villanova'!P38)</f>
        <v>0</v>
      </c>
      <c r="O38" s="1">
        <f>SUM('AF&amp;L:Villanova'!R38)</f>
        <v>0</v>
      </c>
      <c r="P38" s="1">
        <f>SUM('AF&amp;L:Villanova'!S38)</f>
        <v>0</v>
      </c>
      <c r="R38" s="1">
        <f>SUM('AF&amp;L:Villanova'!U38)</f>
        <v>0</v>
      </c>
      <c r="S38" s="9">
        <f>SUM('AF&amp;L:Villanova'!V38)</f>
        <v>0</v>
      </c>
    </row>
    <row r="39" spans="1:19">
      <c r="A39" s="1" t="s">
        <v>60</v>
      </c>
      <c r="B39" s="6">
        <f>+'Pre-Liquidation Summary'!B39+'Open Summary'!B39+'Closed Summary'!B39+'Estate Closed Summary'!B39+'Released from Oversight Summary'!B39</f>
        <v>87991953.683778375</v>
      </c>
      <c r="C39" s="1">
        <f>+'Pre-Liquidation Summary'!C39+'Open Summary'!C39+'Closed Summary'!C39+'Estate Closed Summary'!C39+'Released from Oversight Summary'!C39</f>
        <v>132476830.23336488</v>
      </c>
      <c r="D39" s="1">
        <f>+'Pre-Liquidation Summary'!D39+'Open Summary'!D39+'Closed Summary'!D39+'Estate Closed Summary'!D39+'Released from Oversight Summary'!D39</f>
        <v>110440951.40805018</v>
      </c>
      <c r="E39" s="1">
        <f>+'Pre-Liquidation Summary'!E39+'Open Summary'!E39+'Closed Summary'!E39+'Estate Closed Summary'!E39+'Released from Oversight Summary'!E39</f>
        <v>222543.48911629638</v>
      </c>
      <c r="F39" s="1">
        <f>+'Pre-Liquidation Summary'!F39+'Open Summary'!F39+'Closed Summary'!F39+'Estate Closed Summary'!F39+'Released from Oversight Summary'!F39</f>
        <v>0</v>
      </c>
      <c r="G39" s="9">
        <f>SUM(NC_FINANCIAL)</f>
        <v>331132278.81430972</v>
      </c>
      <c r="I39" s="6">
        <f>SUM('AF&amp;L:Villanova'!L39)</f>
        <v>96119217</v>
      </c>
      <c r="J39" s="1">
        <f>SUM('AF&amp;L:Villanova'!M39)</f>
        <v>8308500</v>
      </c>
      <c r="L39" s="1">
        <f>SUM('AF&amp;L:Villanova'!O39)</f>
        <v>243609283</v>
      </c>
      <c r="M39" s="1">
        <f>SUM('AF&amp;L:Villanova'!P39)</f>
        <v>21068750</v>
      </c>
      <c r="O39" s="1">
        <f>SUM('AF&amp;L:Villanova'!R39)</f>
        <v>102856500</v>
      </c>
      <c r="P39" s="1">
        <f>SUM('AF&amp;L:Villanova'!S39)</f>
        <v>900000</v>
      </c>
      <c r="R39" s="1">
        <f>SUM('AF&amp;L:Villanova'!U39)</f>
        <v>0</v>
      </c>
      <c r="S39" s="9">
        <f>SUM('AF&amp;L:Villanova'!V39)</f>
        <v>0</v>
      </c>
    </row>
    <row r="40" spans="1:19">
      <c r="A40" s="1" t="s">
        <v>61</v>
      </c>
      <c r="B40" s="6">
        <f>+'Pre-Liquidation Summary'!B40+'Open Summary'!B40+'Closed Summary'!B40+'Estate Closed Summary'!B40+'Released from Oversight Summary'!B40</f>
        <v>4245556.687180588</v>
      </c>
      <c r="C40" s="1">
        <f>+'Pre-Liquidation Summary'!C40+'Open Summary'!C40+'Closed Summary'!C40+'Estate Closed Summary'!C40+'Released from Oversight Summary'!C40</f>
        <v>15316437.366126904</v>
      </c>
      <c r="D40" s="1">
        <f>+'Pre-Liquidation Summary'!D40+'Open Summary'!D40+'Closed Summary'!D40+'Estate Closed Summary'!D40+'Released from Oversight Summary'!D40</f>
        <v>6295547.2616017181</v>
      </c>
      <c r="E40" s="1">
        <f>+'Pre-Liquidation Summary'!E40+'Open Summary'!E40+'Closed Summary'!E40+'Estate Closed Summary'!E40+'Released from Oversight Summary'!E40</f>
        <v>29128.826466424933</v>
      </c>
      <c r="F40" s="1">
        <f>+'Pre-Liquidation Summary'!F40+'Open Summary'!F40+'Closed Summary'!F40+'Estate Closed Summary'!F40+'Released from Oversight Summary'!F40</f>
        <v>0</v>
      </c>
      <c r="G40" s="9">
        <f>SUM(ND_FINANCIAL)</f>
        <v>25886670.141375639</v>
      </c>
      <c r="I40" s="6">
        <f>SUM('AF&amp;L:Villanova'!L40)</f>
        <v>4999898</v>
      </c>
      <c r="J40" s="1">
        <f>SUM('AF&amp;L:Villanova'!M40)</f>
        <v>423000</v>
      </c>
      <c r="L40" s="1">
        <f>SUM('AF&amp;L:Villanova'!O40)</f>
        <v>16678336</v>
      </c>
      <c r="M40" s="1">
        <f>SUM('AF&amp;L:Villanova'!P40)</f>
        <v>277400</v>
      </c>
      <c r="O40" s="1">
        <f>SUM('AF&amp;L:Villanova'!R40)</f>
        <v>7828092</v>
      </c>
      <c r="P40" s="1">
        <f>SUM('AF&amp;L:Villanova'!S40)</f>
        <v>924599</v>
      </c>
      <c r="R40" s="1">
        <f>SUM('AF&amp;L:Villanova'!U40)</f>
        <v>104738</v>
      </c>
      <c r="S40" s="9">
        <f>SUM('AF&amp;L:Villanova'!V40)</f>
        <v>0</v>
      </c>
    </row>
    <row r="41" spans="1:19">
      <c r="A41" s="1" t="s">
        <v>62</v>
      </c>
      <c r="B41" s="6">
        <f>+'Pre-Liquidation Summary'!B41+'Open Summary'!B41+'Closed Summary'!B41+'Estate Closed Summary'!B41+'Released from Oversight Summary'!B41</f>
        <v>57047831.362894252</v>
      </c>
      <c r="C41" s="1">
        <f>+'Pre-Liquidation Summary'!C41+'Open Summary'!C41+'Closed Summary'!C41+'Estate Closed Summary'!C41+'Released from Oversight Summary'!C41</f>
        <v>120227099.34147653</v>
      </c>
      <c r="D41" s="1">
        <f>+'Pre-Liquidation Summary'!D41+'Open Summary'!D41+'Closed Summary'!D41+'Estate Closed Summary'!D41+'Released from Oversight Summary'!D41</f>
        <v>92353020.035809413</v>
      </c>
      <c r="E41" s="1">
        <f>+'Pre-Liquidation Summary'!E41+'Open Summary'!E41+'Closed Summary'!E41+'Estate Closed Summary'!E41+'Released from Oversight Summary'!E41</f>
        <v>2334534.5852356115</v>
      </c>
      <c r="F41" s="1">
        <f>+'Pre-Liquidation Summary'!F41+'Open Summary'!F41+'Closed Summary'!F41+'Estate Closed Summary'!F41+'Released from Oversight Summary'!F41</f>
        <v>0</v>
      </c>
      <c r="G41" s="9">
        <f>SUM(OH_FINANCIAL)</f>
        <v>271962485.32541579</v>
      </c>
      <c r="I41" s="6">
        <f>SUM('AF&amp;L:Villanova'!L41)</f>
        <v>53725000</v>
      </c>
      <c r="J41" s="1">
        <f>SUM('AF&amp;L:Villanova'!M41)</f>
        <v>0</v>
      </c>
      <c r="L41" s="1">
        <f>SUM('AF&amp;L:Villanova'!O41)</f>
        <v>102745000</v>
      </c>
      <c r="M41" s="1">
        <f>SUM('AF&amp;L:Villanova'!P41)</f>
        <v>0</v>
      </c>
      <c r="O41" s="1">
        <f>SUM('AF&amp;L:Villanova'!R41)</f>
        <v>100032912</v>
      </c>
      <c r="P41" s="1">
        <f>SUM('AF&amp;L:Villanova'!S41)</f>
        <v>0</v>
      </c>
      <c r="R41" s="1">
        <f>SUM('AF&amp;L:Villanova'!U41)</f>
        <v>7875000</v>
      </c>
      <c r="S41" s="9">
        <f>SUM('AF&amp;L:Villanova'!V41)</f>
        <v>7300000</v>
      </c>
    </row>
    <row r="42" spans="1:19">
      <c r="A42" s="1" t="s">
        <v>63</v>
      </c>
      <c r="B42" s="6">
        <f>+'Pre-Liquidation Summary'!B42+'Open Summary'!B42+'Closed Summary'!B42+'Estate Closed Summary'!B42+'Released from Oversight Summary'!B42</f>
        <v>29820148.156063929</v>
      </c>
      <c r="C42" s="1">
        <f>+'Pre-Liquidation Summary'!C42+'Open Summary'!C42+'Closed Summary'!C42+'Estate Closed Summary'!C42+'Released from Oversight Summary'!C42</f>
        <v>35988868.799925089</v>
      </c>
      <c r="D42" s="1">
        <f>+'Pre-Liquidation Summary'!D42+'Open Summary'!D42+'Closed Summary'!D42+'Estate Closed Summary'!D42+'Released from Oversight Summary'!D42</f>
        <v>15286040.826140799</v>
      </c>
      <c r="E42" s="1">
        <f>+'Pre-Liquidation Summary'!E42+'Open Summary'!E42+'Closed Summary'!E42+'Estate Closed Summary'!E42+'Released from Oversight Summary'!E42</f>
        <v>0</v>
      </c>
      <c r="F42" s="1">
        <f>+'Pre-Liquidation Summary'!F42+'Open Summary'!F42+'Closed Summary'!F42+'Estate Closed Summary'!F42+'Released from Oversight Summary'!F42</f>
        <v>0</v>
      </c>
      <c r="G42" s="9">
        <f>SUM(OK_FINANCIAL)</f>
        <v>81095057.782129824</v>
      </c>
      <c r="I42" s="6">
        <f>SUM('AF&amp;L:Villanova'!L42)</f>
        <v>47404843</v>
      </c>
      <c r="J42" s="1">
        <f>SUM('AF&amp;L:Villanova'!M42)</f>
        <v>11441850</v>
      </c>
      <c r="L42" s="1">
        <f>SUM('AF&amp;L:Villanova'!O42)</f>
        <v>48133738</v>
      </c>
      <c r="M42" s="1">
        <f>SUM('AF&amp;L:Villanova'!P42)</f>
        <v>5182650</v>
      </c>
      <c r="O42" s="1">
        <f>SUM('AF&amp;L:Villanova'!R42)</f>
        <v>27035550</v>
      </c>
      <c r="P42" s="1">
        <f>SUM('AF&amp;L:Villanova'!S42)</f>
        <v>7852000</v>
      </c>
      <c r="R42" s="1">
        <f>SUM('AF&amp;L:Villanova'!U42)</f>
        <v>0</v>
      </c>
      <c r="S42" s="9">
        <f>SUM('AF&amp;L:Villanova'!V42)</f>
        <v>0</v>
      </c>
    </row>
    <row r="43" spans="1:19">
      <c r="A43" s="1" t="s">
        <v>64</v>
      </c>
      <c r="B43" s="6">
        <f>+'Pre-Liquidation Summary'!B43+'Open Summary'!B43+'Closed Summary'!B43+'Estate Closed Summary'!B43+'Released from Oversight Summary'!B43</f>
        <v>18376385.067725822</v>
      </c>
      <c r="C43" s="1">
        <f>+'Pre-Liquidation Summary'!C43+'Open Summary'!C43+'Closed Summary'!C43+'Estate Closed Summary'!C43+'Released from Oversight Summary'!C43</f>
        <v>24538195.448270664</v>
      </c>
      <c r="D43" s="1">
        <f>+'Pre-Liquidation Summary'!D43+'Open Summary'!D43+'Closed Summary'!D43+'Estate Closed Summary'!D43+'Released from Oversight Summary'!D43</f>
        <v>13182501.569943562</v>
      </c>
      <c r="E43" s="1">
        <f>+'Pre-Liquidation Summary'!E43+'Open Summary'!E43+'Closed Summary'!E43+'Estate Closed Summary'!E43+'Released from Oversight Summary'!E43</f>
        <v>0</v>
      </c>
      <c r="F43" s="1">
        <f>+'Pre-Liquidation Summary'!F43+'Open Summary'!F43+'Closed Summary'!F43+'Estate Closed Summary'!F43+'Released from Oversight Summary'!F43</f>
        <v>0</v>
      </c>
      <c r="G43" s="9">
        <f>SUM(OR_FINANCIAL)</f>
        <v>56097082.085940048</v>
      </c>
      <c r="I43" s="6">
        <f>SUM('AF&amp;L:Villanova'!L43)</f>
        <v>19568901</v>
      </c>
      <c r="J43" s="1">
        <f>SUM('AF&amp;L:Villanova'!M43)</f>
        <v>0</v>
      </c>
      <c r="L43" s="1">
        <f>SUM('AF&amp;L:Villanova'!O43)</f>
        <v>28140366</v>
      </c>
      <c r="M43" s="1">
        <f>SUM('AF&amp;L:Villanova'!P43)</f>
        <v>0</v>
      </c>
      <c r="O43" s="1">
        <f>SUM('AF&amp;L:Villanova'!R43)</f>
        <v>12908644</v>
      </c>
      <c r="P43" s="1">
        <f>SUM('AF&amp;L:Villanova'!S43)</f>
        <v>0</v>
      </c>
      <c r="R43" s="1">
        <f>SUM('AF&amp;L:Villanova'!U43)</f>
        <v>0</v>
      </c>
      <c r="S43" s="9">
        <f>SUM('AF&amp;L:Villanova'!V43)</f>
        <v>0</v>
      </c>
    </row>
    <row r="44" spans="1:19">
      <c r="A44" s="1" t="s">
        <v>65</v>
      </c>
      <c r="B44" s="6">
        <f>+'Pre-Liquidation Summary'!B44+'Open Summary'!B44+'Closed Summary'!B44+'Estate Closed Summary'!B44+'Released from Oversight Summary'!B44</f>
        <v>83177511.196837962</v>
      </c>
      <c r="C44" s="1">
        <f>+'Pre-Liquidation Summary'!C44+'Open Summary'!C44+'Closed Summary'!C44+'Estate Closed Summary'!C44+'Released from Oversight Summary'!C44</f>
        <v>557836567.88045692</v>
      </c>
      <c r="D44" s="1">
        <f>+'Pre-Liquidation Summary'!D44+'Open Summary'!D44+'Closed Summary'!D44+'Estate Closed Summary'!D44+'Released from Oversight Summary'!D44</f>
        <v>282478275.77192593</v>
      </c>
      <c r="E44" s="1">
        <f>+'Pre-Liquidation Summary'!E44+'Open Summary'!E44+'Closed Summary'!E44+'Estate Closed Summary'!E44+'Released from Oversight Summary'!E44</f>
        <v>1542360.7154458794</v>
      </c>
      <c r="F44" s="1">
        <f>+'Pre-Liquidation Summary'!F44+'Open Summary'!F44+'Closed Summary'!F44+'Estate Closed Summary'!F44+'Released from Oversight Summary'!F44</f>
        <v>0</v>
      </c>
      <c r="G44" s="9">
        <f>SUM(PA_FINANCIAL)</f>
        <v>925034715.56466663</v>
      </c>
      <c r="I44" s="6">
        <f>SUM('AF&amp;L:Villanova'!L44)</f>
        <v>157512407</v>
      </c>
      <c r="J44" s="1">
        <f>SUM('AF&amp;L:Villanova'!M44)</f>
        <v>0</v>
      </c>
      <c r="L44" s="1">
        <f>SUM('AF&amp;L:Villanova'!O44)</f>
        <v>479471276</v>
      </c>
      <c r="M44" s="1">
        <f>SUM('AF&amp;L:Villanova'!P44)</f>
        <v>0</v>
      </c>
      <c r="O44" s="1">
        <f>SUM('AF&amp;L:Villanova'!R44)</f>
        <v>304059856</v>
      </c>
      <c r="P44" s="1">
        <f>SUM('AF&amp;L:Villanova'!S44)</f>
        <v>21428276</v>
      </c>
      <c r="R44" s="1">
        <f>SUM('AF&amp;L:Villanova'!U44)</f>
        <v>100058938</v>
      </c>
      <c r="S44" s="9">
        <f>SUM('AF&amp;L:Villanova'!V44)</f>
        <v>0</v>
      </c>
    </row>
    <row r="45" spans="1:19">
      <c r="A45" s="1" t="s">
        <v>66</v>
      </c>
      <c r="B45" s="6">
        <f>+'Pre-Liquidation Summary'!B45+'Open Summary'!B45+'Closed Summary'!B45+'Estate Closed Summary'!B45+'Released from Oversight Summary'!B45</f>
        <v>605945.56001956377</v>
      </c>
      <c r="C45" s="1">
        <f>+'Pre-Liquidation Summary'!C45+'Open Summary'!C45+'Closed Summary'!C45+'Estate Closed Summary'!C45+'Released from Oversight Summary'!C45</f>
        <v>484574.65679952782</v>
      </c>
      <c r="D45" s="1">
        <f>+'Pre-Liquidation Summary'!D45+'Open Summary'!D45+'Closed Summary'!D45+'Estate Closed Summary'!D45+'Released from Oversight Summary'!D45</f>
        <v>-7567.2698410309822</v>
      </c>
      <c r="E45" s="1">
        <f>+'Pre-Liquidation Summary'!E45+'Open Summary'!E45+'Closed Summary'!E45+'Estate Closed Summary'!E45+'Released from Oversight Summary'!E45</f>
        <v>0</v>
      </c>
      <c r="F45" s="1">
        <f>+'Pre-Liquidation Summary'!F45+'Open Summary'!F45+'Closed Summary'!F45+'Estate Closed Summary'!F45+'Released from Oversight Summary'!F45</f>
        <v>0</v>
      </c>
      <c r="G45" s="9">
        <f>SUM(PR_FINANCIAL)</f>
        <v>1082952.9469780608</v>
      </c>
      <c r="I45" s="6">
        <f>SUM('AF&amp;L:Villanova'!L45)</f>
        <v>622778</v>
      </c>
      <c r="J45" s="1">
        <f>SUM('AF&amp;L:Villanova'!M45)</f>
        <v>0</v>
      </c>
      <c r="L45" s="1">
        <f>SUM('AF&amp;L:Villanova'!O45)</f>
        <v>387497</v>
      </c>
      <c r="M45" s="1">
        <f>SUM('AF&amp;L:Villanova'!P45)</f>
        <v>0</v>
      </c>
      <c r="O45" s="1">
        <f>SUM('AF&amp;L:Villanova'!R45)</f>
        <v>108788</v>
      </c>
      <c r="P45" s="1">
        <f>SUM('AF&amp;L:Villanova'!S45)</f>
        <v>0</v>
      </c>
      <c r="R45" s="1">
        <f>SUM('AF&amp;L:Villanova'!U45)</f>
        <v>0</v>
      </c>
      <c r="S45" s="9">
        <f>SUM('AF&amp;L:Villanova'!V45)</f>
        <v>0</v>
      </c>
    </row>
    <row r="46" spans="1:19">
      <c r="A46" s="1" t="s">
        <v>67</v>
      </c>
      <c r="B46" s="6">
        <f>+'Pre-Liquidation Summary'!B46+'Open Summary'!B46+'Closed Summary'!B46+'Estate Closed Summary'!B46+'Released from Oversight Summary'!B46</f>
        <v>3766796.9077630248</v>
      </c>
      <c r="C46" s="1">
        <f>+'Pre-Liquidation Summary'!C46+'Open Summary'!C46+'Closed Summary'!C46+'Estate Closed Summary'!C46+'Released from Oversight Summary'!C46</f>
        <v>77879897.158859298</v>
      </c>
      <c r="D46" s="1">
        <f>+'Pre-Liquidation Summary'!D46+'Open Summary'!D46+'Closed Summary'!D46+'Estate Closed Summary'!D46+'Released from Oversight Summary'!D46</f>
        <v>1919684.1385983271</v>
      </c>
      <c r="E46" s="1">
        <f>+'Pre-Liquidation Summary'!E46+'Open Summary'!E46+'Closed Summary'!E46+'Estate Closed Summary'!E46+'Released from Oversight Summary'!E46</f>
        <v>0</v>
      </c>
      <c r="F46" s="1">
        <f>+'Pre-Liquidation Summary'!F46+'Open Summary'!F46+'Closed Summary'!F46+'Estate Closed Summary'!F46+'Released from Oversight Summary'!F46</f>
        <v>0</v>
      </c>
      <c r="G46" s="9">
        <f>SUM(RI_FINANCIAL)</f>
        <v>83566378.20522064</v>
      </c>
      <c r="I46" s="6">
        <f>SUM('AF&amp;L:Villanova'!L46)</f>
        <v>19538588</v>
      </c>
      <c r="J46" s="1">
        <f>SUM('AF&amp;L:Villanova'!M46)</f>
        <v>0</v>
      </c>
      <c r="L46" s="1">
        <f>SUM('AF&amp;L:Villanova'!O46)</f>
        <v>68062277</v>
      </c>
      <c r="M46" s="1">
        <f>SUM('AF&amp;L:Villanova'!P46)</f>
        <v>0</v>
      </c>
      <c r="O46" s="1">
        <f>SUM('AF&amp;L:Villanova'!R46)</f>
        <v>2717811</v>
      </c>
      <c r="P46" s="1">
        <f>SUM('AF&amp;L:Villanova'!S46)</f>
        <v>0</v>
      </c>
      <c r="R46" s="1">
        <f>SUM('AF&amp;L:Villanova'!U46)</f>
        <v>0</v>
      </c>
      <c r="S46" s="9">
        <f>SUM('AF&amp;L:Villanova'!V46)</f>
        <v>0</v>
      </c>
    </row>
    <row r="47" spans="1:19">
      <c r="A47" s="1" t="s">
        <v>68</v>
      </c>
      <c r="B47" s="6">
        <f>+'Pre-Liquidation Summary'!B47+'Open Summary'!B47+'Closed Summary'!B47+'Estate Closed Summary'!B47+'Released from Oversight Summary'!B47</f>
        <v>30829007.339388799</v>
      </c>
      <c r="C47" s="1">
        <f>+'Pre-Liquidation Summary'!C47+'Open Summary'!C47+'Closed Summary'!C47+'Estate Closed Summary'!C47+'Released from Oversight Summary'!C47</f>
        <v>43841652.337743647</v>
      </c>
      <c r="D47" s="1">
        <f>+'Pre-Liquidation Summary'!D47+'Open Summary'!D47+'Closed Summary'!D47+'Estate Closed Summary'!D47+'Released from Oversight Summary'!D47</f>
        <v>60977198.370540202</v>
      </c>
      <c r="E47" s="1">
        <f>+'Pre-Liquidation Summary'!E47+'Open Summary'!E47+'Closed Summary'!E47+'Estate Closed Summary'!E47+'Released from Oversight Summary'!E47</f>
        <v>0</v>
      </c>
      <c r="F47" s="1">
        <f>+'Pre-Liquidation Summary'!F47+'Open Summary'!F47+'Closed Summary'!F47+'Estate Closed Summary'!F47+'Released from Oversight Summary'!F47</f>
        <v>0</v>
      </c>
      <c r="G47" s="9">
        <f>SUM(SC_FINANCIAL)</f>
        <v>135647858.04767263</v>
      </c>
      <c r="I47" s="6">
        <f>SUM('AF&amp;L:Villanova'!L47)</f>
        <v>22736843</v>
      </c>
      <c r="J47" s="1">
        <f>SUM('AF&amp;L:Villanova'!M47)</f>
        <v>0</v>
      </c>
      <c r="L47" s="1">
        <f>SUM('AF&amp;L:Villanova'!O47)</f>
        <v>29314306</v>
      </c>
      <c r="M47" s="1">
        <f>SUM('AF&amp;L:Villanova'!P47)</f>
        <v>0</v>
      </c>
      <c r="O47" s="1">
        <f>SUM('AF&amp;L:Villanova'!R47)</f>
        <v>82850200</v>
      </c>
      <c r="P47" s="1">
        <f>SUM('AF&amp;L:Villanova'!S47)</f>
        <v>12548122</v>
      </c>
      <c r="R47" s="1">
        <f>SUM('AF&amp;L:Villanova'!U47)</f>
        <v>0</v>
      </c>
      <c r="S47" s="9">
        <f>SUM('AF&amp;L:Villanova'!V47)</f>
        <v>0</v>
      </c>
    </row>
    <row r="48" spans="1:19">
      <c r="A48" s="1" t="s">
        <v>69</v>
      </c>
      <c r="B48" s="6">
        <f>+'Pre-Liquidation Summary'!B48+'Open Summary'!B48+'Closed Summary'!B48+'Estate Closed Summary'!B48+'Released from Oversight Summary'!B48</f>
        <v>7578402.4829544034</v>
      </c>
      <c r="C48" s="1">
        <f>+'Pre-Liquidation Summary'!C48+'Open Summary'!C48+'Closed Summary'!C48+'Estate Closed Summary'!C48+'Released from Oversight Summary'!C48</f>
        <v>9331730.0599261187</v>
      </c>
      <c r="D48" s="1">
        <f>+'Pre-Liquidation Summary'!D48+'Open Summary'!D48+'Closed Summary'!D48+'Estate Closed Summary'!D48+'Released from Oversight Summary'!D48</f>
        <v>46748118.119322352</v>
      </c>
      <c r="E48" s="1">
        <f>+'Pre-Liquidation Summary'!E48+'Open Summary'!E48+'Closed Summary'!E48+'Estate Closed Summary'!E48+'Released from Oversight Summary'!E48</f>
        <v>0</v>
      </c>
      <c r="F48" s="1">
        <f>+'Pre-Liquidation Summary'!F48+'Open Summary'!F48+'Closed Summary'!F48+'Estate Closed Summary'!F48+'Released from Oversight Summary'!F48</f>
        <v>0</v>
      </c>
      <c r="G48" s="9">
        <f>SUM(SD_FINANCIAL)</f>
        <v>63658250.662202872</v>
      </c>
      <c r="I48" s="6">
        <f>SUM('AF&amp;L:Villanova'!L48)</f>
        <v>11820802</v>
      </c>
      <c r="J48" s="1">
        <f>SUM('AF&amp;L:Villanova'!M48)</f>
        <v>3424576</v>
      </c>
      <c r="L48" s="1">
        <f>SUM('AF&amp;L:Villanova'!O48)</f>
        <v>14120701</v>
      </c>
      <c r="M48" s="1">
        <f>SUM('AF&amp;L:Villanova'!P48)</f>
        <v>2698921</v>
      </c>
      <c r="O48" s="1">
        <f>SUM('AF&amp;L:Villanova'!R48)</f>
        <v>45669433</v>
      </c>
      <c r="P48" s="1">
        <f>SUM('AF&amp;L:Villanova'!S48)</f>
        <v>1634436</v>
      </c>
      <c r="R48" s="1">
        <f>SUM('AF&amp;L:Villanova'!U48)</f>
        <v>0</v>
      </c>
      <c r="S48" s="9">
        <f>SUM('AF&amp;L:Villanova'!V48)</f>
        <v>0</v>
      </c>
    </row>
    <row r="49" spans="1:19">
      <c r="A49" s="1" t="s">
        <v>70</v>
      </c>
      <c r="B49" s="6">
        <f>+'Pre-Liquidation Summary'!B49+'Open Summary'!B49+'Closed Summary'!B49+'Estate Closed Summary'!B49+'Released from Oversight Summary'!B49</f>
        <v>53378117.2767509</v>
      </c>
      <c r="C49" s="1">
        <f>+'Pre-Liquidation Summary'!C49+'Open Summary'!C49+'Closed Summary'!C49+'Estate Closed Summary'!C49+'Released from Oversight Summary'!C49</f>
        <v>63453851.102392979</v>
      </c>
      <c r="D49" s="1">
        <f>+'Pre-Liquidation Summary'!D49+'Open Summary'!D49+'Closed Summary'!D49+'Estate Closed Summary'!D49+'Released from Oversight Summary'!D49</f>
        <v>48663625.676380962</v>
      </c>
      <c r="E49" s="1">
        <f>+'Pre-Liquidation Summary'!E49+'Open Summary'!E49+'Closed Summary'!E49+'Estate Closed Summary'!E49+'Released from Oversight Summary'!E49</f>
        <v>0</v>
      </c>
      <c r="F49" s="1">
        <f>+'Pre-Liquidation Summary'!F49+'Open Summary'!F49+'Closed Summary'!F49+'Estate Closed Summary'!F49+'Released from Oversight Summary'!F49</f>
        <v>0</v>
      </c>
      <c r="G49" s="9">
        <f>SUM(TN_FINANCIAL)</f>
        <v>165495594.05552483</v>
      </c>
      <c r="I49" s="6">
        <f>SUM('AF&amp;L:Villanova'!L49)</f>
        <v>53692724</v>
      </c>
      <c r="J49" s="1">
        <f>SUM('AF&amp;L:Villanova'!M49)</f>
        <v>0</v>
      </c>
      <c r="L49" s="1">
        <f>SUM('AF&amp;L:Villanova'!O49)</f>
        <v>89417972</v>
      </c>
      <c r="M49" s="1">
        <f>SUM('AF&amp;L:Villanova'!P49)</f>
        <v>0</v>
      </c>
      <c r="O49" s="1">
        <f>SUM('AF&amp;L:Villanova'!R49)</f>
        <v>54253516</v>
      </c>
      <c r="P49" s="1">
        <f>SUM('AF&amp;L:Villanova'!S49)</f>
        <v>320700</v>
      </c>
      <c r="R49" s="1">
        <f>SUM('AF&amp;L:Villanova'!U49)</f>
        <v>0</v>
      </c>
      <c r="S49" s="9">
        <f>SUM('AF&amp;L:Villanova'!V49)</f>
        <v>0</v>
      </c>
    </row>
    <row r="50" spans="1:19">
      <c r="A50" s="1" t="s">
        <v>71</v>
      </c>
      <c r="B50" s="6">
        <f>+'Pre-Liquidation Summary'!B50+'Open Summary'!B50+'Closed Summary'!B50+'Estate Closed Summary'!B50+'Released from Oversight Summary'!B50</f>
        <v>210336511.31769216</v>
      </c>
      <c r="C50" s="1">
        <f>+'Pre-Liquidation Summary'!C50+'Open Summary'!C50+'Closed Summary'!C50+'Estate Closed Summary'!C50+'Released from Oversight Summary'!C50</f>
        <v>254501677.22501454</v>
      </c>
      <c r="D50" s="1">
        <f>+'Pre-Liquidation Summary'!D50+'Open Summary'!D50+'Closed Summary'!D50+'Estate Closed Summary'!D50+'Released from Oversight Summary'!D50</f>
        <v>157054459.24195009</v>
      </c>
      <c r="E50" s="1">
        <f>+'Pre-Liquidation Summary'!E50+'Open Summary'!E50+'Closed Summary'!E50+'Estate Closed Summary'!E50+'Released from Oversight Summary'!E50</f>
        <v>14534799.946762109</v>
      </c>
      <c r="F50" s="1">
        <f>+'Pre-Liquidation Summary'!F50+'Open Summary'!F50+'Closed Summary'!F50+'Estate Closed Summary'!F50+'Released from Oversight Summary'!F50</f>
        <v>111090.629</v>
      </c>
      <c r="G50" s="9">
        <f>SUM(TX_FINANCIAL)</f>
        <v>636538538.3604188</v>
      </c>
      <c r="I50" s="6">
        <f>SUM('AF&amp;L:Villanova'!L50)</f>
        <v>302411792</v>
      </c>
      <c r="J50" s="1">
        <f>SUM('AF&amp;L:Villanova'!M50)</f>
        <v>42767050.775959566</v>
      </c>
      <c r="L50" s="1">
        <f>SUM('AF&amp;L:Villanova'!O50)</f>
        <v>241168069</v>
      </c>
      <c r="M50" s="1">
        <f>SUM('AF&amp;L:Villanova'!P50)</f>
        <v>22332155.894278437</v>
      </c>
      <c r="O50" s="1">
        <f>SUM('AF&amp;L:Villanova'!R50)</f>
        <v>194868662.5</v>
      </c>
      <c r="P50" s="1">
        <f>SUM('AF&amp;L:Villanova'!S50)</f>
        <v>28788923.929761998</v>
      </c>
      <c r="R50" s="1">
        <f>SUM('AF&amp;L:Villanova'!U50)</f>
        <v>0</v>
      </c>
      <c r="S50" s="9">
        <f>SUM('AF&amp;L:Villanova'!V50)</f>
        <v>2500000</v>
      </c>
    </row>
    <row r="51" spans="1:19">
      <c r="A51" s="1" t="s">
        <v>72</v>
      </c>
      <c r="B51" s="6">
        <f>+'Pre-Liquidation Summary'!B51+'Open Summary'!B51+'Closed Summary'!B51+'Estate Closed Summary'!B51+'Released from Oversight Summary'!B51</f>
        <v>9939894.2333882935</v>
      </c>
      <c r="C51" s="1">
        <f>+'Pre-Liquidation Summary'!C51+'Open Summary'!C51+'Closed Summary'!C51+'Estate Closed Summary'!C51+'Released from Oversight Summary'!C51</f>
        <v>31394952.802151933</v>
      </c>
      <c r="D51" s="1">
        <f>+'Pre-Liquidation Summary'!D51+'Open Summary'!D51+'Closed Summary'!D51+'Estate Closed Summary'!D51+'Released from Oversight Summary'!D51</f>
        <v>12535858.636030521</v>
      </c>
      <c r="E51" s="1">
        <f>+'Pre-Liquidation Summary'!E51+'Open Summary'!E51+'Closed Summary'!E51+'Estate Closed Summary'!E51+'Released from Oversight Summary'!E51</f>
        <v>246489.31185585712</v>
      </c>
      <c r="F51" s="1">
        <f>+'Pre-Liquidation Summary'!F51+'Open Summary'!F51+'Closed Summary'!F51+'Estate Closed Summary'!F51+'Released from Oversight Summary'!F51</f>
        <v>0</v>
      </c>
      <c r="G51" s="9">
        <f>SUM(UT_FINANCIAL)</f>
        <v>54117194.983426608</v>
      </c>
      <c r="I51" s="6">
        <f>SUM('AF&amp;L:Villanova'!L51)</f>
        <v>18361495</v>
      </c>
      <c r="J51" s="1">
        <f>SUM('AF&amp;L:Villanova'!M51)</f>
        <v>7669846</v>
      </c>
      <c r="L51" s="1">
        <f>SUM('AF&amp;L:Villanova'!O51)</f>
        <v>14510801</v>
      </c>
      <c r="M51" s="1">
        <f>SUM('AF&amp;L:Villanova'!P51)</f>
        <v>4124184</v>
      </c>
      <c r="O51" s="1">
        <f>SUM('AF&amp;L:Villanova'!R51)</f>
        <v>10832396</v>
      </c>
      <c r="P51" s="1">
        <f>SUM('AF&amp;L:Villanova'!S51)</f>
        <v>0</v>
      </c>
      <c r="R51" s="1">
        <f>SUM('AF&amp;L:Villanova'!U51)</f>
        <v>3050000</v>
      </c>
      <c r="S51" s="9">
        <f>SUM('AF&amp;L:Villanova'!V51)</f>
        <v>4549252</v>
      </c>
    </row>
    <row r="52" spans="1:19">
      <c r="A52" s="1" t="s">
        <v>73</v>
      </c>
      <c r="B52" s="6">
        <f>+'Pre-Liquidation Summary'!B52+'Open Summary'!B52+'Closed Summary'!B52+'Estate Closed Summary'!B52+'Released from Oversight Summary'!B52</f>
        <v>358869.92398711742</v>
      </c>
      <c r="C52" s="1">
        <f>+'Pre-Liquidation Summary'!C52+'Open Summary'!C52+'Closed Summary'!C52+'Estate Closed Summary'!C52+'Released from Oversight Summary'!C52</f>
        <v>3559078.2701776773</v>
      </c>
      <c r="D52" s="1">
        <f>+'Pre-Liquidation Summary'!D52+'Open Summary'!D52+'Closed Summary'!D52+'Estate Closed Summary'!D52+'Released from Oversight Summary'!D52</f>
        <v>9590495.0706078894</v>
      </c>
      <c r="E52" s="1">
        <f>+'Pre-Liquidation Summary'!E52+'Open Summary'!E52+'Closed Summary'!E52+'Estate Closed Summary'!E52+'Released from Oversight Summary'!E52</f>
        <v>-3903.7641015315021</v>
      </c>
      <c r="F52" s="1">
        <f>+'Pre-Liquidation Summary'!F52+'Open Summary'!F52+'Closed Summary'!F52+'Estate Closed Summary'!F52+'Released from Oversight Summary'!F52</f>
        <v>0</v>
      </c>
      <c r="G52" s="9">
        <f>SUM(VT_FINANCIAL)</f>
        <v>13504539.500671152</v>
      </c>
      <c r="I52" s="6">
        <f>SUM('AF&amp;L:Villanova'!L52)</f>
        <v>428664</v>
      </c>
      <c r="J52" s="1">
        <f>SUM('AF&amp;L:Villanova'!M52)</f>
        <v>0</v>
      </c>
      <c r="L52" s="1">
        <f>SUM('AF&amp;L:Villanova'!O52)</f>
        <v>4319856</v>
      </c>
      <c r="M52" s="1">
        <f>SUM('AF&amp;L:Villanova'!P52)</f>
        <v>0</v>
      </c>
      <c r="O52" s="1">
        <f>SUM('AF&amp;L:Villanova'!R52)</f>
        <v>10177500</v>
      </c>
      <c r="P52" s="1">
        <f>SUM('AF&amp;L:Villanova'!S52)</f>
        <v>0</v>
      </c>
      <c r="R52" s="1">
        <f>SUM('AF&amp;L:Villanova'!U52)</f>
        <v>0</v>
      </c>
      <c r="S52" s="9">
        <f>SUM('AF&amp;L:Villanova'!V52)</f>
        <v>0</v>
      </c>
    </row>
    <row r="53" spans="1:19">
      <c r="A53" s="1" t="s">
        <v>74</v>
      </c>
      <c r="B53" s="6">
        <f>+'Pre-Liquidation Summary'!B53+'Open Summary'!B53+'Closed Summary'!B53+'Estate Closed Summary'!B53+'Released from Oversight Summary'!B53</f>
        <v>29464841.206765354</v>
      </c>
      <c r="C53" s="1">
        <f>+'Pre-Liquidation Summary'!C53+'Open Summary'!C53+'Closed Summary'!C53+'Estate Closed Summary'!C53+'Released from Oversight Summary'!C53</f>
        <v>49015956.466379441</v>
      </c>
      <c r="D53" s="1">
        <f>+'Pre-Liquidation Summary'!D53+'Open Summary'!D53+'Closed Summary'!D53+'Estate Closed Summary'!D53+'Released from Oversight Summary'!D53</f>
        <v>211706841.91427749</v>
      </c>
      <c r="E53" s="1">
        <f>+'Pre-Liquidation Summary'!E53+'Open Summary'!E53+'Closed Summary'!E53+'Estate Closed Summary'!E53+'Released from Oversight Summary'!E53</f>
        <v>0</v>
      </c>
      <c r="F53" s="1">
        <f>+'Pre-Liquidation Summary'!F53+'Open Summary'!F53+'Closed Summary'!F53+'Estate Closed Summary'!F53+'Released from Oversight Summary'!F53</f>
        <v>-7452.9221187548828</v>
      </c>
      <c r="G53" s="9">
        <f>SUM(VA_FINANCIAL)</f>
        <v>290180186.66530347</v>
      </c>
      <c r="I53" s="6">
        <f>SUM('AF&amp;L:Villanova'!L53)</f>
        <v>26188697</v>
      </c>
      <c r="J53" s="1">
        <f>SUM('AF&amp;L:Villanova'!M53)</f>
        <v>9858881</v>
      </c>
      <c r="L53" s="1">
        <f>SUM('AF&amp;L:Villanova'!O53)</f>
        <v>58217690</v>
      </c>
      <c r="M53" s="1">
        <f>SUM('AF&amp;L:Villanova'!P53)</f>
        <v>15978803</v>
      </c>
      <c r="O53" s="1">
        <f>SUM('AF&amp;L:Villanova'!R53)</f>
        <v>201026086</v>
      </c>
      <c r="P53" s="1">
        <f>SUM('AF&amp;L:Villanova'!S53)</f>
        <v>1863481</v>
      </c>
      <c r="R53" s="1">
        <f>SUM('AF&amp;L:Villanova'!U53)</f>
        <v>0</v>
      </c>
      <c r="S53" s="9">
        <f>SUM('AF&amp;L:Villanova'!V53)</f>
        <v>0</v>
      </c>
    </row>
    <row r="54" spans="1:19">
      <c r="A54" s="1" t="s">
        <v>75</v>
      </c>
      <c r="B54" s="6">
        <f>+'Pre-Liquidation Summary'!B54+'Open Summary'!B54+'Closed Summary'!B54+'Estate Closed Summary'!B54+'Released from Oversight Summary'!B54</f>
        <v>40744572.332142726</v>
      </c>
      <c r="C54" s="1">
        <f>+'Pre-Liquidation Summary'!C54+'Open Summary'!C54+'Closed Summary'!C54+'Estate Closed Summary'!C54+'Released from Oversight Summary'!C54</f>
        <v>101674466.4783686</v>
      </c>
      <c r="D54" s="1">
        <f>+'Pre-Liquidation Summary'!D54+'Open Summary'!D54+'Closed Summary'!D54+'Estate Closed Summary'!D54+'Released from Oversight Summary'!D54</f>
        <v>146309763.74831852</v>
      </c>
      <c r="E54" s="1">
        <f>+'Pre-Liquidation Summary'!E54+'Open Summary'!E54+'Closed Summary'!E54+'Estate Closed Summary'!E54+'Released from Oversight Summary'!E54</f>
        <v>2199541.9796358421</v>
      </c>
      <c r="F54" s="1">
        <f>+'Pre-Liquidation Summary'!F54+'Open Summary'!F54+'Closed Summary'!F54+'Estate Closed Summary'!F54+'Released from Oversight Summary'!F54</f>
        <v>0</v>
      </c>
      <c r="G54" s="9">
        <f>SUM(WA_FINANCIAL)</f>
        <v>290928344.53846568</v>
      </c>
      <c r="I54" s="6">
        <f>SUM('AF&amp;L:Villanova'!L54)</f>
        <v>61088697</v>
      </c>
      <c r="J54" s="1">
        <f>SUM('AF&amp;L:Villanova'!M54)</f>
        <v>10230633</v>
      </c>
      <c r="L54" s="1">
        <f>SUM('AF&amp;L:Villanova'!O54)</f>
        <v>101680510</v>
      </c>
      <c r="M54" s="1">
        <f>SUM('AF&amp;L:Villanova'!P54)</f>
        <v>2094396</v>
      </c>
      <c r="O54" s="1">
        <f>SUM('AF&amp;L:Villanova'!R54)</f>
        <v>90836516</v>
      </c>
      <c r="P54" s="1">
        <f>SUM('AF&amp;L:Villanova'!S54)</f>
        <v>2646855</v>
      </c>
      <c r="R54" s="1">
        <f>SUM('AF&amp;L:Villanova'!U54)</f>
        <v>7600000</v>
      </c>
      <c r="S54" s="9">
        <f>SUM('AF&amp;L:Villanova'!V54)</f>
        <v>5000000</v>
      </c>
    </row>
    <row r="55" spans="1:19">
      <c r="A55" s="1" t="s">
        <v>76</v>
      </c>
      <c r="B55" s="6">
        <f>+'Pre-Liquidation Summary'!B55+'Open Summary'!B55+'Closed Summary'!B55+'Estate Closed Summary'!B55+'Released from Oversight Summary'!B55</f>
        <v>3483360.9928777744</v>
      </c>
      <c r="C55" s="1">
        <f>+'Pre-Liquidation Summary'!C55+'Open Summary'!C55+'Closed Summary'!C55+'Estate Closed Summary'!C55+'Released from Oversight Summary'!C55</f>
        <v>11799710.219780374</v>
      </c>
      <c r="D55" s="1">
        <f>+'Pre-Liquidation Summary'!D55+'Open Summary'!D55+'Closed Summary'!D55+'Estate Closed Summary'!D55+'Released from Oversight Summary'!D55</f>
        <v>4672034.4338861555</v>
      </c>
      <c r="E55" s="1">
        <f>+'Pre-Liquidation Summary'!E55+'Open Summary'!E55+'Closed Summary'!E55+'Estate Closed Summary'!E55+'Released from Oversight Summary'!E55</f>
        <v>0</v>
      </c>
      <c r="F55" s="1">
        <f>+'Pre-Liquidation Summary'!F55+'Open Summary'!F55+'Closed Summary'!F55+'Estate Closed Summary'!F55+'Released from Oversight Summary'!F55</f>
        <v>0</v>
      </c>
      <c r="G55" s="9">
        <f>SUM(WV_FINANCIAL)</f>
        <v>19955105.646544304</v>
      </c>
      <c r="I55" s="6">
        <f>SUM('AF&amp;L:Villanova'!L55)</f>
        <v>6818408</v>
      </c>
      <c r="J55" s="1">
        <f>SUM('AF&amp;L:Villanova'!M55)</f>
        <v>4048871</v>
      </c>
      <c r="L55" s="1">
        <f>SUM('AF&amp;L:Villanova'!O55)</f>
        <v>17179706</v>
      </c>
      <c r="M55" s="1">
        <f>SUM('AF&amp;L:Villanova'!P55)</f>
        <v>5230641</v>
      </c>
      <c r="O55" s="1">
        <f>SUM('AF&amp;L:Villanova'!R55)</f>
        <v>8262781</v>
      </c>
      <c r="P55" s="1">
        <f>SUM('AF&amp;L:Villanova'!S55)</f>
        <v>5464841</v>
      </c>
      <c r="R55" s="1">
        <f>SUM('AF&amp;L:Villanova'!U55)</f>
        <v>51813</v>
      </c>
      <c r="S55" s="9">
        <f>SUM('AF&amp;L:Villanova'!V55)</f>
        <v>0</v>
      </c>
    </row>
    <row r="56" spans="1:19">
      <c r="A56" s="1" t="s">
        <v>77</v>
      </c>
      <c r="B56" s="6">
        <f>+'Pre-Liquidation Summary'!B56+'Open Summary'!B56+'Closed Summary'!B56+'Estate Closed Summary'!B56+'Released from Oversight Summary'!B56</f>
        <v>31564689.243767023</v>
      </c>
      <c r="C56" s="1">
        <f>+'Pre-Liquidation Summary'!C56+'Open Summary'!C56+'Closed Summary'!C56+'Estate Closed Summary'!C56+'Released from Oversight Summary'!C56</f>
        <v>70575749.964973718</v>
      </c>
      <c r="D56" s="1">
        <f>+'Pre-Liquidation Summary'!D56+'Open Summary'!D56+'Closed Summary'!D56+'Estate Closed Summary'!D56+'Released from Oversight Summary'!D56</f>
        <v>20496112.397606377</v>
      </c>
      <c r="E56" s="1">
        <f>+'Pre-Liquidation Summary'!E56+'Open Summary'!E56+'Closed Summary'!E56+'Estate Closed Summary'!E56+'Released from Oversight Summary'!E56</f>
        <v>80338.343980072328</v>
      </c>
      <c r="F56" s="1">
        <f>+'Pre-Liquidation Summary'!F56+'Open Summary'!F56+'Closed Summary'!F56+'Estate Closed Summary'!F56+'Released from Oversight Summary'!F56</f>
        <v>0</v>
      </c>
      <c r="G56" s="9">
        <f>SUM(WI_FINANCIAL)</f>
        <v>122716889.95032719</v>
      </c>
      <c r="I56" s="6">
        <f>SUM('AF&amp;L:Villanova'!L56)</f>
        <v>32700000</v>
      </c>
      <c r="J56" s="1">
        <f>SUM('AF&amp;L:Villanova'!M56)</f>
        <v>0</v>
      </c>
      <c r="L56" s="1">
        <f>SUM('AF&amp;L:Villanova'!O56)</f>
        <v>60047843</v>
      </c>
      <c r="M56" s="1">
        <f>SUM('AF&amp;L:Villanova'!P56)</f>
        <v>0</v>
      </c>
      <c r="O56" s="1">
        <f>SUM('AF&amp;L:Villanova'!R56)</f>
        <v>19500000</v>
      </c>
      <c r="P56" s="1">
        <f>SUM('AF&amp;L:Villanova'!S56)</f>
        <v>0</v>
      </c>
      <c r="R56" s="1">
        <f>SUM('AF&amp;L:Villanova'!U56)</f>
        <v>0</v>
      </c>
      <c r="S56" s="9">
        <f>SUM('AF&amp;L:Villanova'!V56)</f>
        <v>0</v>
      </c>
    </row>
    <row r="57" spans="1:19">
      <c r="A57" s="1" t="s">
        <v>78</v>
      </c>
      <c r="B57" s="6">
        <f>+'Pre-Liquidation Summary'!B57+'Open Summary'!B57+'Closed Summary'!B57+'Estate Closed Summary'!B57+'Released from Oversight Summary'!B57</f>
        <v>4236872.5492813168</v>
      </c>
      <c r="C57" s="1">
        <f>+'Pre-Liquidation Summary'!C57+'Open Summary'!C57+'Closed Summary'!C57+'Estate Closed Summary'!C57+'Released from Oversight Summary'!C57</f>
        <v>8055210.163277722</v>
      </c>
      <c r="D57" s="1">
        <f>+'Pre-Liquidation Summary'!D57+'Open Summary'!D57+'Closed Summary'!D57+'Estate Closed Summary'!D57+'Released from Oversight Summary'!D57</f>
        <v>3274202.1840289375</v>
      </c>
      <c r="E57" s="1">
        <f>+'Pre-Liquidation Summary'!E57+'Open Summary'!E57+'Closed Summary'!E57+'Estate Closed Summary'!E57+'Released from Oversight Summary'!E57</f>
        <v>0</v>
      </c>
      <c r="F57" s="1">
        <f>+'Pre-Liquidation Summary'!F57+'Open Summary'!F57+'Closed Summary'!F57+'Estate Closed Summary'!F57+'Released from Oversight Summary'!F57</f>
        <v>0</v>
      </c>
      <c r="G57" s="9">
        <f>SUM(WY_FINANCIAL)</f>
        <v>15566284.896587975</v>
      </c>
      <c r="I57" s="6">
        <f>SUM('AF&amp;L:Villanova'!L57)</f>
        <v>5147984</v>
      </c>
      <c r="J57" s="1">
        <f>SUM('AF&amp;L:Villanova'!M57)</f>
        <v>1423081</v>
      </c>
      <c r="L57" s="1">
        <f>SUM('AF&amp;L:Villanova'!O57)</f>
        <v>8578921</v>
      </c>
      <c r="M57" s="1">
        <f>SUM('AF&amp;L:Villanova'!P57)</f>
        <v>2995415</v>
      </c>
      <c r="O57" s="1">
        <f>SUM('AF&amp;L:Villanova'!R57)</f>
        <v>1010787</v>
      </c>
      <c r="P57" s="1">
        <f>SUM('AF&amp;L:Villanova'!S57)</f>
        <v>781612</v>
      </c>
      <c r="R57" s="1">
        <f>SUM('AF&amp;L:Villanova'!U57)</f>
        <v>0</v>
      </c>
      <c r="S57" s="9">
        <f>SUM('AF&amp;L:Villanova'!V57)</f>
        <v>0</v>
      </c>
    </row>
    <row r="58" spans="1:19">
      <c r="A58" s="1" t="s">
        <v>79</v>
      </c>
      <c r="B58" s="6">
        <f>+'Pre-Liquidation Summary'!B58+'Open Summary'!B58+'Closed Summary'!B58+'Estate Closed Summary'!B58+'Released from Oversight Summary'!B58</f>
        <v>1</v>
      </c>
      <c r="C58" s="1">
        <f>+'Pre-Liquidation Summary'!C58+'Open Summary'!C58+'Closed Summary'!C58+'Estate Closed Summary'!C58+'Released from Oversight Summary'!C58</f>
        <v>0</v>
      </c>
      <c r="D58" s="1">
        <f>+'Pre-Liquidation Summary'!D58+'Open Summary'!D58+'Closed Summary'!D58+'Estate Closed Summary'!D58+'Released from Oversight Summary'!D58</f>
        <v>13543.189376251059</v>
      </c>
      <c r="E58" s="1">
        <f>+'Pre-Liquidation Summary'!E58+'Open Summary'!E58+'Closed Summary'!E58+'Estate Closed Summary'!E58+'Released from Oversight Summary'!E58</f>
        <v>0</v>
      </c>
      <c r="F58" s="1">
        <f>+'Pre-Liquidation Summary'!F58+'Open Summary'!F58+'Closed Summary'!F58+'Estate Closed Summary'!F58+'Released from Oversight Summary'!F58</f>
        <v>0</v>
      </c>
      <c r="G58" s="9">
        <f>SUM(OT_FINANCIAL)</f>
        <v>13544.189376251059</v>
      </c>
      <c r="I58" s="6">
        <f>SUM('AF&amp;L:Villanova'!L58)</f>
        <v>0</v>
      </c>
      <c r="J58" s="1">
        <f>SUM('AF&amp;L:Villanova'!M58)</f>
        <v>0</v>
      </c>
      <c r="L58" s="1">
        <f>SUM('AF&amp;L:Villanova'!O58)</f>
        <v>0</v>
      </c>
      <c r="M58" s="1">
        <f>SUM('AF&amp;L:Villanova'!P58)</f>
        <v>0</v>
      </c>
      <c r="O58" s="1">
        <f>SUM('AF&amp;L:Villanova'!R58)</f>
        <v>0</v>
      </c>
      <c r="P58" s="1">
        <f>SUM('AF&amp;L:Villanova'!S58)</f>
        <v>0</v>
      </c>
      <c r="R58" s="1">
        <f>SUM('AF&amp;L:Villanova'!U58)</f>
        <v>0</v>
      </c>
      <c r="S58" s="9">
        <f>SUM('AF&amp;L:Villanova'!V58)</f>
        <v>0</v>
      </c>
    </row>
    <row r="59" spans="1:19">
      <c r="B59" s="6"/>
      <c r="G59" s="9"/>
      <c r="I59" s="6"/>
      <c r="S59" s="9"/>
    </row>
    <row r="60" spans="1:19">
      <c r="A60" s="1" t="s">
        <v>8</v>
      </c>
      <c r="B60" s="6">
        <f>SUM(LIFE)</f>
        <v>2168143774.1424894</v>
      </c>
      <c r="C60" s="1">
        <f>SUM(ALLOCATED)</f>
        <v>4414370176.9198399</v>
      </c>
      <c r="D60" s="1">
        <f>SUM(HEALTH)</f>
        <v>3366486237.7834234</v>
      </c>
      <c r="E60" s="1">
        <f>SUM(UNALLOCATED)</f>
        <v>54364054.452415489</v>
      </c>
      <c r="F60" s="1">
        <f>SUM(LTC)</f>
        <v>14439205.889089957</v>
      </c>
      <c r="G60" s="9">
        <f>SUM(ALL_BLOCKS)</f>
        <v>10017803449.187258</v>
      </c>
      <c r="I60" s="6">
        <f>SUM(LIFE_CALLED)</f>
        <v>3109736376</v>
      </c>
      <c r="J60" s="1">
        <f>SUM(LIFE_REFUNDED)</f>
        <v>329083058.17595959</v>
      </c>
      <c r="L60" s="1">
        <f>SUM(ALLOC_CALLED)</f>
        <v>4206988864</v>
      </c>
      <c r="M60" s="1">
        <f>SUM(ALLOC_REFUNDED)</f>
        <v>336212680.18427837</v>
      </c>
      <c r="O60" s="1">
        <f>SUM(HEALTH_CALLED)</f>
        <v>3263197630.5</v>
      </c>
      <c r="P60" s="1">
        <f>SUM(HEALTH_REFUNDED)</f>
        <v>221292523.939762</v>
      </c>
      <c r="R60" s="1">
        <f>SUM(UNALLOC_CALLED)</f>
        <v>278013015</v>
      </c>
      <c r="S60" s="9">
        <f>SUM(UNALLOC_REFUNDED)</f>
        <v>121683438.81999999</v>
      </c>
    </row>
    <row r="61" spans="1:19">
      <c r="B61" s="8"/>
      <c r="C61" s="5"/>
      <c r="D61" s="5"/>
      <c r="E61" s="5"/>
      <c r="F61" s="5"/>
      <c r="G61" s="11"/>
      <c r="I61" s="8"/>
      <c r="J61" s="5"/>
      <c r="K61" s="5"/>
      <c r="L61" s="5"/>
      <c r="M61" s="5"/>
      <c r="N61" s="5"/>
      <c r="O61" s="5"/>
      <c r="P61" s="5"/>
      <c r="Q61" s="5"/>
      <c r="R61" s="5"/>
      <c r="S61" s="11"/>
    </row>
  </sheetData>
  <mergeCells count="7">
    <mergeCell ref="A1:G1"/>
    <mergeCell ref="B3:G3"/>
    <mergeCell ref="I3:S3"/>
    <mergeCell ref="I4:J4"/>
    <mergeCell ref="L4:M4"/>
    <mergeCell ref="O4:P4"/>
    <mergeCell ref="R4:S4"/>
  </mergeCells>
  <pageMargins left="0" right="0" top="0" bottom="0" header="0" footer="0"/>
  <pageSetup scale="58" orientation="landscape" r:id="rId1"/>
</worksheet>
</file>

<file path=xl/worksheets/sheet10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58F50-1837-402E-ACE9-656066F611C6}">
  <sheetPr>
    <pageSetUpPr fitToPage="1"/>
  </sheetPr>
  <dimension ref="A1:M2023"/>
  <sheetViews>
    <sheetView zoomScale="80" zoomScaleNormal="80" workbookViewId="0">
      <selection activeCell="K30" sqref="K30"/>
    </sheetView>
  </sheetViews>
  <sheetFormatPr defaultColWidth="9.33203125" defaultRowHeight="14.4"/>
  <cols>
    <col min="1" max="1" width="17.109375" style="45" customWidth="1"/>
    <col min="2" max="2" width="14.88671875" style="46" customWidth="1"/>
    <col min="3" max="3" width="14.88671875" style="46" hidden="1" customWidth="1"/>
    <col min="4" max="4" width="11.6640625" style="51" customWidth="1"/>
    <col min="5" max="10" width="21.44140625" style="45" customWidth="1"/>
    <col min="11" max="11" width="84.21875" customWidth="1"/>
    <col min="12" max="12" width="3.109375" customWidth="1"/>
    <col min="13" max="13" width="18.88671875" style="36" customWidth="1"/>
  </cols>
  <sheetData>
    <row r="1" spans="1:13" ht="15.6">
      <c r="A1" s="101" t="s">
        <v>718</v>
      </c>
      <c r="B1" s="101"/>
      <c r="C1" s="101"/>
      <c r="D1" s="101"/>
      <c r="E1" s="101"/>
      <c r="F1" s="101"/>
      <c r="G1" s="101"/>
      <c r="H1" s="101"/>
      <c r="I1" s="101"/>
      <c r="J1" s="101"/>
    </row>
    <row r="2" spans="1:13" ht="15.6">
      <c r="A2" s="101" t="s">
        <v>719</v>
      </c>
      <c r="B2" s="101"/>
      <c r="C2" s="101"/>
      <c r="D2" s="101"/>
      <c r="E2" s="101"/>
      <c r="F2" s="101"/>
      <c r="G2" s="101"/>
      <c r="H2" s="101"/>
      <c r="I2" s="101"/>
      <c r="J2" s="101"/>
      <c r="M2" s="37"/>
    </row>
    <row r="3" spans="1:13">
      <c r="A3"/>
      <c r="B3" s="38"/>
      <c r="C3" s="38"/>
      <c r="D3" s="38"/>
      <c r="E3" s="39"/>
      <c r="F3" s="39"/>
      <c r="G3" s="39"/>
      <c r="H3" s="39" t="s">
        <v>720</v>
      </c>
      <c r="I3" s="40" t="s">
        <v>721</v>
      </c>
      <c r="J3" s="41" t="s">
        <v>720</v>
      </c>
    </row>
    <row r="4" spans="1:13" s="38" customFormat="1">
      <c r="A4" s="41"/>
      <c r="B4" s="41" t="s">
        <v>722</v>
      </c>
      <c r="C4" s="41"/>
      <c r="D4" s="42"/>
      <c r="E4" s="41"/>
      <c r="F4" s="41" t="s">
        <v>708</v>
      </c>
      <c r="G4" s="41"/>
      <c r="H4" s="41" t="s">
        <v>709</v>
      </c>
      <c r="I4" s="41" t="s">
        <v>723</v>
      </c>
      <c r="J4" s="41" t="s">
        <v>720</v>
      </c>
      <c r="M4" s="43" t="s">
        <v>724</v>
      </c>
    </row>
    <row r="5" spans="1:13" s="38" customFormat="1">
      <c r="A5" s="41" t="s">
        <v>722</v>
      </c>
      <c r="B5" s="41" t="s">
        <v>725</v>
      </c>
      <c r="C5" s="41" t="s">
        <v>726</v>
      </c>
      <c r="D5" s="42" t="s">
        <v>727</v>
      </c>
      <c r="E5" s="41" t="s">
        <v>3</v>
      </c>
      <c r="F5" s="41" t="s">
        <v>710</v>
      </c>
      <c r="G5" s="41" t="s">
        <v>5</v>
      </c>
      <c r="H5" s="41" t="s">
        <v>710</v>
      </c>
      <c r="I5" s="41" t="s">
        <v>8</v>
      </c>
      <c r="J5" s="41" t="s">
        <v>728</v>
      </c>
      <c r="K5" s="41" t="s">
        <v>729</v>
      </c>
      <c r="L5" s="41"/>
      <c r="M5" s="44" t="s">
        <v>730</v>
      </c>
    </row>
    <row r="6" spans="1:13">
      <c r="D6" s="47"/>
      <c r="I6" s="48"/>
    </row>
    <row r="7" spans="1:13">
      <c r="A7" s="49" t="s">
        <v>11</v>
      </c>
      <c r="B7" s="46" t="s">
        <v>210</v>
      </c>
      <c r="C7" s="50" t="s">
        <v>731</v>
      </c>
      <c r="D7" s="51">
        <v>1988</v>
      </c>
      <c r="E7" s="52">
        <v>970835828</v>
      </c>
      <c r="F7" s="52">
        <v>443818753</v>
      </c>
      <c r="G7" s="52">
        <v>755579803</v>
      </c>
      <c r="H7" s="53">
        <v>0</v>
      </c>
      <c r="I7" s="54">
        <f>SUM(E7:H7)</f>
        <v>2170234384</v>
      </c>
      <c r="J7" s="52">
        <v>0</v>
      </c>
      <c r="M7" s="38" t="str">
        <f>IF([1]totrevprm!O7="","",[1]totrevprm!O7)</f>
        <v/>
      </c>
    </row>
    <row r="8" spans="1:13">
      <c r="A8" s="49" t="s">
        <v>11</v>
      </c>
      <c r="B8" s="46" t="s">
        <v>210</v>
      </c>
      <c r="C8" s="50" t="s">
        <v>732</v>
      </c>
      <c r="D8" s="51">
        <v>1989</v>
      </c>
      <c r="E8" s="52">
        <v>961872838</v>
      </c>
      <c r="F8" s="52">
        <v>408511068</v>
      </c>
      <c r="G8" s="52">
        <v>812933944</v>
      </c>
      <c r="H8" s="53">
        <v>0</v>
      </c>
      <c r="I8" s="54">
        <f t="shared" ref="I8:I43" si="0">SUM(E8:H8)</f>
        <v>2183317850</v>
      </c>
      <c r="J8" s="52">
        <v>0</v>
      </c>
      <c r="M8" s="38" t="str">
        <f>IF([1]totrevprm!O8="","",[1]totrevprm!O8)</f>
        <v/>
      </c>
    </row>
    <row r="9" spans="1:13">
      <c r="A9" s="49" t="s">
        <v>11</v>
      </c>
      <c r="B9" s="46" t="s">
        <v>210</v>
      </c>
      <c r="C9" s="50" t="s">
        <v>732</v>
      </c>
      <c r="D9" s="51">
        <v>1990</v>
      </c>
      <c r="E9" s="52">
        <v>989979831</v>
      </c>
      <c r="F9" s="52">
        <v>452536894.07999998</v>
      </c>
      <c r="G9" s="52">
        <v>834467504</v>
      </c>
      <c r="H9" s="53">
        <v>0</v>
      </c>
      <c r="I9" s="54">
        <f t="shared" si="0"/>
        <v>2276984229.0799999</v>
      </c>
      <c r="J9" s="52">
        <v>0</v>
      </c>
      <c r="M9" s="38" t="str">
        <f>IF([1]totrevprm!O9="","",[1]totrevprm!O9)</f>
        <v/>
      </c>
    </row>
    <row r="10" spans="1:13">
      <c r="A10" s="49" t="s">
        <v>11</v>
      </c>
      <c r="B10" s="46" t="s">
        <v>210</v>
      </c>
      <c r="C10" s="50" t="s">
        <v>732</v>
      </c>
      <c r="D10" s="51">
        <v>1991</v>
      </c>
      <c r="E10" s="52">
        <v>1051877423</v>
      </c>
      <c r="F10" s="52">
        <v>402815551</v>
      </c>
      <c r="G10" s="52">
        <v>839729815</v>
      </c>
      <c r="H10" s="53">
        <v>0</v>
      </c>
      <c r="I10" s="54">
        <f t="shared" si="0"/>
        <v>2294422789</v>
      </c>
      <c r="J10" s="52">
        <v>0</v>
      </c>
      <c r="M10" s="38" t="str">
        <f>IF([1]totrevprm!O10="","",[1]totrevprm!O10)</f>
        <v/>
      </c>
    </row>
    <row r="11" spans="1:13">
      <c r="A11" s="49" t="s">
        <v>11</v>
      </c>
      <c r="B11" s="46" t="s">
        <v>210</v>
      </c>
      <c r="C11" s="50" t="s">
        <v>732</v>
      </c>
      <c r="D11" s="51">
        <v>1992</v>
      </c>
      <c r="E11" s="52">
        <v>1106095824</v>
      </c>
      <c r="F11" s="52">
        <v>428907893.44</v>
      </c>
      <c r="G11" s="52">
        <v>829216722</v>
      </c>
      <c r="H11" s="53">
        <v>0</v>
      </c>
      <c r="I11" s="54">
        <f t="shared" si="0"/>
        <v>2364220439.4400001</v>
      </c>
      <c r="J11" s="52">
        <v>0</v>
      </c>
      <c r="M11" s="38" t="str">
        <f>IF([1]totrevprm!O11="","",[1]totrevprm!O11)</f>
        <v/>
      </c>
    </row>
    <row r="12" spans="1:13">
      <c r="A12" s="49" t="s">
        <v>11</v>
      </c>
      <c r="B12" s="46" t="s">
        <v>210</v>
      </c>
      <c r="C12" s="50" t="s">
        <v>732</v>
      </c>
      <c r="D12" s="51">
        <v>1993</v>
      </c>
      <c r="E12" s="52">
        <v>1161309120</v>
      </c>
      <c r="F12" s="52">
        <v>381576205</v>
      </c>
      <c r="G12" s="52">
        <v>841132013</v>
      </c>
      <c r="H12" s="53">
        <v>0</v>
      </c>
      <c r="I12" s="54">
        <f t="shared" si="0"/>
        <v>2384017338</v>
      </c>
      <c r="J12" s="52">
        <v>0</v>
      </c>
      <c r="M12" s="38" t="str">
        <f>IF([1]totrevprm!O12="","",[1]totrevprm!O12)</f>
        <v/>
      </c>
    </row>
    <row r="13" spans="1:13">
      <c r="A13" s="49" t="s">
        <v>11</v>
      </c>
      <c r="B13" s="46" t="s">
        <v>210</v>
      </c>
      <c r="C13" s="50" t="s">
        <v>732</v>
      </c>
      <c r="D13" s="51">
        <v>1994</v>
      </c>
      <c r="E13" s="52">
        <v>1263827052</v>
      </c>
      <c r="F13" s="52">
        <v>531556069</v>
      </c>
      <c r="G13" s="52">
        <v>845718962</v>
      </c>
      <c r="H13" s="53">
        <v>0</v>
      </c>
      <c r="I13" s="54">
        <f t="shared" si="0"/>
        <v>2641102083</v>
      </c>
      <c r="J13" s="52">
        <v>0</v>
      </c>
      <c r="M13" s="38" t="str">
        <f>IF([1]totrevprm!O13="","",[1]totrevprm!O13)</f>
        <v/>
      </c>
    </row>
    <row r="14" spans="1:13">
      <c r="A14" s="49" t="s">
        <v>11</v>
      </c>
      <c r="B14" s="46" t="s">
        <v>210</v>
      </c>
      <c r="C14" s="50" t="s">
        <v>732</v>
      </c>
      <c r="D14" s="51">
        <v>1995</v>
      </c>
      <c r="E14" s="52">
        <v>1296860047</v>
      </c>
      <c r="F14" s="52">
        <v>548569570</v>
      </c>
      <c r="G14" s="52">
        <v>848012082</v>
      </c>
      <c r="H14" s="53">
        <v>0</v>
      </c>
      <c r="I14" s="54">
        <f t="shared" si="0"/>
        <v>2693441699</v>
      </c>
      <c r="J14" s="52">
        <v>0</v>
      </c>
      <c r="M14" s="38" t="str">
        <f>IF([1]totrevprm!O14="","",[1]totrevprm!O14)</f>
        <v/>
      </c>
    </row>
    <row r="15" spans="1:13">
      <c r="A15" s="49" t="s">
        <v>11</v>
      </c>
      <c r="B15" s="46" t="s">
        <v>210</v>
      </c>
      <c r="C15" s="50" t="s">
        <v>732</v>
      </c>
      <c r="D15" s="51">
        <v>1996</v>
      </c>
      <c r="E15" s="52">
        <v>1277829767</v>
      </c>
      <c r="F15" s="52">
        <v>494741984</v>
      </c>
      <c r="G15" s="52">
        <v>828155819</v>
      </c>
      <c r="H15" s="53">
        <v>0</v>
      </c>
      <c r="I15" s="54">
        <f t="shared" si="0"/>
        <v>2600727570</v>
      </c>
      <c r="J15" s="52">
        <v>0</v>
      </c>
      <c r="M15" s="38" t="str">
        <f>IF([1]totrevprm!O15="","",[1]totrevprm!O15)</f>
        <v/>
      </c>
    </row>
    <row r="16" spans="1:13">
      <c r="A16" s="49" t="s">
        <v>11</v>
      </c>
      <c r="B16" s="46" t="s">
        <v>210</v>
      </c>
      <c r="C16" s="50" t="s">
        <v>732</v>
      </c>
      <c r="D16" s="51">
        <v>1997</v>
      </c>
      <c r="E16" s="52">
        <v>1527568976</v>
      </c>
      <c r="F16" s="52">
        <v>584143645</v>
      </c>
      <c r="G16" s="52">
        <v>809928972</v>
      </c>
      <c r="H16" s="53">
        <v>0</v>
      </c>
      <c r="I16" s="54">
        <f t="shared" si="0"/>
        <v>2921641593</v>
      </c>
      <c r="J16" s="52">
        <v>0</v>
      </c>
      <c r="M16" s="38" t="str">
        <f>IF([1]totrevprm!O16="","",[1]totrevprm!O16)</f>
        <v/>
      </c>
    </row>
    <row r="17" spans="1:13">
      <c r="A17" s="49" t="s">
        <v>11</v>
      </c>
      <c r="B17" s="46" t="s">
        <v>210</v>
      </c>
      <c r="C17" s="50" t="s">
        <v>732</v>
      </c>
      <c r="D17" s="51">
        <v>1998</v>
      </c>
      <c r="E17" s="53">
        <v>1765228816</v>
      </c>
      <c r="F17" s="53">
        <v>656412928</v>
      </c>
      <c r="G17" s="53">
        <v>801838709</v>
      </c>
      <c r="H17" s="53">
        <v>0</v>
      </c>
      <c r="I17" s="54">
        <f t="shared" si="0"/>
        <v>3223480453</v>
      </c>
      <c r="J17" s="52">
        <v>0</v>
      </c>
      <c r="M17" s="38" t="str">
        <f>IF([1]totrevprm!O17="","",[1]totrevprm!O17)</f>
        <v/>
      </c>
    </row>
    <row r="18" spans="1:13">
      <c r="A18" s="49" t="s">
        <v>11</v>
      </c>
      <c r="B18" s="46" t="s">
        <v>210</v>
      </c>
      <c r="C18" s="50" t="s">
        <v>732</v>
      </c>
      <c r="D18" s="51">
        <v>1999</v>
      </c>
      <c r="E18" s="53">
        <v>1522162487</v>
      </c>
      <c r="F18" s="53">
        <v>970984676</v>
      </c>
      <c r="G18" s="53">
        <v>832518202</v>
      </c>
      <c r="H18" s="53">
        <v>0</v>
      </c>
      <c r="I18" s="54">
        <f t="shared" si="0"/>
        <v>3325665365</v>
      </c>
      <c r="J18" s="52">
        <v>0</v>
      </c>
      <c r="M18" s="38" t="str">
        <f>IF([1]totrevprm!O18="","",[1]totrevprm!O18)</f>
        <v/>
      </c>
    </row>
    <row r="19" spans="1:13">
      <c r="A19" s="49" t="s">
        <v>11</v>
      </c>
      <c r="B19" s="46" t="s">
        <v>210</v>
      </c>
      <c r="C19" s="50" t="s">
        <v>732</v>
      </c>
      <c r="D19" s="51">
        <v>2000</v>
      </c>
      <c r="E19" s="53">
        <v>1495584985</v>
      </c>
      <c r="F19" s="53">
        <v>1100140248</v>
      </c>
      <c r="G19" s="53">
        <v>839904048</v>
      </c>
      <c r="H19" s="53">
        <v>0</v>
      </c>
      <c r="I19" s="54">
        <f t="shared" si="0"/>
        <v>3435629281</v>
      </c>
      <c r="J19" s="52">
        <v>0</v>
      </c>
      <c r="M19" s="38" t="str">
        <f>IF([1]totrevprm!O19="","",[1]totrevprm!O19)</f>
        <v/>
      </c>
    </row>
    <row r="20" spans="1:13">
      <c r="A20" s="49" t="s">
        <v>11</v>
      </c>
      <c r="B20" s="46" t="s">
        <v>210</v>
      </c>
      <c r="C20" s="50" t="s">
        <v>732</v>
      </c>
      <c r="D20" s="51">
        <v>2001</v>
      </c>
      <c r="E20" s="53">
        <v>1437218805</v>
      </c>
      <c r="F20" s="53">
        <v>1353545717.5999899</v>
      </c>
      <c r="G20" s="53">
        <v>851034121</v>
      </c>
      <c r="H20" s="53">
        <v>0</v>
      </c>
      <c r="I20" s="54">
        <f t="shared" si="0"/>
        <v>3641798643.5999899</v>
      </c>
      <c r="J20" s="52">
        <v>0</v>
      </c>
      <c r="M20" s="38" t="str">
        <f>IF([1]totrevprm!O20="","",[1]totrevprm!O20)</f>
        <v/>
      </c>
    </row>
    <row r="21" spans="1:13">
      <c r="A21" s="49" t="s">
        <v>11</v>
      </c>
      <c r="B21" s="46" t="s">
        <v>210</v>
      </c>
      <c r="C21" s="50" t="s">
        <v>732</v>
      </c>
      <c r="D21" s="51">
        <v>2002</v>
      </c>
      <c r="E21" s="53">
        <v>1476872679</v>
      </c>
      <c r="F21" s="53">
        <v>1688525889</v>
      </c>
      <c r="G21" s="53">
        <v>869103587</v>
      </c>
      <c r="H21" s="53">
        <v>0</v>
      </c>
      <c r="I21" s="54">
        <f t="shared" si="0"/>
        <v>4034502155</v>
      </c>
      <c r="J21" s="52">
        <v>0</v>
      </c>
      <c r="M21" s="38" t="str">
        <f>IF([1]totrevprm!O21="","",[1]totrevprm!O21)</f>
        <v/>
      </c>
    </row>
    <row r="22" spans="1:13">
      <c r="A22" s="49" t="s">
        <v>11</v>
      </c>
      <c r="B22" s="46" t="s">
        <v>210</v>
      </c>
      <c r="C22" s="50" t="s">
        <v>732</v>
      </c>
      <c r="D22" s="51">
        <v>2003</v>
      </c>
      <c r="E22" s="55">
        <v>1599611950</v>
      </c>
      <c r="F22" s="55">
        <v>1597500288</v>
      </c>
      <c r="G22" s="55">
        <v>950050960</v>
      </c>
      <c r="H22" s="53">
        <v>0</v>
      </c>
      <c r="I22" s="54">
        <f t="shared" si="0"/>
        <v>4147163198</v>
      </c>
      <c r="J22" s="52">
        <v>0</v>
      </c>
      <c r="M22" s="38" t="str">
        <f>IF([1]totrevprm!O22="","",[1]totrevprm!O22)</f>
        <v/>
      </c>
    </row>
    <row r="23" spans="1:13">
      <c r="A23" s="49" t="s">
        <v>11</v>
      </c>
      <c r="B23" s="46" t="s">
        <v>210</v>
      </c>
      <c r="C23" s="50" t="s">
        <v>732</v>
      </c>
      <c r="D23" s="51">
        <v>2004</v>
      </c>
      <c r="E23" s="55">
        <v>1580545670</v>
      </c>
      <c r="F23" s="55">
        <v>1409043866</v>
      </c>
      <c r="G23" s="55">
        <v>1002804803</v>
      </c>
      <c r="H23" s="53">
        <v>0</v>
      </c>
      <c r="I23" s="54">
        <f t="shared" si="0"/>
        <v>3992394339</v>
      </c>
      <c r="J23" s="52">
        <v>0</v>
      </c>
      <c r="M23" s="38" t="str">
        <f>IF([1]totrevprm!O23="","",[1]totrevprm!O23)</f>
        <v/>
      </c>
    </row>
    <row r="24" spans="1:13">
      <c r="A24" s="49" t="s">
        <v>11</v>
      </c>
      <c r="B24" s="46" t="s">
        <v>210</v>
      </c>
      <c r="C24" s="50"/>
      <c r="D24" s="51">
        <v>2005</v>
      </c>
      <c r="E24" s="55">
        <v>1611639721</v>
      </c>
      <c r="F24" s="55">
        <v>1323709890</v>
      </c>
      <c r="G24" s="55">
        <v>1052387230.46</v>
      </c>
      <c r="H24" s="53">
        <v>0</v>
      </c>
      <c r="I24" s="54">
        <f t="shared" si="0"/>
        <v>3987736841.46</v>
      </c>
      <c r="J24" s="52">
        <v>0</v>
      </c>
      <c r="M24" s="38" t="str">
        <f>IF([1]totrevprm!O24="","",[1]totrevprm!O24)</f>
        <v/>
      </c>
    </row>
    <row r="25" spans="1:13">
      <c r="A25" s="49" t="s">
        <v>11</v>
      </c>
      <c r="B25" s="46" t="s">
        <v>210</v>
      </c>
      <c r="C25" s="50"/>
      <c r="D25" s="51">
        <v>2006</v>
      </c>
      <c r="E25" s="56">
        <v>1705149763</v>
      </c>
      <c r="F25" s="56">
        <v>1528232544</v>
      </c>
      <c r="G25" s="56">
        <v>1239555578</v>
      </c>
      <c r="H25" s="56">
        <v>0</v>
      </c>
      <c r="I25" s="54">
        <f t="shared" si="0"/>
        <v>4472937885</v>
      </c>
      <c r="J25" s="52">
        <v>0</v>
      </c>
      <c r="M25" s="38" t="str">
        <f>IF([1]totrevprm!O25="","",[1]totrevprm!O25)</f>
        <v/>
      </c>
    </row>
    <row r="26" spans="1:13">
      <c r="A26" s="49" t="s">
        <v>11</v>
      </c>
      <c r="B26" s="46" t="s">
        <v>210</v>
      </c>
      <c r="C26" s="50"/>
      <c r="D26" s="51">
        <v>2007</v>
      </c>
      <c r="E26" s="56">
        <v>1716976644</v>
      </c>
      <c r="F26" s="56">
        <v>1490878108</v>
      </c>
      <c r="G26" s="56">
        <v>1386765456</v>
      </c>
      <c r="H26" s="56">
        <v>0</v>
      </c>
      <c r="I26" s="54">
        <f t="shared" si="0"/>
        <v>4594620208</v>
      </c>
      <c r="J26" s="52">
        <v>0</v>
      </c>
      <c r="M26" s="38" t="str">
        <f>IF([1]totrevprm!O26="","",[1]totrevprm!O26)</f>
        <v/>
      </c>
    </row>
    <row r="27" spans="1:13">
      <c r="A27" s="49" t="s">
        <v>11</v>
      </c>
      <c r="B27" s="46" t="s">
        <v>210</v>
      </c>
      <c r="C27" s="50"/>
      <c r="D27" s="51">
        <v>2008</v>
      </c>
      <c r="E27" s="56">
        <v>1721718796</v>
      </c>
      <c r="F27" s="56">
        <v>2068735254</v>
      </c>
      <c r="G27" s="56">
        <v>1392087604</v>
      </c>
      <c r="H27" s="56">
        <v>0</v>
      </c>
      <c r="I27" s="54">
        <f t="shared" si="0"/>
        <v>5182541654</v>
      </c>
      <c r="J27" s="52">
        <v>0</v>
      </c>
      <c r="M27" s="38" t="str">
        <f>IF([1]totrevprm!O27="","",[1]totrevprm!O27)</f>
        <v/>
      </c>
    </row>
    <row r="28" spans="1:13">
      <c r="A28" s="49" t="s">
        <v>11</v>
      </c>
      <c r="B28" s="46" t="s">
        <v>210</v>
      </c>
      <c r="C28" s="50"/>
      <c r="D28" s="51">
        <v>2009</v>
      </c>
      <c r="E28" s="56">
        <v>1801381577</v>
      </c>
      <c r="F28" s="56">
        <v>2071513165</v>
      </c>
      <c r="G28" s="56">
        <v>1416706082</v>
      </c>
      <c r="H28" s="52">
        <v>0</v>
      </c>
      <c r="I28" s="54">
        <f t="shared" si="0"/>
        <v>5289600824</v>
      </c>
      <c r="J28" s="52">
        <v>0</v>
      </c>
      <c r="M28" s="38" t="str">
        <f>IF([1]totrevprm!O28="","",[1]totrevprm!O28)</f>
        <v/>
      </c>
    </row>
    <row r="29" spans="1:13">
      <c r="A29" s="49" t="s">
        <v>11</v>
      </c>
      <c r="B29" s="46" t="s">
        <v>210</v>
      </c>
      <c r="C29" s="50"/>
      <c r="D29" s="51">
        <v>2010</v>
      </c>
      <c r="E29" s="56">
        <v>1820141971</v>
      </c>
      <c r="F29" s="56">
        <v>1704196131</v>
      </c>
      <c r="G29" s="56">
        <v>1454644461</v>
      </c>
      <c r="H29" s="52">
        <v>0</v>
      </c>
      <c r="I29" s="54">
        <f t="shared" si="0"/>
        <v>4978982563</v>
      </c>
      <c r="J29" s="52">
        <v>0</v>
      </c>
      <c r="M29" s="38" t="str">
        <f>IF([1]totrevprm!O29="","",[1]totrevprm!O29)</f>
        <v/>
      </c>
    </row>
    <row r="30" spans="1:13">
      <c r="A30" s="49" t="s">
        <v>11</v>
      </c>
      <c r="B30" s="46" t="s">
        <v>210</v>
      </c>
      <c r="C30" s="50"/>
      <c r="D30" s="51">
        <v>2011</v>
      </c>
      <c r="E30" s="56">
        <v>1947668716</v>
      </c>
      <c r="F30" s="56">
        <v>1673224938</v>
      </c>
      <c r="G30" s="56">
        <v>1462025445.96</v>
      </c>
      <c r="H30" s="52">
        <v>0</v>
      </c>
      <c r="I30" s="54">
        <f t="shared" si="0"/>
        <v>5082919099.96</v>
      </c>
      <c r="J30" s="52">
        <v>0</v>
      </c>
      <c r="M30" s="38" t="str">
        <f>IF([1]totrevprm!O30="","",[1]totrevprm!O30)</f>
        <v/>
      </c>
    </row>
    <row r="31" spans="1:13">
      <c r="A31" s="49" t="s">
        <v>11</v>
      </c>
      <c r="B31" s="46" t="s">
        <v>210</v>
      </c>
      <c r="C31" s="50"/>
      <c r="D31" s="51">
        <v>2012</v>
      </c>
      <c r="E31" s="56">
        <v>2024787258</v>
      </c>
      <c r="F31" s="56">
        <v>1711584871</v>
      </c>
      <c r="G31" s="56">
        <v>1447719607</v>
      </c>
      <c r="H31" s="52">
        <v>0</v>
      </c>
      <c r="I31" s="54">
        <f t="shared" si="0"/>
        <v>5184091736</v>
      </c>
      <c r="J31" s="52">
        <v>0</v>
      </c>
      <c r="M31" s="38" t="str">
        <f>IF([1]totrevprm!O31="","",[1]totrevprm!O31)</f>
        <v/>
      </c>
    </row>
    <row r="32" spans="1:13">
      <c r="A32" s="49" t="s">
        <v>11</v>
      </c>
      <c r="B32" s="46" t="s">
        <v>210</v>
      </c>
      <c r="C32" s="50"/>
      <c r="D32" s="51">
        <v>2013</v>
      </c>
      <c r="E32" s="56">
        <v>2048341878</v>
      </c>
      <c r="F32" s="56">
        <v>1698846231</v>
      </c>
      <c r="G32" s="56">
        <v>1359398387</v>
      </c>
      <c r="H32" s="52">
        <v>0</v>
      </c>
      <c r="I32" s="54">
        <f t="shared" si="0"/>
        <v>5106586496</v>
      </c>
      <c r="J32" s="52">
        <v>0</v>
      </c>
      <c r="M32" s="38" t="str">
        <f>IF([1]totrevprm!O32="","",[1]totrevprm!O32)</f>
        <v/>
      </c>
    </row>
    <row r="33" spans="1:13">
      <c r="A33" s="49" t="s">
        <v>11</v>
      </c>
      <c r="B33" s="46" t="s">
        <v>210</v>
      </c>
      <c r="C33" s="50"/>
      <c r="D33" s="51">
        <v>2014</v>
      </c>
      <c r="E33" s="56">
        <v>2271980928</v>
      </c>
      <c r="F33" s="56">
        <v>1781087625</v>
      </c>
      <c r="G33" s="56">
        <v>1421537577.53</v>
      </c>
      <c r="H33" s="56">
        <v>0</v>
      </c>
      <c r="I33" s="54">
        <f t="shared" si="0"/>
        <v>5474606130.5299997</v>
      </c>
      <c r="J33" s="52">
        <v>0</v>
      </c>
      <c r="M33" s="38" t="str">
        <f>IF([1]totrevprm!O33="","",[1]totrevprm!O33)</f>
        <v/>
      </c>
    </row>
    <row r="34" spans="1:13">
      <c r="A34" s="49" t="s">
        <v>11</v>
      </c>
      <c r="B34" s="46" t="s">
        <v>210</v>
      </c>
      <c r="C34" s="50"/>
      <c r="D34" s="51">
        <v>2015</v>
      </c>
      <c r="E34" s="56">
        <v>2092459147</v>
      </c>
      <c r="F34" s="56">
        <v>2209753048</v>
      </c>
      <c r="G34" s="56">
        <v>1436399669</v>
      </c>
      <c r="H34" s="56">
        <v>0</v>
      </c>
      <c r="I34" s="54">
        <f t="shared" si="0"/>
        <v>5738611864</v>
      </c>
      <c r="J34" s="52">
        <v>0</v>
      </c>
      <c r="M34" s="38" t="str">
        <f>IF([1]totrevprm!O34="","",[1]totrevprm!O34)</f>
        <v/>
      </c>
    </row>
    <row r="35" spans="1:13">
      <c r="A35" s="49" t="s">
        <v>11</v>
      </c>
      <c r="B35" s="46" t="s">
        <v>210</v>
      </c>
      <c r="C35" s="50"/>
      <c r="D35" s="51">
        <v>2016</v>
      </c>
      <c r="E35" s="56">
        <v>2262705895</v>
      </c>
      <c r="F35" s="56">
        <v>2350627626</v>
      </c>
      <c r="G35" s="56">
        <v>1487172706</v>
      </c>
      <c r="H35" s="56">
        <v>0</v>
      </c>
      <c r="I35" s="54">
        <f t="shared" si="0"/>
        <v>6100506227</v>
      </c>
      <c r="J35" s="52">
        <v>0</v>
      </c>
      <c r="M35" s="38" t="str">
        <f>IF([1]totrevprm!O35="","",[1]totrevprm!O35)</f>
        <v/>
      </c>
    </row>
    <row r="36" spans="1:13">
      <c r="A36" s="49" t="str">
        <f t="shared" ref="A36:B43" si="1">A35</f>
        <v>Alabama</v>
      </c>
      <c r="B36" s="46" t="str">
        <f t="shared" si="1"/>
        <v>AL</v>
      </c>
      <c r="C36" s="50"/>
      <c r="D36" s="51">
        <f>D35+1</f>
        <v>2017</v>
      </c>
      <c r="E36" s="56">
        <v>2212137078</v>
      </c>
      <c r="F36" s="56">
        <v>2274028522</v>
      </c>
      <c r="G36" s="56">
        <v>1574392248.71</v>
      </c>
      <c r="H36" s="56">
        <v>0</v>
      </c>
      <c r="I36" s="54">
        <f t="shared" si="0"/>
        <v>6060557848.71</v>
      </c>
      <c r="J36" s="52">
        <v>0</v>
      </c>
      <c r="M36" s="38" t="str">
        <f>IF([1]totrevprm!O36="","",[1]totrevprm!O36)</f>
        <v/>
      </c>
    </row>
    <row r="37" spans="1:13">
      <c r="A37" s="49" t="str">
        <f t="shared" si="1"/>
        <v>Alabama</v>
      </c>
      <c r="B37" s="46" t="str">
        <f t="shared" si="1"/>
        <v>AL</v>
      </c>
      <c r="C37" s="50"/>
      <c r="D37" s="51">
        <v>2018</v>
      </c>
      <c r="E37" s="56">
        <v>2228234861</v>
      </c>
      <c r="F37" s="56">
        <v>2589422020</v>
      </c>
      <c r="G37" s="56">
        <v>1659171749.8</v>
      </c>
      <c r="H37" s="56">
        <v>0</v>
      </c>
      <c r="I37" s="54">
        <f t="shared" si="0"/>
        <v>6476828630.8000002</v>
      </c>
      <c r="J37" s="56">
        <v>0</v>
      </c>
      <c r="M37" s="38" t="str">
        <f>IF([1]totrevprm!O37="","",[1]totrevprm!O37)</f>
        <v/>
      </c>
    </row>
    <row r="38" spans="1:13">
      <c r="A38" s="49" t="str">
        <f t="shared" si="1"/>
        <v>Alabama</v>
      </c>
      <c r="B38" s="46" t="str">
        <f t="shared" si="1"/>
        <v>AL</v>
      </c>
      <c r="C38" s="50"/>
      <c r="D38" s="51">
        <v>2019</v>
      </c>
      <c r="E38" s="56">
        <v>2345209739</v>
      </c>
      <c r="F38" s="56">
        <v>2683505286</v>
      </c>
      <c r="G38" s="56">
        <v>1777335103.47</v>
      </c>
      <c r="H38" s="56">
        <v>0</v>
      </c>
      <c r="I38" s="54">
        <f t="shared" si="0"/>
        <v>6806050128.4700003</v>
      </c>
      <c r="J38" s="56">
        <v>0</v>
      </c>
      <c r="M38" s="38" t="str">
        <f>IF([1]totrevprm!O38="","",[1]totrevprm!O38)</f>
        <v/>
      </c>
    </row>
    <row r="39" spans="1:13">
      <c r="A39" s="49" t="str">
        <f t="shared" si="1"/>
        <v>Alabama</v>
      </c>
      <c r="B39" s="46" t="str">
        <f t="shared" si="1"/>
        <v>AL</v>
      </c>
      <c r="C39" s="50"/>
      <c r="D39" s="51">
        <v>2020</v>
      </c>
      <c r="E39" s="52">
        <v>2622535841</v>
      </c>
      <c r="F39" s="52">
        <v>2675914410</v>
      </c>
      <c r="G39" s="52">
        <v>1719203126</v>
      </c>
      <c r="H39" s="56">
        <v>0</v>
      </c>
      <c r="I39" s="54">
        <f t="shared" si="0"/>
        <v>7017653377</v>
      </c>
      <c r="J39" s="56">
        <v>0</v>
      </c>
      <c r="M39" s="38" t="str">
        <f>IF([1]totrevprm!O39="","",[1]totrevprm!O39)</f>
        <v/>
      </c>
    </row>
    <row r="40" spans="1:13">
      <c r="A40" s="49" t="str">
        <f t="shared" si="1"/>
        <v>Alabama</v>
      </c>
      <c r="B40" s="46" t="str">
        <f t="shared" si="1"/>
        <v>AL</v>
      </c>
      <c r="C40" s="50"/>
      <c r="D40" s="51">
        <v>2021</v>
      </c>
      <c r="E40" s="52">
        <v>2523837878</v>
      </c>
      <c r="F40" s="52">
        <v>3227287111</v>
      </c>
      <c r="G40" s="52">
        <v>1778583156.49</v>
      </c>
      <c r="H40" s="56">
        <v>0</v>
      </c>
      <c r="I40" s="54">
        <f t="shared" si="0"/>
        <v>7529708145.4899998</v>
      </c>
      <c r="J40" s="56">
        <v>0</v>
      </c>
      <c r="M40" s="38"/>
    </row>
    <row r="41" spans="1:13">
      <c r="A41" s="49" t="str">
        <f t="shared" si="1"/>
        <v>Alabama</v>
      </c>
      <c r="B41" s="46" t="str">
        <f t="shared" si="1"/>
        <v>AL</v>
      </c>
      <c r="C41" s="50"/>
      <c r="D41" s="51">
        <v>2022</v>
      </c>
      <c r="E41" s="56">
        <v>2596669545</v>
      </c>
      <c r="F41" s="56">
        <v>4009174625</v>
      </c>
      <c r="G41" s="56">
        <v>1918065900</v>
      </c>
      <c r="H41" s="56">
        <v>0</v>
      </c>
      <c r="I41" s="54">
        <f t="shared" si="0"/>
        <v>8523910070</v>
      </c>
      <c r="J41" s="56">
        <v>0</v>
      </c>
      <c r="M41" s="38"/>
    </row>
    <row r="42" spans="1:13">
      <c r="A42" s="49" t="str">
        <f t="shared" si="1"/>
        <v>Alabama</v>
      </c>
      <c r="B42" s="46" t="str">
        <f t="shared" si="1"/>
        <v>AL</v>
      </c>
      <c r="C42" s="50"/>
      <c r="D42" s="51">
        <v>2023</v>
      </c>
      <c r="E42" s="56">
        <v>2600769646</v>
      </c>
      <c r="F42" s="56">
        <v>4834717802.7617998</v>
      </c>
      <c r="G42" s="56">
        <v>2406913343.2262001</v>
      </c>
      <c r="H42" s="56">
        <v>0</v>
      </c>
      <c r="I42" s="54">
        <f t="shared" si="0"/>
        <v>9842400791.987999</v>
      </c>
      <c r="J42" s="56">
        <v>0</v>
      </c>
      <c r="M42" s="38"/>
    </row>
    <row r="43" spans="1:13">
      <c r="A43" s="49" t="str">
        <f t="shared" si="1"/>
        <v>Alabama</v>
      </c>
      <c r="B43" s="46" t="str">
        <f t="shared" si="1"/>
        <v>AL</v>
      </c>
      <c r="C43" s="50"/>
      <c r="D43" s="57">
        <v>2024</v>
      </c>
      <c r="E43" s="52">
        <v>2707943251.5700002</v>
      </c>
      <c r="F43" s="52">
        <v>5327573565.7399998</v>
      </c>
      <c r="G43" s="52">
        <v>3528718683.9179001</v>
      </c>
      <c r="H43" s="52">
        <v>0</v>
      </c>
      <c r="I43" s="54">
        <f t="shared" si="0"/>
        <v>11564235501.2279</v>
      </c>
      <c r="J43" s="56">
        <v>0</v>
      </c>
      <c r="M43" s="38"/>
    </row>
    <row r="44" spans="1:13">
      <c r="A44" s="49"/>
      <c r="B44" s="50"/>
      <c r="C44" s="50"/>
      <c r="D44" s="47"/>
      <c r="E44" s="53"/>
      <c r="F44" s="53"/>
      <c r="G44" s="53"/>
      <c r="H44" s="53"/>
      <c r="I44" s="58"/>
      <c r="J44" s="52"/>
      <c r="M44" s="38" t="str">
        <f>IF([1]totrevprm!O44="","",[1]totrevprm!O44)</f>
        <v/>
      </c>
    </row>
    <row r="45" spans="1:13">
      <c r="A45" s="49" t="s">
        <v>12</v>
      </c>
      <c r="B45" s="46" t="s">
        <v>733</v>
      </c>
      <c r="C45" s="50" t="s">
        <v>734</v>
      </c>
      <c r="D45" s="51">
        <v>1988</v>
      </c>
      <c r="E45" s="53">
        <v>108194556</v>
      </c>
      <c r="F45" s="53">
        <v>146027211</v>
      </c>
      <c r="G45" s="53">
        <v>165500532</v>
      </c>
      <c r="H45" s="53">
        <v>70708094</v>
      </c>
      <c r="I45" s="54">
        <f>SUM(E45:H45)</f>
        <v>490430393</v>
      </c>
      <c r="J45" s="52">
        <v>0</v>
      </c>
      <c r="M45" s="38" t="str">
        <f>IF([1]totrevprm!O45="","",[1]totrevprm!O45)</f>
        <v/>
      </c>
    </row>
    <row r="46" spans="1:13">
      <c r="A46" s="49" t="s">
        <v>12</v>
      </c>
      <c r="B46" s="46" t="s">
        <v>733</v>
      </c>
      <c r="C46" s="50" t="s">
        <v>732</v>
      </c>
      <c r="D46" s="51">
        <v>1989</v>
      </c>
      <c r="E46" s="53">
        <v>98720606</v>
      </c>
      <c r="F46" s="53">
        <v>80620637</v>
      </c>
      <c r="G46" s="53">
        <v>199478149</v>
      </c>
      <c r="H46" s="53">
        <v>133807535</v>
      </c>
      <c r="I46" s="54">
        <f t="shared" ref="I46:I109" si="2">SUM(E46:H46)</f>
        <v>512626927</v>
      </c>
      <c r="J46" s="52">
        <v>0</v>
      </c>
      <c r="M46" s="38" t="str">
        <f>IF([1]totrevprm!O46="","",[1]totrevprm!O46)</f>
        <v/>
      </c>
    </row>
    <row r="47" spans="1:13">
      <c r="A47" s="49" t="s">
        <v>12</v>
      </c>
      <c r="B47" s="46" t="s">
        <v>733</v>
      </c>
      <c r="C47" s="50" t="s">
        <v>732</v>
      </c>
      <c r="D47" s="51">
        <v>1990</v>
      </c>
      <c r="E47" s="53">
        <v>105521489</v>
      </c>
      <c r="F47" s="53">
        <v>82639779.120000005</v>
      </c>
      <c r="G47" s="53">
        <v>211313179</v>
      </c>
      <c r="H47" s="53">
        <v>58817866</v>
      </c>
      <c r="I47" s="54">
        <f t="shared" si="2"/>
        <v>458292313.12</v>
      </c>
      <c r="J47" s="52">
        <v>0</v>
      </c>
      <c r="M47" s="38" t="str">
        <f>IF([1]totrevprm!O47="","",[1]totrevprm!O47)</f>
        <v/>
      </c>
    </row>
    <row r="48" spans="1:13">
      <c r="A48" s="49" t="s">
        <v>12</v>
      </c>
      <c r="B48" s="46" t="s">
        <v>733</v>
      </c>
      <c r="C48" s="50" t="s">
        <v>732</v>
      </c>
      <c r="D48" s="51">
        <v>1991</v>
      </c>
      <c r="E48" s="53">
        <v>117021644</v>
      </c>
      <c r="F48" s="53">
        <v>74559241</v>
      </c>
      <c r="G48" s="53">
        <v>242267271</v>
      </c>
      <c r="H48" s="53">
        <v>71511693</v>
      </c>
      <c r="I48" s="54">
        <f t="shared" si="2"/>
        <v>505359849</v>
      </c>
      <c r="J48" s="52">
        <v>0</v>
      </c>
      <c r="M48" s="38" t="str">
        <f>IF([1]totrevprm!O48="","",[1]totrevprm!O48)</f>
        <v/>
      </c>
    </row>
    <row r="49" spans="1:13">
      <c r="A49" s="49" t="s">
        <v>12</v>
      </c>
      <c r="B49" s="46" t="s">
        <v>733</v>
      </c>
      <c r="C49" s="50" t="s">
        <v>732</v>
      </c>
      <c r="D49" s="51">
        <v>1992</v>
      </c>
      <c r="E49" s="53">
        <v>118894951</v>
      </c>
      <c r="F49" s="53">
        <v>63469976.880000003</v>
      </c>
      <c r="G49" s="53">
        <v>195289258</v>
      </c>
      <c r="H49" s="53">
        <v>65045346</v>
      </c>
      <c r="I49" s="54">
        <f t="shared" si="2"/>
        <v>442699531.88</v>
      </c>
      <c r="J49" s="52">
        <v>0</v>
      </c>
      <c r="M49" s="38" t="str">
        <f>IF([1]totrevprm!O49="","",[1]totrevprm!O49)</f>
        <v/>
      </c>
    </row>
    <row r="50" spans="1:13">
      <c r="A50" s="49" t="s">
        <v>12</v>
      </c>
      <c r="B50" s="46" t="s">
        <v>733</v>
      </c>
      <c r="C50" s="50" t="s">
        <v>732</v>
      </c>
      <c r="D50" s="51">
        <v>1993</v>
      </c>
      <c r="E50" s="53">
        <v>124823759</v>
      </c>
      <c r="F50" s="53">
        <v>54607616</v>
      </c>
      <c r="G50" s="53">
        <v>242415660</v>
      </c>
      <c r="H50" s="53">
        <v>72723507</v>
      </c>
      <c r="I50" s="54">
        <f t="shared" si="2"/>
        <v>494570542</v>
      </c>
      <c r="J50" s="52">
        <v>0</v>
      </c>
      <c r="K50" s="59"/>
      <c r="L50" s="59"/>
      <c r="M50" s="38" t="str">
        <f>IF([1]totrevprm!O50="","",[1]totrevprm!O50)</f>
        <v/>
      </c>
    </row>
    <row r="51" spans="1:13">
      <c r="A51" s="49" t="s">
        <v>12</v>
      </c>
      <c r="B51" s="46" t="s">
        <v>733</v>
      </c>
      <c r="C51" s="50" t="s">
        <v>732</v>
      </c>
      <c r="D51" s="51">
        <v>1994</v>
      </c>
      <c r="E51" s="53">
        <v>132580495</v>
      </c>
      <c r="F51" s="53">
        <v>69155054</v>
      </c>
      <c r="G51" s="53">
        <v>259965547</v>
      </c>
      <c r="H51" s="53">
        <v>56724285</v>
      </c>
      <c r="I51" s="54">
        <f t="shared" si="2"/>
        <v>518425381</v>
      </c>
      <c r="J51" s="52">
        <v>0</v>
      </c>
      <c r="M51" s="38" t="str">
        <f>IF([1]totrevprm!O51="","",[1]totrevprm!O51)</f>
        <v/>
      </c>
    </row>
    <row r="52" spans="1:13">
      <c r="A52" s="49" t="s">
        <v>12</v>
      </c>
      <c r="B52" s="46" t="s">
        <v>733</v>
      </c>
      <c r="C52" s="50" t="s">
        <v>732</v>
      </c>
      <c r="D52" s="51">
        <v>1995</v>
      </c>
      <c r="E52" s="53">
        <v>136692524</v>
      </c>
      <c r="F52" s="53">
        <v>71601082</v>
      </c>
      <c r="G52" s="53">
        <v>265469085</v>
      </c>
      <c r="H52" s="53">
        <v>49273564</v>
      </c>
      <c r="I52" s="54">
        <f t="shared" si="2"/>
        <v>523036255</v>
      </c>
      <c r="J52" s="52">
        <v>0</v>
      </c>
      <c r="M52" s="38" t="str">
        <f>IF([1]totrevprm!O52="","",[1]totrevprm!O52)</f>
        <v/>
      </c>
    </row>
    <row r="53" spans="1:13">
      <c r="A53" s="49" t="s">
        <v>12</v>
      </c>
      <c r="B53" s="46" t="s">
        <v>733</v>
      </c>
      <c r="C53" s="50" t="s">
        <v>732</v>
      </c>
      <c r="D53" s="51">
        <v>1996</v>
      </c>
      <c r="E53" s="53">
        <v>124780376</v>
      </c>
      <c r="F53" s="53">
        <v>45704264</v>
      </c>
      <c r="G53" s="53">
        <v>270885227</v>
      </c>
      <c r="H53" s="53">
        <v>40384762</v>
      </c>
      <c r="I53" s="54">
        <f t="shared" si="2"/>
        <v>481754629</v>
      </c>
      <c r="J53" s="52">
        <v>0</v>
      </c>
      <c r="M53" s="38" t="str">
        <f>IF([1]totrevprm!O53="","",[1]totrevprm!O53)</f>
        <v/>
      </c>
    </row>
    <row r="54" spans="1:13">
      <c r="A54" s="49" t="s">
        <v>12</v>
      </c>
      <c r="B54" s="46" t="s">
        <v>733</v>
      </c>
      <c r="C54" s="50" t="s">
        <v>732</v>
      </c>
      <c r="D54" s="51">
        <v>1997</v>
      </c>
      <c r="E54" s="53">
        <v>125738063</v>
      </c>
      <c r="F54" s="53">
        <v>66860564</v>
      </c>
      <c r="G54" s="53">
        <v>191985698</v>
      </c>
      <c r="H54" s="53">
        <v>61100032</v>
      </c>
      <c r="I54" s="54">
        <f t="shared" si="2"/>
        <v>445684357</v>
      </c>
      <c r="J54" s="52">
        <v>0</v>
      </c>
      <c r="M54" s="38" t="str">
        <f>IF([1]totrevprm!O54="","",[1]totrevprm!O54)</f>
        <v/>
      </c>
    </row>
    <row r="55" spans="1:13">
      <c r="A55" s="49" t="s">
        <v>12</v>
      </c>
      <c r="B55" s="46" t="s">
        <v>733</v>
      </c>
      <c r="C55" s="50" t="s">
        <v>732</v>
      </c>
      <c r="D55" s="51">
        <v>1998</v>
      </c>
      <c r="E55" s="53">
        <v>123945958</v>
      </c>
      <c r="F55" s="53">
        <v>59588328</v>
      </c>
      <c r="G55" s="53">
        <v>132772524</v>
      </c>
      <c r="H55" s="53">
        <v>42355593</v>
      </c>
      <c r="I55" s="54">
        <f t="shared" si="2"/>
        <v>358662403</v>
      </c>
      <c r="J55" s="52">
        <v>0</v>
      </c>
      <c r="M55" s="38" t="str">
        <f>IF([1]totrevprm!O55="","",[1]totrevprm!O55)</f>
        <v/>
      </c>
    </row>
    <row r="56" spans="1:13">
      <c r="A56" s="49" t="s">
        <v>12</v>
      </c>
      <c r="B56" s="46" t="s">
        <v>733</v>
      </c>
      <c r="C56" s="50" t="s">
        <v>732</v>
      </c>
      <c r="D56" s="51">
        <v>1999</v>
      </c>
      <c r="E56" s="53">
        <v>131820177</v>
      </c>
      <c r="F56" s="53">
        <v>83350395</v>
      </c>
      <c r="G56" s="53">
        <v>140227309</v>
      </c>
      <c r="H56" s="53">
        <v>42102959</v>
      </c>
      <c r="I56" s="54">
        <f t="shared" si="2"/>
        <v>397500840</v>
      </c>
      <c r="J56" s="52">
        <v>0</v>
      </c>
      <c r="M56" s="38" t="str">
        <f>IF([1]totrevprm!O56="","",[1]totrevprm!O56)</f>
        <v/>
      </c>
    </row>
    <row r="57" spans="1:13">
      <c r="A57" s="49" t="s">
        <v>12</v>
      </c>
      <c r="B57" s="46" t="s">
        <v>733</v>
      </c>
      <c r="C57" s="50" t="s">
        <v>735</v>
      </c>
      <c r="D57" s="51">
        <v>2000</v>
      </c>
      <c r="E57" s="53">
        <v>141314368</v>
      </c>
      <c r="F57" s="53">
        <v>122751017</v>
      </c>
      <c r="G57" s="53">
        <v>158093390</v>
      </c>
      <c r="H57" s="53">
        <v>7989596</v>
      </c>
      <c r="I57" s="54">
        <f t="shared" si="2"/>
        <v>430148371</v>
      </c>
      <c r="J57" s="52">
        <v>14908166</v>
      </c>
      <c r="K57" s="60" t="s">
        <v>736</v>
      </c>
      <c r="L57" t="s">
        <v>720</v>
      </c>
      <c r="M57" s="38" t="str">
        <f>IF([1]totrevprm!O57="","",[1]totrevprm!O57)</f>
        <v/>
      </c>
    </row>
    <row r="58" spans="1:13">
      <c r="A58" s="49" t="s">
        <v>12</v>
      </c>
      <c r="B58" s="46" t="s">
        <v>733</v>
      </c>
      <c r="C58" s="50" t="s">
        <v>732</v>
      </c>
      <c r="D58" s="51">
        <v>2001</v>
      </c>
      <c r="E58" s="53">
        <v>173597642</v>
      </c>
      <c r="F58" s="53">
        <v>116820390</v>
      </c>
      <c r="G58" s="53">
        <v>150122514</v>
      </c>
      <c r="H58" s="53">
        <v>41824400</v>
      </c>
      <c r="I58" s="54">
        <f t="shared" si="2"/>
        <v>482364946</v>
      </c>
      <c r="J58" s="37">
        <v>5569661</v>
      </c>
      <c r="K58" s="60" t="s">
        <v>736</v>
      </c>
      <c r="M58" s="38" t="str">
        <f>IF([1]totrevprm!O58="","",[1]totrevprm!O58)</f>
        <v/>
      </c>
    </row>
    <row r="59" spans="1:13">
      <c r="A59" s="49" t="s">
        <v>12</v>
      </c>
      <c r="B59" s="46" t="s">
        <v>733</v>
      </c>
      <c r="C59" s="50" t="s">
        <v>732</v>
      </c>
      <c r="D59" s="51">
        <v>2002</v>
      </c>
      <c r="E59" s="53">
        <v>193663196</v>
      </c>
      <c r="F59" s="53">
        <v>171296638</v>
      </c>
      <c r="G59" s="53">
        <v>168182313</v>
      </c>
      <c r="H59" s="53">
        <v>15547458</v>
      </c>
      <c r="I59" s="54">
        <f t="shared" si="2"/>
        <v>548689605</v>
      </c>
      <c r="J59" s="37">
        <v>4906199</v>
      </c>
      <c r="K59" s="60" t="s">
        <v>736</v>
      </c>
      <c r="M59" s="38" t="str">
        <f>IF([1]totrevprm!O59="","",[1]totrevprm!O59)</f>
        <v/>
      </c>
    </row>
    <row r="60" spans="1:13">
      <c r="A60" s="49" t="s">
        <v>12</v>
      </c>
      <c r="B60" s="46" t="s">
        <v>733</v>
      </c>
      <c r="C60" s="50" t="s">
        <v>732</v>
      </c>
      <c r="D60" s="51">
        <v>2003</v>
      </c>
      <c r="E60" s="55">
        <v>139954280</v>
      </c>
      <c r="F60" s="55">
        <v>153221020</v>
      </c>
      <c r="G60" s="55">
        <v>170635372</v>
      </c>
      <c r="H60" s="55">
        <v>16610763</v>
      </c>
      <c r="I60" s="54">
        <f t="shared" si="2"/>
        <v>480421435</v>
      </c>
      <c r="J60" s="52">
        <v>3996650</v>
      </c>
      <c r="K60" s="60" t="s">
        <v>736</v>
      </c>
      <c r="M60" s="38" t="str">
        <f>IF([1]totrevprm!O60="","",[1]totrevprm!O60)</f>
        <v/>
      </c>
    </row>
    <row r="61" spans="1:13">
      <c r="A61" s="49" t="s">
        <v>12</v>
      </c>
      <c r="B61" s="46" t="s">
        <v>733</v>
      </c>
      <c r="C61" s="50" t="s">
        <v>732</v>
      </c>
      <c r="D61" s="51">
        <v>2004</v>
      </c>
      <c r="E61" s="55">
        <v>147386672</v>
      </c>
      <c r="F61" s="55">
        <v>144998873</v>
      </c>
      <c r="G61" s="55">
        <v>177280241</v>
      </c>
      <c r="H61" s="55">
        <v>4960972</v>
      </c>
      <c r="I61" s="54">
        <f t="shared" si="2"/>
        <v>474626758</v>
      </c>
      <c r="J61" s="52">
        <v>3566905</v>
      </c>
      <c r="K61" s="60" t="s">
        <v>736</v>
      </c>
      <c r="M61" s="38" t="str">
        <f>IF([1]totrevprm!O61="","",[1]totrevprm!O61)</f>
        <v/>
      </c>
    </row>
    <row r="62" spans="1:13">
      <c r="A62" s="49" t="s">
        <v>12</v>
      </c>
      <c r="B62" s="46" t="s">
        <v>733</v>
      </c>
      <c r="C62" s="50"/>
      <c r="D62" s="51">
        <v>2005</v>
      </c>
      <c r="E62" s="55">
        <v>145601854</v>
      </c>
      <c r="F62" s="55">
        <v>159009772</v>
      </c>
      <c r="G62" s="55">
        <v>190560149.28</v>
      </c>
      <c r="H62" s="55">
        <v>8843589</v>
      </c>
      <c r="I62" s="54">
        <f t="shared" si="2"/>
        <v>504015364.27999997</v>
      </c>
      <c r="J62" s="52">
        <v>1852360</v>
      </c>
      <c r="K62" s="60" t="s">
        <v>736</v>
      </c>
      <c r="M62" s="38" t="str">
        <f>IF([1]totrevprm!O62="","",[1]totrevprm!O62)</f>
        <v/>
      </c>
    </row>
    <row r="63" spans="1:13">
      <c r="A63" s="49" t="s">
        <v>12</v>
      </c>
      <c r="B63" s="46" t="s">
        <v>733</v>
      </c>
      <c r="C63" s="50"/>
      <c r="D63" s="51">
        <v>2006</v>
      </c>
      <c r="E63" s="56">
        <v>174475329</v>
      </c>
      <c r="F63" s="56">
        <v>184705486</v>
      </c>
      <c r="G63" s="56">
        <v>221790985</v>
      </c>
      <c r="H63" s="56">
        <v>9483144</v>
      </c>
      <c r="I63" s="54">
        <f t="shared" si="2"/>
        <v>590454944</v>
      </c>
      <c r="J63" s="52">
        <v>1821829</v>
      </c>
      <c r="K63" s="60" t="s">
        <v>736</v>
      </c>
      <c r="M63" s="38" t="str">
        <f>IF([1]totrevprm!O63="","",[1]totrevprm!O63)</f>
        <v/>
      </c>
    </row>
    <row r="64" spans="1:13">
      <c r="A64" s="49" t="s">
        <v>12</v>
      </c>
      <c r="B64" s="46" t="s">
        <v>733</v>
      </c>
      <c r="C64" s="50"/>
      <c r="D64" s="51">
        <v>2007</v>
      </c>
      <c r="E64" s="56">
        <v>180292423</v>
      </c>
      <c r="F64" s="56">
        <v>231031591</v>
      </c>
      <c r="G64" s="56">
        <v>233570214</v>
      </c>
      <c r="H64" s="56">
        <v>15048615</v>
      </c>
      <c r="I64" s="54">
        <f t="shared" si="2"/>
        <v>659942843</v>
      </c>
      <c r="J64" s="52">
        <v>1147809</v>
      </c>
      <c r="K64" s="60" t="s">
        <v>736</v>
      </c>
      <c r="M64" s="38" t="str">
        <f>IF([1]totrevprm!O64="","",[1]totrevprm!O64)</f>
        <v/>
      </c>
    </row>
    <row r="65" spans="1:13">
      <c r="A65" s="49" t="s">
        <v>12</v>
      </c>
      <c r="B65" s="46" t="s">
        <v>733</v>
      </c>
      <c r="C65" s="50"/>
      <c r="D65" s="51">
        <v>2008</v>
      </c>
      <c r="E65" s="56">
        <v>212486382</v>
      </c>
      <c r="F65" s="56">
        <v>213904174</v>
      </c>
      <c r="G65" s="56">
        <v>252373069</v>
      </c>
      <c r="H65" s="56">
        <v>5099315</v>
      </c>
      <c r="I65" s="54">
        <f t="shared" si="2"/>
        <v>683862940</v>
      </c>
      <c r="J65" s="52">
        <v>371582</v>
      </c>
      <c r="K65" s="60" t="s">
        <v>736</v>
      </c>
      <c r="M65" s="38" t="str">
        <f>IF([1]totrevprm!O65="","",[1]totrevprm!O65)</f>
        <v/>
      </c>
    </row>
    <row r="66" spans="1:13">
      <c r="A66" s="49" t="s">
        <v>12</v>
      </c>
      <c r="B66" s="46" t="s">
        <v>733</v>
      </c>
      <c r="C66" s="50"/>
      <c r="D66" s="51">
        <v>2009</v>
      </c>
      <c r="E66" s="56">
        <v>266442943</v>
      </c>
      <c r="F66" s="56">
        <v>228527036</v>
      </c>
      <c r="G66" s="56">
        <v>281548760</v>
      </c>
      <c r="H66" s="56">
        <v>12409371</v>
      </c>
      <c r="I66" s="54">
        <f t="shared" si="2"/>
        <v>788928110</v>
      </c>
      <c r="J66" s="52">
        <v>748877</v>
      </c>
      <c r="K66" s="60" t="s">
        <v>736</v>
      </c>
      <c r="M66" s="38" t="str">
        <f>IF([1]totrevprm!O66="","",[1]totrevprm!O66)</f>
        <v/>
      </c>
    </row>
    <row r="67" spans="1:13">
      <c r="A67" s="49" t="s">
        <v>12</v>
      </c>
      <c r="B67" s="46" t="s">
        <v>733</v>
      </c>
      <c r="C67" s="50"/>
      <c r="D67" s="51">
        <v>2010</v>
      </c>
      <c r="E67" s="56">
        <v>281673668</v>
      </c>
      <c r="F67" s="52">
        <v>220667006</v>
      </c>
      <c r="G67" s="56">
        <v>308685000</v>
      </c>
      <c r="H67" s="56">
        <v>4839573</v>
      </c>
      <c r="I67" s="54">
        <f t="shared" si="2"/>
        <v>815865247</v>
      </c>
      <c r="J67" s="52">
        <v>1079945</v>
      </c>
      <c r="K67" s="60" t="s">
        <v>736</v>
      </c>
      <c r="M67" s="38" t="str">
        <f>IF([1]totrevprm!O67="","",[1]totrevprm!O67)</f>
        <v/>
      </c>
    </row>
    <row r="68" spans="1:13">
      <c r="A68" s="49" t="s">
        <v>12</v>
      </c>
      <c r="B68" s="46" t="s">
        <v>733</v>
      </c>
      <c r="C68" s="50"/>
      <c r="D68" s="51">
        <v>2011</v>
      </c>
      <c r="E68" s="56">
        <v>276572479</v>
      </c>
      <c r="F68" s="52">
        <v>197547077</v>
      </c>
      <c r="G68" s="56">
        <v>317137286.25</v>
      </c>
      <c r="H68" s="56">
        <v>5858989</v>
      </c>
      <c r="I68" s="54">
        <f t="shared" si="2"/>
        <v>797115831.25</v>
      </c>
      <c r="J68" s="52">
        <v>597037</v>
      </c>
      <c r="K68" s="60" t="s">
        <v>736</v>
      </c>
      <c r="M68" s="38" t="str">
        <f>IF([1]totrevprm!O68="","",[1]totrevprm!O68)</f>
        <v/>
      </c>
    </row>
    <row r="69" spans="1:13">
      <c r="A69" s="49" t="s">
        <v>12</v>
      </c>
      <c r="B69" s="46" t="s">
        <v>733</v>
      </c>
      <c r="C69" s="50"/>
      <c r="D69" s="51">
        <v>2012</v>
      </c>
      <c r="E69" s="56">
        <v>321895443</v>
      </c>
      <c r="F69" s="52">
        <v>221068561</v>
      </c>
      <c r="G69" s="56">
        <v>319589038</v>
      </c>
      <c r="H69" s="56">
        <v>10197104</v>
      </c>
      <c r="I69" s="54">
        <f t="shared" si="2"/>
        <v>872750146</v>
      </c>
      <c r="J69" s="52">
        <v>554767</v>
      </c>
      <c r="K69" s="60" t="s">
        <v>736</v>
      </c>
      <c r="M69" s="38" t="str">
        <f>IF([1]totrevprm!O69="","",[1]totrevprm!O69)</f>
        <v/>
      </c>
    </row>
    <row r="70" spans="1:13">
      <c r="A70" s="49" t="s">
        <v>12</v>
      </c>
      <c r="B70" s="46" t="s">
        <v>733</v>
      </c>
      <c r="C70" s="50"/>
      <c r="D70" s="51">
        <v>2013</v>
      </c>
      <c r="E70" s="56">
        <v>311938125</v>
      </c>
      <c r="F70" s="52">
        <v>199744646</v>
      </c>
      <c r="G70" s="56">
        <v>341407395</v>
      </c>
      <c r="H70" s="56">
        <v>6001195</v>
      </c>
      <c r="I70" s="54">
        <f t="shared" si="2"/>
        <v>859091361</v>
      </c>
      <c r="J70" s="52">
        <v>465874</v>
      </c>
      <c r="K70" s="60" t="s">
        <v>736</v>
      </c>
      <c r="M70" s="38" t="str">
        <f>IF([1]totrevprm!O70="","",[1]totrevprm!O70)</f>
        <v/>
      </c>
    </row>
    <row r="71" spans="1:13">
      <c r="A71" s="49" t="s">
        <v>12</v>
      </c>
      <c r="B71" s="46" t="s">
        <v>733</v>
      </c>
      <c r="C71" s="50"/>
      <c r="D71" s="47">
        <v>2014</v>
      </c>
      <c r="E71" s="56">
        <v>265256702</v>
      </c>
      <c r="F71" s="56">
        <v>359672160</v>
      </c>
      <c r="G71" s="56">
        <v>351237705.40999997</v>
      </c>
      <c r="H71" s="56">
        <v>11868677</v>
      </c>
      <c r="I71" s="54">
        <f t="shared" si="2"/>
        <v>988035244.40999997</v>
      </c>
      <c r="J71" s="52">
        <v>1313592</v>
      </c>
      <c r="K71" s="60" t="s">
        <v>736</v>
      </c>
      <c r="M71" s="38" t="str">
        <f>IF([1]totrevprm!O71="","",[1]totrevprm!O71)</f>
        <v/>
      </c>
    </row>
    <row r="72" spans="1:13">
      <c r="A72" s="49" t="s">
        <v>12</v>
      </c>
      <c r="B72" s="46" t="s">
        <v>733</v>
      </c>
      <c r="C72" s="50"/>
      <c r="D72" s="47">
        <v>2015</v>
      </c>
      <c r="E72" s="56">
        <v>300021226</v>
      </c>
      <c r="F72" s="56">
        <v>251816717</v>
      </c>
      <c r="G72" s="56">
        <v>415069518</v>
      </c>
      <c r="H72" s="56">
        <v>8611397</v>
      </c>
      <c r="I72" s="54">
        <f t="shared" si="2"/>
        <v>975518858</v>
      </c>
      <c r="J72" s="52">
        <v>665070</v>
      </c>
      <c r="K72" s="60" t="s">
        <v>736</v>
      </c>
      <c r="M72" s="38" t="str">
        <f>IF([1]totrevprm!O72="","",[1]totrevprm!O72)</f>
        <v/>
      </c>
    </row>
    <row r="73" spans="1:13">
      <c r="A73" s="49" t="s">
        <v>12</v>
      </c>
      <c r="B73" s="46" t="s">
        <v>733</v>
      </c>
      <c r="C73" s="50"/>
      <c r="D73" s="47">
        <v>2016</v>
      </c>
      <c r="E73" s="56">
        <v>320692929</v>
      </c>
      <c r="F73" s="56">
        <v>270147991</v>
      </c>
      <c r="G73" s="56">
        <v>419675904</v>
      </c>
      <c r="H73" s="56">
        <v>21228975</v>
      </c>
      <c r="I73" s="54">
        <f t="shared" si="2"/>
        <v>1031745799</v>
      </c>
      <c r="J73" s="52">
        <v>4712329</v>
      </c>
      <c r="K73" s="60" t="s">
        <v>736</v>
      </c>
      <c r="M73" s="38" t="str">
        <f>IF([1]totrevprm!O73="","",[1]totrevprm!O73)</f>
        <v/>
      </c>
    </row>
    <row r="74" spans="1:13">
      <c r="A74" s="49" t="s">
        <v>12</v>
      </c>
      <c r="B74" s="46" t="s">
        <v>733</v>
      </c>
      <c r="C74" s="50"/>
      <c r="D74" s="51">
        <f>D73+1</f>
        <v>2017</v>
      </c>
      <c r="E74" s="56">
        <v>332884468</v>
      </c>
      <c r="F74" s="56">
        <v>252055861</v>
      </c>
      <c r="G74" s="56">
        <v>288950143.43000001</v>
      </c>
      <c r="H74" s="56">
        <v>9567865</v>
      </c>
      <c r="I74" s="54">
        <f t="shared" si="2"/>
        <v>883458337.43000007</v>
      </c>
      <c r="J74" s="56">
        <v>3969223</v>
      </c>
      <c r="K74" s="60" t="s">
        <v>736</v>
      </c>
      <c r="M74" s="38" t="str">
        <f>IF([1]totrevprm!O74="","",[1]totrevprm!O74)</f>
        <v/>
      </c>
    </row>
    <row r="75" spans="1:13">
      <c r="A75" s="49" t="s">
        <v>12</v>
      </c>
      <c r="B75" s="46" t="s">
        <v>733</v>
      </c>
      <c r="C75" s="50"/>
      <c r="D75" s="51">
        <v>2018</v>
      </c>
      <c r="E75" s="56">
        <v>343805804</v>
      </c>
      <c r="F75" s="56">
        <v>331555935</v>
      </c>
      <c r="G75" s="56">
        <v>696340903.25999999</v>
      </c>
      <c r="H75" s="56">
        <v>9910816</v>
      </c>
      <c r="I75" s="54">
        <f t="shared" si="2"/>
        <v>1381613458.26</v>
      </c>
      <c r="J75" s="56">
        <v>6841126</v>
      </c>
      <c r="K75" s="61" t="s">
        <v>737</v>
      </c>
      <c r="L75" s="62"/>
      <c r="M75" s="38" t="str">
        <f>IF([1]totrevprm!O75="","",[1]totrevprm!O75)</f>
        <v>Yes</v>
      </c>
    </row>
    <row r="76" spans="1:13">
      <c r="A76" s="49" t="s">
        <v>12</v>
      </c>
      <c r="B76" s="46" t="s">
        <v>733</v>
      </c>
      <c r="C76" s="50"/>
      <c r="D76" s="51">
        <v>2019</v>
      </c>
      <c r="E76" s="56">
        <v>379690964</v>
      </c>
      <c r="F76" s="56">
        <v>316101421</v>
      </c>
      <c r="G76" s="56">
        <v>669962698.88999999</v>
      </c>
      <c r="H76" s="56">
        <v>9907851</v>
      </c>
      <c r="I76" s="54">
        <f t="shared" si="2"/>
        <v>1375662934.8899999</v>
      </c>
      <c r="J76" s="56">
        <v>6484750</v>
      </c>
      <c r="K76" s="61" t="s">
        <v>738</v>
      </c>
      <c r="L76" s="62"/>
      <c r="M76" s="38" t="str">
        <f>IF([1]totrevprm!O76="","",[1]totrevprm!O76)</f>
        <v/>
      </c>
    </row>
    <row r="77" spans="1:13">
      <c r="A77" s="49" t="s">
        <v>12</v>
      </c>
      <c r="B77" s="46" t="s">
        <v>733</v>
      </c>
      <c r="C77" s="50"/>
      <c r="D77" s="51">
        <v>2020</v>
      </c>
      <c r="E77" s="52">
        <v>316137740</v>
      </c>
      <c r="F77" s="52">
        <v>287475413</v>
      </c>
      <c r="G77" s="52">
        <v>675355551</v>
      </c>
      <c r="H77" s="52">
        <v>26680366</v>
      </c>
      <c r="I77" s="54">
        <f t="shared" si="2"/>
        <v>1305649070</v>
      </c>
      <c r="J77" s="52">
        <v>14535187</v>
      </c>
      <c r="K77" s="61" t="s">
        <v>738</v>
      </c>
      <c r="L77" s="62"/>
      <c r="M77" s="38" t="str">
        <f>IF([1]totrevprm!O77="","",[1]totrevprm!O77)</f>
        <v/>
      </c>
    </row>
    <row r="78" spans="1:13">
      <c r="A78" s="49" t="s">
        <v>12</v>
      </c>
      <c r="B78" s="46" t="s">
        <v>733</v>
      </c>
      <c r="C78" s="50"/>
      <c r="D78" s="51">
        <v>2021</v>
      </c>
      <c r="E78" s="52">
        <v>321111400</v>
      </c>
      <c r="F78" s="52">
        <v>262053834</v>
      </c>
      <c r="G78" s="52">
        <v>718186385</v>
      </c>
      <c r="H78" s="52">
        <v>6070789</v>
      </c>
      <c r="I78" s="54">
        <f t="shared" si="2"/>
        <v>1307422408</v>
      </c>
      <c r="J78" s="52">
        <v>0</v>
      </c>
      <c r="K78" s="61" t="s">
        <v>739</v>
      </c>
      <c r="L78" s="62"/>
      <c r="M78" s="38"/>
    </row>
    <row r="79" spans="1:13">
      <c r="A79" s="49" t="s">
        <v>12</v>
      </c>
      <c r="B79" s="46" t="s">
        <v>733</v>
      </c>
      <c r="C79" s="50"/>
      <c r="D79" s="51">
        <v>2022</v>
      </c>
      <c r="E79" s="52">
        <v>338235297</v>
      </c>
      <c r="F79" s="52">
        <v>368748021</v>
      </c>
      <c r="G79" s="52">
        <v>792308035</v>
      </c>
      <c r="H79" s="52">
        <v>9466630</v>
      </c>
      <c r="I79" s="54">
        <f t="shared" si="2"/>
        <v>1508757983</v>
      </c>
      <c r="J79" s="52">
        <v>0</v>
      </c>
      <c r="K79" s="61" t="s">
        <v>739</v>
      </c>
      <c r="L79" s="62"/>
      <c r="M79" s="38"/>
    </row>
    <row r="80" spans="1:13">
      <c r="A80" s="49" t="s">
        <v>12</v>
      </c>
      <c r="B80" s="46" t="s">
        <v>733</v>
      </c>
      <c r="C80" s="50"/>
      <c r="D80" s="51">
        <v>2023</v>
      </c>
      <c r="E80" s="56">
        <v>359020849</v>
      </c>
      <c r="F80" s="56">
        <v>453209391.37760001</v>
      </c>
      <c r="G80" s="56">
        <v>825073272.90999997</v>
      </c>
      <c r="H80" s="56">
        <v>15446512</v>
      </c>
      <c r="I80" s="54">
        <f t="shared" si="2"/>
        <v>1652750025.2876</v>
      </c>
      <c r="J80" s="52">
        <v>0</v>
      </c>
      <c r="K80" s="61" t="s">
        <v>739</v>
      </c>
      <c r="L80" s="62"/>
      <c r="M80" s="38"/>
    </row>
    <row r="81" spans="1:13">
      <c r="A81" s="49" t="s">
        <v>12</v>
      </c>
      <c r="B81" s="46" t="s">
        <v>733</v>
      </c>
      <c r="C81" s="50"/>
      <c r="D81" s="57">
        <v>2024</v>
      </c>
      <c r="E81" s="52">
        <v>411009890.98000002</v>
      </c>
      <c r="F81" s="52">
        <v>577792729.91000009</v>
      </c>
      <c r="G81" s="52">
        <v>983898625.48000002</v>
      </c>
      <c r="H81" s="52">
        <v>12347346.879999999</v>
      </c>
      <c r="I81" s="54">
        <f t="shared" si="2"/>
        <v>1985048593.2500002</v>
      </c>
      <c r="J81" s="56">
        <v>0</v>
      </c>
      <c r="K81" s="61" t="s">
        <v>739</v>
      </c>
      <c r="M81" s="38"/>
    </row>
    <row r="82" spans="1:13">
      <c r="A82" s="49"/>
      <c r="B82" s="50"/>
      <c r="C82" s="50"/>
      <c r="E82" s="53"/>
      <c r="F82" s="53"/>
      <c r="G82" s="53"/>
      <c r="H82" s="53"/>
      <c r="I82" s="54"/>
      <c r="J82" s="52"/>
      <c r="M82" s="38" t="str">
        <f>IF([1]totrevprm!O82="","",[1]totrevprm!O82)</f>
        <v/>
      </c>
    </row>
    <row r="83" spans="1:13">
      <c r="A83" s="49" t="s">
        <v>13</v>
      </c>
      <c r="B83" s="46" t="s">
        <v>257</v>
      </c>
      <c r="C83" s="50" t="s">
        <v>731</v>
      </c>
      <c r="D83" s="51">
        <v>1988</v>
      </c>
      <c r="E83" s="53">
        <v>688326688</v>
      </c>
      <c r="F83" s="53">
        <v>807437615</v>
      </c>
      <c r="G83" s="53">
        <v>738008373</v>
      </c>
      <c r="H83" s="53">
        <v>0</v>
      </c>
      <c r="I83" s="54">
        <f t="shared" si="2"/>
        <v>2233772676</v>
      </c>
      <c r="J83" s="52">
        <v>0</v>
      </c>
      <c r="M83" s="38" t="str">
        <f>IF([1]totrevprm!O83="","",[1]totrevprm!O83)</f>
        <v/>
      </c>
    </row>
    <row r="84" spans="1:13">
      <c r="A84" s="49" t="s">
        <v>13</v>
      </c>
      <c r="B84" s="46" t="s">
        <v>257</v>
      </c>
      <c r="C84" s="50" t="s">
        <v>732</v>
      </c>
      <c r="D84" s="51">
        <v>1989</v>
      </c>
      <c r="E84" s="53">
        <v>618828696</v>
      </c>
      <c r="F84" s="53">
        <v>902016256</v>
      </c>
      <c r="G84" s="53">
        <v>741844889</v>
      </c>
      <c r="H84" s="53">
        <v>0</v>
      </c>
      <c r="I84" s="54">
        <f t="shared" si="2"/>
        <v>2262689841</v>
      </c>
      <c r="J84" s="52">
        <v>0</v>
      </c>
      <c r="M84" s="38" t="str">
        <f>IF([1]totrevprm!O84="","",[1]totrevprm!O84)</f>
        <v/>
      </c>
    </row>
    <row r="85" spans="1:13">
      <c r="A85" s="49" t="s">
        <v>13</v>
      </c>
      <c r="B85" s="46" t="s">
        <v>257</v>
      </c>
      <c r="C85" s="50" t="s">
        <v>732</v>
      </c>
      <c r="D85" s="51">
        <v>1990</v>
      </c>
      <c r="E85" s="53">
        <v>668078492</v>
      </c>
      <c r="F85" s="53">
        <v>1036854061.5599999</v>
      </c>
      <c r="G85" s="53">
        <v>759453231</v>
      </c>
      <c r="H85" s="53">
        <v>0</v>
      </c>
      <c r="I85" s="54">
        <f t="shared" si="2"/>
        <v>2464385784.5599999</v>
      </c>
      <c r="J85" s="52">
        <v>0</v>
      </c>
      <c r="M85" s="38" t="str">
        <f>IF([1]totrevprm!O85="","",[1]totrevprm!O85)</f>
        <v/>
      </c>
    </row>
    <row r="86" spans="1:13">
      <c r="A86" s="49" t="s">
        <v>13</v>
      </c>
      <c r="B86" s="46" t="s">
        <v>257</v>
      </c>
      <c r="C86" s="50" t="s">
        <v>732</v>
      </c>
      <c r="D86" s="51">
        <v>1991</v>
      </c>
      <c r="E86" s="53">
        <v>680516072</v>
      </c>
      <c r="F86" s="53">
        <v>1033819972</v>
      </c>
      <c r="G86" s="53">
        <v>818143873</v>
      </c>
      <c r="H86" s="53">
        <v>0</v>
      </c>
      <c r="I86" s="54">
        <f t="shared" si="2"/>
        <v>2532479917</v>
      </c>
      <c r="J86" s="52">
        <v>0</v>
      </c>
      <c r="M86" s="38" t="str">
        <f>IF([1]totrevprm!O86="","",[1]totrevprm!O86)</f>
        <v/>
      </c>
    </row>
    <row r="87" spans="1:13">
      <c r="A87" s="49" t="s">
        <v>13</v>
      </c>
      <c r="B87" s="46" t="s">
        <v>257</v>
      </c>
      <c r="C87" s="50" t="s">
        <v>732</v>
      </c>
      <c r="D87" s="51">
        <v>1992</v>
      </c>
      <c r="E87" s="53">
        <v>699190174</v>
      </c>
      <c r="F87" s="53">
        <v>962225506</v>
      </c>
      <c r="G87" s="53">
        <v>888167789</v>
      </c>
      <c r="H87" s="53">
        <v>0</v>
      </c>
      <c r="I87" s="54">
        <f t="shared" si="2"/>
        <v>2549583469</v>
      </c>
      <c r="J87" s="52">
        <v>0</v>
      </c>
      <c r="M87" s="38" t="str">
        <f>IF([1]totrevprm!O87="","",[1]totrevprm!O87)</f>
        <v/>
      </c>
    </row>
    <row r="88" spans="1:13">
      <c r="A88" s="49" t="s">
        <v>13</v>
      </c>
      <c r="B88" s="46" t="s">
        <v>257</v>
      </c>
      <c r="C88" s="50" t="s">
        <v>732</v>
      </c>
      <c r="D88" s="51">
        <v>1993</v>
      </c>
      <c r="E88" s="53">
        <v>769661289</v>
      </c>
      <c r="F88" s="53">
        <v>745520009</v>
      </c>
      <c r="G88" s="53">
        <v>899185814</v>
      </c>
      <c r="H88" s="53">
        <v>0</v>
      </c>
      <c r="I88" s="54">
        <f t="shared" si="2"/>
        <v>2414367112</v>
      </c>
      <c r="J88" s="52">
        <v>0</v>
      </c>
      <c r="M88" s="38" t="str">
        <f>IF([1]totrevprm!O88="","",[1]totrevprm!O88)</f>
        <v/>
      </c>
    </row>
    <row r="89" spans="1:13">
      <c r="A89" s="49" t="s">
        <v>13</v>
      </c>
      <c r="B89" s="46" t="s">
        <v>257</v>
      </c>
      <c r="C89" s="50" t="s">
        <v>732</v>
      </c>
      <c r="D89" s="51">
        <v>1994</v>
      </c>
      <c r="E89" s="53">
        <v>835246733</v>
      </c>
      <c r="F89" s="53">
        <v>1057454156</v>
      </c>
      <c r="G89" s="53">
        <v>947657514</v>
      </c>
      <c r="H89" s="53">
        <v>0</v>
      </c>
      <c r="I89" s="54">
        <f t="shared" si="2"/>
        <v>2840358403</v>
      </c>
      <c r="J89" s="52">
        <v>0</v>
      </c>
      <c r="M89" s="38" t="str">
        <f>IF([1]totrevprm!O89="","",[1]totrevprm!O89)</f>
        <v/>
      </c>
    </row>
    <row r="90" spans="1:13">
      <c r="A90" s="49" t="s">
        <v>13</v>
      </c>
      <c r="B90" s="46" t="s">
        <v>257</v>
      </c>
      <c r="C90" s="50" t="s">
        <v>732</v>
      </c>
      <c r="D90" s="51">
        <v>1995</v>
      </c>
      <c r="E90" s="53">
        <v>904819131</v>
      </c>
      <c r="F90" s="53">
        <v>1101342449</v>
      </c>
      <c r="G90" s="53">
        <v>991282948</v>
      </c>
      <c r="H90" s="53">
        <v>0</v>
      </c>
      <c r="I90" s="54">
        <f t="shared" si="2"/>
        <v>2997444528</v>
      </c>
      <c r="J90" s="52">
        <v>0</v>
      </c>
      <c r="M90" s="38" t="str">
        <f>IF([1]totrevprm!O90="","",[1]totrevprm!O90)</f>
        <v/>
      </c>
    </row>
    <row r="91" spans="1:13">
      <c r="A91" s="49" t="s">
        <v>13</v>
      </c>
      <c r="B91" s="46" t="s">
        <v>257</v>
      </c>
      <c r="C91" s="50" t="s">
        <v>732</v>
      </c>
      <c r="D91" s="51">
        <v>1996</v>
      </c>
      <c r="E91" s="53">
        <v>914872582</v>
      </c>
      <c r="F91" s="53">
        <v>1013791854</v>
      </c>
      <c r="G91" s="53">
        <v>1016208279</v>
      </c>
      <c r="H91" s="53">
        <v>0</v>
      </c>
      <c r="I91" s="54">
        <f t="shared" si="2"/>
        <v>2944872715</v>
      </c>
      <c r="J91" s="52">
        <v>0</v>
      </c>
      <c r="M91" s="38" t="str">
        <f>IF([1]totrevprm!O91="","",[1]totrevprm!O91)</f>
        <v/>
      </c>
    </row>
    <row r="92" spans="1:13">
      <c r="A92" s="49" t="s">
        <v>13</v>
      </c>
      <c r="B92" s="46" t="s">
        <v>257</v>
      </c>
      <c r="C92" s="50" t="s">
        <v>732</v>
      </c>
      <c r="D92" s="51">
        <v>1997</v>
      </c>
      <c r="E92" s="53">
        <v>958535220</v>
      </c>
      <c r="F92" s="53">
        <v>988369329</v>
      </c>
      <c r="G92" s="53">
        <v>1021320576</v>
      </c>
      <c r="H92" s="53">
        <v>0</v>
      </c>
      <c r="I92" s="54">
        <f t="shared" si="2"/>
        <v>2968225125</v>
      </c>
      <c r="J92" s="52">
        <v>0</v>
      </c>
      <c r="M92" s="38" t="str">
        <f>IF([1]totrevprm!O92="","",[1]totrevprm!O92)</f>
        <v/>
      </c>
    </row>
    <row r="93" spans="1:13">
      <c r="A93" s="49" t="s">
        <v>13</v>
      </c>
      <c r="B93" s="46" t="s">
        <v>257</v>
      </c>
      <c r="C93" s="50" t="s">
        <v>732</v>
      </c>
      <c r="D93" s="51">
        <v>1998</v>
      </c>
      <c r="E93" s="53">
        <v>1066565381</v>
      </c>
      <c r="F93" s="53">
        <v>1008731917</v>
      </c>
      <c r="G93" s="53">
        <v>1116492090</v>
      </c>
      <c r="H93" s="53">
        <v>0</v>
      </c>
      <c r="I93" s="54">
        <f t="shared" si="2"/>
        <v>3191789388</v>
      </c>
      <c r="J93" s="52">
        <v>0</v>
      </c>
      <c r="M93" s="38" t="str">
        <f>IF([1]totrevprm!O93="","",[1]totrevprm!O93)</f>
        <v/>
      </c>
    </row>
    <row r="94" spans="1:13">
      <c r="A94" s="49" t="s">
        <v>13</v>
      </c>
      <c r="B94" s="46" t="s">
        <v>257</v>
      </c>
      <c r="C94" s="50" t="s">
        <v>732</v>
      </c>
      <c r="D94" s="51">
        <v>1999</v>
      </c>
      <c r="E94" s="53">
        <v>1009492961</v>
      </c>
      <c r="F94" s="53">
        <v>1359033618</v>
      </c>
      <c r="G94" s="53">
        <v>1211810659</v>
      </c>
      <c r="H94" s="53">
        <v>0</v>
      </c>
      <c r="I94" s="54">
        <f t="shared" si="2"/>
        <v>3580337238</v>
      </c>
      <c r="J94" s="52">
        <v>0</v>
      </c>
      <c r="M94" s="38" t="str">
        <f>IF([1]totrevprm!O94="","",[1]totrevprm!O94)</f>
        <v/>
      </c>
    </row>
    <row r="95" spans="1:13">
      <c r="A95" s="49" t="s">
        <v>13</v>
      </c>
      <c r="B95" s="46" t="s">
        <v>257</v>
      </c>
      <c r="C95" s="50" t="s">
        <v>732</v>
      </c>
      <c r="D95" s="51">
        <v>2000</v>
      </c>
      <c r="E95" s="53">
        <v>1087230956</v>
      </c>
      <c r="F95" s="53">
        <v>1428669305</v>
      </c>
      <c r="G95" s="53">
        <v>1313172243</v>
      </c>
      <c r="H95" s="53">
        <v>0</v>
      </c>
      <c r="I95" s="54">
        <f t="shared" si="2"/>
        <v>3829072504</v>
      </c>
      <c r="J95" s="52">
        <v>0</v>
      </c>
      <c r="M95" s="38" t="str">
        <f>IF([1]totrevprm!O95="","",[1]totrevprm!O95)</f>
        <v/>
      </c>
    </row>
    <row r="96" spans="1:13">
      <c r="A96" s="49" t="s">
        <v>13</v>
      </c>
      <c r="B96" s="46" t="s">
        <v>257</v>
      </c>
      <c r="C96" s="50" t="s">
        <v>732</v>
      </c>
      <c r="D96" s="51">
        <v>2001</v>
      </c>
      <c r="E96" s="53">
        <v>1110962972</v>
      </c>
      <c r="F96" s="53">
        <v>2003768866.47</v>
      </c>
      <c r="G96" s="53">
        <v>1467882791</v>
      </c>
      <c r="H96" s="53">
        <v>0</v>
      </c>
      <c r="I96" s="54">
        <f t="shared" si="2"/>
        <v>4582614629.4700003</v>
      </c>
      <c r="J96" s="52">
        <v>0</v>
      </c>
      <c r="M96" s="38" t="str">
        <f>IF([1]totrevprm!O96="","",[1]totrevprm!O96)</f>
        <v/>
      </c>
    </row>
    <row r="97" spans="1:13">
      <c r="A97" s="49" t="s">
        <v>13</v>
      </c>
      <c r="B97" s="46" t="s">
        <v>257</v>
      </c>
      <c r="C97" s="50" t="s">
        <v>732</v>
      </c>
      <c r="D97" s="51">
        <v>2002</v>
      </c>
      <c r="E97" s="53">
        <v>1186595842</v>
      </c>
      <c r="F97" s="53">
        <v>3012431693</v>
      </c>
      <c r="G97" s="53">
        <v>1756613240</v>
      </c>
      <c r="H97" s="53">
        <v>0</v>
      </c>
      <c r="I97" s="54">
        <f t="shared" si="2"/>
        <v>5955640775</v>
      </c>
      <c r="J97" s="52">
        <v>0</v>
      </c>
      <c r="M97" s="38" t="str">
        <f>IF([1]totrevprm!O97="","",[1]totrevprm!O97)</f>
        <v/>
      </c>
    </row>
    <row r="98" spans="1:13">
      <c r="A98" s="49" t="s">
        <v>13</v>
      </c>
      <c r="B98" s="46" t="s">
        <v>257</v>
      </c>
      <c r="C98" s="50" t="s">
        <v>732</v>
      </c>
      <c r="D98" s="51">
        <v>2003</v>
      </c>
      <c r="E98" s="55">
        <v>1269051596</v>
      </c>
      <c r="F98" s="55">
        <v>2556235601</v>
      </c>
      <c r="G98" s="55">
        <v>2121912584</v>
      </c>
      <c r="H98" s="53">
        <v>0</v>
      </c>
      <c r="I98" s="54">
        <f t="shared" si="2"/>
        <v>5947199781</v>
      </c>
      <c r="J98" s="52">
        <v>0</v>
      </c>
      <c r="M98" s="38" t="str">
        <f>IF([1]totrevprm!O98="","",[1]totrevprm!O98)</f>
        <v/>
      </c>
    </row>
    <row r="99" spans="1:13">
      <c r="A99" s="49" t="s">
        <v>13</v>
      </c>
      <c r="B99" s="46" t="s">
        <v>257</v>
      </c>
      <c r="C99" s="50" t="s">
        <v>732</v>
      </c>
      <c r="D99" s="51">
        <v>2004</v>
      </c>
      <c r="E99" s="63">
        <v>1391009540</v>
      </c>
      <c r="F99" s="63">
        <v>2372069445</v>
      </c>
      <c r="G99" s="63">
        <v>2449137809</v>
      </c>
      <c r="H99" s="53">
        <v>0</v>
      </c>
      <c r="I99" s="54">
        <f t="shared" si="2"/>
        <v>6212216794</v>
      </c>
      <c r="J99" s="52">
        <v>0</v>
      </c>
      <c r="M99" s="38" t="str">
        <f>IF([1]totrevprm!O99="","",[1]totrevprm!O99)</f>
        <v/>
      </c>
    </row>
    <row r="100" spans="1:13">
      <c r="A100" s="49" t="s">
        <v>13</v>
      </c>
      <c r="B100" s="46" t="s">
        <v>257</v>
      </c>
      <c r="C100" s="50"/>
      <c r="D100" s="51">
        <v>2005</v>
      </c>
      <c r="E100" s="63">
        <v>1479077664</v>
      </c>
      <c r="F100" s="63">
        <v>2451301787</v>
      </c>
      <c r="G100" s="63">
        <v>2565072814.9499898</v>
      </c>
      <c r="H100" s="53">
        <v>0</v>
      </c>
      <c r="I100" s="54">
        <f t="shared" si="2"/>
        <v>6495452265.9499893</v>
      </c>
      <c r="J100" s="52">
        <v>0</v>
      </c>
      <c r="M100" s="38" t="str">
        <f>IF([1]totrevprm!O100="","",[1]totrevprm!O100)</f>
        <v/>
      </c>
    </row>
    <row r="101" spans="1:13">
      <c r="A101" s="49" t="s">
        <v>13</v>
      </c>
      <c r="B101" s="46" t="s">
        <v>257</v>
      </c>
      <c r="C101" s="50"/>
      <c r="D101" s="51">
        <v>2006</v>
      </c>
      <c r="E101" s="56">
        <v>1780931161</v>
      </c>
      <c r="F101" s="56">
        <v>2684510258</v>
      </c>
      <c r="G101" s="56">
        <v>3172639072</v>
      </c>
      <c r="H101" s="56">
        <v>0</v>
      </c>
      <c r="I101" s="54">
        <f t="shared" si="2"/>
        <v>7638080491</v>
      </c>
      <c r="J101" s="52">
        <v>0</v>
      </c>
      <c r="M101" s="38" t="str">
        <f>IF([1]totrevprm!O101="","",[1]totrevprm!O101)</f>
        <v/>
      </c>
    </row>
    <row r="102" spans="1:13">
      <c r="A102" s="49" t="s">
        <v>13</v>
      </c>
      <c r="B102" s="46" t="s">
        <v>257</v>
      </c>
      <c r="C102" s="50"/>
      <c r="D102" s="51">
        <v>2007</v>
      </c>
      <c r="E102" s="56">
        <v>1667766491</v>
      </c>
      <c r="F102" s="56">
        <v>2507933408</v>
      </c>
      <c r="G102" s="56">
        <v>3465227671</v>
      </c>
      <c r="H102" s="56">
        <v>0</v>
      </c>
      <c r="I102" s="54">
        <f t="shared" si="2"/>
        <v>7640927570</v>
      </c>
      <c r="J102" s="52">
        <v>0</v>
      </c>
      <c r="M102" s="38" t="str">
        <f>IF([1]totrevprm!O102="","",[1]totrevprm!O102)</f>
        <v/>
      </c>
    </row>
    <row r="103" spans="1:13">
      <c r="A103" s="49" t="s">
        <v>13</v>
      </c>
      <c r="B103" s="46" t="s">
        <v>257</v>
      </c>
      <c r="C103" s="50"/>
      <c r="D103" s="51">
        <v>2008</v>
      </c>
      <c r="E103" s="56">
        <v>1711134036</v>
      </c>
      <c r="F103" s="56">
        <v>3435799732</v>
      </c>
      <c r="G103" s="56">
        <v>3520262661</v>
      </c>
      <c r="H103" s="56">
        <v>0</v>
      </c>
      <c r="I103" s="54">
        <f t="shared" si="2"/>
        <v>8667196429</v>
      </c>
      <c r="J103" s="52">
        <v>0</v>
      </c>
      <c r="M103" s="38" t="str">
        <f>IF([1]totrevprm!O103="","",[1]totrevprm!O103)</f>
        <v/>
      </c>
    </row>
    <row r="104" spans="1:13">
      <c r="A104" s="49" t="s">
        <v>13</v>
      </c>
      <c r="B104" s="46" t="s">
        <v>257</v>
      </c>
      <c r="C104" s="50"/>
      <c r="D104" s="51">
        <v>2009</v>
      </c>
      <c r="E104" s="56">
        <v>1825183771</v>
      </c>
      <c r="F104" s="56">
        <v>3418937829</v>
      </c>
      <c r="G104" s="56">
        <v>3407597263</v>
      </c>
      <c r="H104" s="56">
        <v>0</v>
      </c>
      <c r="I104" s="54">
        <f t="shared" si="2"/>
        <v>8651718863</v>
      </c>
      <c r="J104" s="52">
        <v>0</v>
      </c>
      <c r="M104" s="38" t="str">
        <f>IF([1]totrevprm!O104="","",[1]totrevprm!O104)</f>
        <v/>
      </c>
    </row>
    <row r="105" spans="1:13">
      <c r="A105" s="49" t="s">
        <v>13</v>
      </c>
      <c r="B105" s="46" t="s">
        <v>257</v>
      </c>
      <c r="C105" s="50"/>
      <c r="D105" s="51">
        <v>2010</v>
      </c>
      <c r="E105" s="56">
        <v>1869327765</v>
      </c>
      <c r="F105" s="56">
        <v>2866849158</v>
      </c>
      <c r="G105" s="56">
        <v>3334402749</v>
      </c>
      <c r="H105" s="56">
        <v>0</v>
      </c>
      <c r="I105" s="54">
        <f t="shared" si="2"/>
        <v>8070579672</v>
      </c>
      <c r="J105" s="52">
        <v>0</v>
      </c>
      <c r="M105" s="38" t="str">
        <f>IF([1]totrevprm!O105="","",[1]totrevprm!O105)</f>
        <v/>
      </c>
    </row>
    <row r="106" spans="1:13">
      <c r="A106" s="49" t="s">
        <v>13</v>
      </c>
      <c r="B106" s="46" t="s">
        <v>257</v>
      </c>
      <c r="C106" s="50"/>
      <c r="D106" s="51">
        <v>2011</v>
      </c>
      <c r="E106" s="56">
        <v>1955128177</v>
      </c>
      <c r="F106" s="56">
        <v>2852336498</v>
      </c>
      <c r="G106" s="56">
        <v>3587172205</v>
      </c>
      <c r="H106" s="56">
        <v>0</v>
      </c>
      <c r="I106" s="54">
        <f t="shared" si="2"/>
        <v>8394636880</v>
      </c>
      <c r="J106" s="52">
        <v>1</v>
      </c>
      <c r="M106" s="38" t="str">
        <f>IF([1]totrevprm!O106="","",[1]totrevprm!O106)</f>
        <v/>
      </c>
    </row>
    <row r="107" spans="1:13">
      <c r="A107" s="49" t="s">
        <v>13</v>
      </c>
      <c r="B107" s="46" t="s">
        <v>257</v>
      </c>
      <c r="C107" s="50"/>
      <c r="D107" s="51">
        <v>2012</v>
      </c>
      <c r="E107" s="56">
        <v>2002085483</v>
      </c>
      <c r="F107" s="56">
        <v>3224670239</v>
      </c>
      <c r="G107" s="56">
        <v>3599827562</v>
      </c>
      <c r="H107" s="56">
        <v>0</v>
      </c>
      <c r="I107" s="54">
        <f t="shared" si="2"/>
        <v>8826583284</v>
      </c>
      <c r="J107" s="52">
        <v>0</v>
      </c>
      <c r="M107" s="38" t="str">
        <f>IF([1]totrevprm!O107="","",[1]totrevprm!O107)</f>
        <v/>
      </c>
    </row>
    <row r="108" spans="1:13">
      <c r="A108" s="49" t="s">
        <v>13</v>
      </c>
      <c r="B108" s="46" t="s">
        <v>257</v>
      </c>
      <c r="C108" s="50"/>
      <c r="D108" s="51">
        <v>2013</v>
      </c>
      <c r="E108" s="56">
        <v>2026680681</v>
      </c>
      <c r="F108" s="56">
        <v>2797739910</v>
      </c>
      <c r="G108" s="56">
        <v>3409561642</v>
      </c>
      <c r="H108" s="56">
        <v>0</v>
      </c>
      <c r="I108" s="54">
        <f t="shared" si="2"/>
        <v>8233982233</v>
      </c>
      <c r="J108" s="52">
        <v>0</v>
      </c>
      <c r="M108" s="38" t="str">
        <f>IF([1]totrevprm!O108="","",[1]totrevprm!O108)</f>
        <v/>
      </c>
    </row>
    <row r="109" spans="1:13">
      <c r="A109" s="49" t="s">
        <v>13</v>
      </c>
      <c r="B109" s="46" t="s">
        <v>257</v>
      </c>
      <c r="C109" s="50"/>
      <c r="D109" s="47">
        <v>2014</v>
      </c>
      <c r="E109" s="56">
        <v>2082230449</v>
      </c>
      <c r="F109" s="56">
        <v>4026872310</v>
      </c>
      <c r="G109" s="56">
        <v>3512465208.4700003</v>
      </c>
      <c r="H109" s="56">
        <v>0</v>
      </c>
      <c r="I109" s="54">
        <f t="shared" si="2"/>
        <v>9621567967.4700012</v>
      </c>
      <c r="J109" s="52">
        <v>0</v>
      </c>
      <c r="M109" s="38" t="str">
        <f>IF([1]totrevprm!O109="","",[1]totrevprm!O109)</f>
        <v/>
      </c>
    </row>
    <row r="110" spans="1:13">
      <c r="A110" s="49" t="s">
        <v>13</v>
      </c>
      <c r="B110" s="46" t="s">
        <v>257</v>
      </c>
      <c r="C110" s="50"/>
      <c r="D110" s="47">
        <v>2015</v>
      </c>
      <c r="E110" s="56">
        <v>2236094755</v>
      </c>
      <c r="F110" s="56">
        <v>3489588404</v>
      </c>
      <c r="G110" s="56">
        <v>3689202652</v>
      </c>
      <c r="H110" s="56">
        <v>0</v>
      </c>
      <c r="I110" s="54">
        <f t="shared" ref="I110:I175" si="3">SUM(E110:H110)</f>
        <v>9414885811</v>
      </c>
      <c r="J110" s="52">
        <v>0</v>
      </c>
      <c r="M110" s="38" t="str">
        <f>IF([1]totrevprm!O110="","",[1]totrevprm!O110)</f>
        <v/>
      </c>
    </row>
    <row r="111" spans="1:13">
      <c r="A111" s="49" t="s">
        <v>13</v>
      </c>
      <c r="B111" s="46" t="s">
        <v>257</v>
      </c>
      <c r="C111" s="50"/>
      <c r="D111" s="47">
        <v>2016</v>
      </c>
      <c r="E111" s="56">
        <v>2258739981</v>
      </c>
      <c r="F111" s="56">
        <v>3929696444</v>
      </c>
      <c r="G111" s="56">
        <v>3824950787</v>
      </c>
      <c r="H111" s="56">
        <v>0</v>
      </c>
      <c r="I111" s="54">
        <f t="shared" si="3"/>
        <v>10013387212</v>
      </c>
      <c r="J111" s="52">
        <v>0</v>
      </c>
      <c r="M111" s="38" t="str">
        <f>IF([1]totrevprm!O111="","",[1]totrevprm!O111)</f>
        <v/>
      </c>
    </row>
    <row r="112" spans="1:13">
      <c r="A112" s="49" t="s">
        <v>13</v>
      </c>
      <c r="B112" s="46" t="s">
        <v>257</v>
      </c>
      <c r="C112" s="50"/>
      <c r="D112" s="47">
        <v>2017</v>
      </c>
      <c r="E112" s="56">
        <v>2345504809</v>
      </c>
      <c r="F112" s="56">
        <v>4029315269</v>
      </c>
      <c r="G112" s="56">
        <v>3582410105.2600002</v>
      </c>
      <c r="H112" s="56">
        <v>0</v>
      </c>
      <c r="I112" s="54">
        <f t="shared" si="3"/>
        <v>9957230183.2600002</v>
      </c>
      <c r="J112" s="52">
        <v>0</v>
      </c>
      <c r="M112" s="38" t="str">
        <f>IF([1]totrevprm!O112="","",[1]totrevprm!O112)</f>
        <v/>
      </c>
    </row>
    <row r="113" spans="1:13">
      <c r="A113" s="49" t="s">
        <v>13</v>
      </c>
      <c r="B113" s="46" t="s">
        <v>257</v>
      </c>
      <c r="C113" s="50"/>
      <c r="D113" s="51">
        <v>2018</v>
      </c>
      <c r="E113" s="56">
        <v>2396469444</v>
      </c>
      <c r="F113" s="56">
        <v>4790990553</v>
      </c>
      <c r="G113" s="56">
        <v>4786019247.4099998</v>
      </c>
      <c r="H113" s="56">
        <v>0</v>
      </c>
      <c r="I113" s="54">
        <f t="shared" si="3"/>
        <v>11973479244.41</v>
      </c>
      <c r="J113" s="56">
        <v>0</v>
      </c>
      <c r="K113" s="61" t="s">
        <v>740</v>
      </c>
      <c r="L113" s="61"/>
      <c r="M113" s="38" t="str">
        <f>IF([1]totrevprm!O113="","",[1]totrevprm!O113)</f>
        <v>Yes</v>
      </c>
    </row>
    <row r="114" spans="1:13">
      <c r="A114" s="49" t="s">
        <v>13</v>
      </c>
      <c r="B114" s="46" t="s">
        <v>257</v>
      </c>
      <c r="C114" s="50"/>
      <c r="D114" s="51">
        <v>2019</v>
      </c>
      <c r="E114" s="56">
        <v>2600204093</v>
      </c>
      <c r="F114" s="56">
        <v>5444672700</v>
      </c>
      <c r="G114" s="56">
        <v>5092689616.4478998</v>
      </c>
      <c r="H114" s="56">
        <v>0</v>
      </c>
      <c r="I114" s="54">
        <f t="shared" si="3"/>
        <v>13137566409.447899</v>
      </c>
      <c r="J114" s="56">
        <v>0</v>
      </c>
      <c r="K114" s="61" t="s">
        <v>739</v>
      </c>
      <c r="L114" s="61"/>
      <c r="M114" s="38" t="str">
        <f>IF([1]totrevprm!O114="","",[1]totrevprm!O114)</f>
        <v/>
      </c>
    </row>
    <row r="115" spans="1:13">
      <c r="A115" s="49" t="s">
        <v>13</v>
      </c>
      <c r="B115" s="46" t="s">
        <v>257</v>
      </c>
      <c r="C115" s="50"/>
      <c r="D115" s="51">
        <v>2020</v>
      </c>
      <c r="E115" s="56">
        <v>2670538726</v>
      </c>
      <c r="F115" s="56">
        <v>5103597460</v>
      </c>
      <c r="G115" s="56">
        <v>4908168930</v>
      </c>
      <c r="H115" s="56">
        <v>0</v>
      </c>
      <c r="I115" s="54">
        <f t="shared" si="3"/>
        <v>12682305116</v>
      </c>
      <c r="J115" s="56">
        <v>0</v>
      </c>
      <c r="K115" s="61" t="s">
        <v>739</v>
      </c>
      <c r="L115" s="61"/>
      <c r="M115" s="38" t="str">
        <f>IF([1]totrevprm!O115="","",[1]totrevprm!O115)</f>
        <v/>
      </c>
    </row>
    <row r="116" spans="1:13">
      <c r="A116" s="49" t="s">
        <v>13</v>
      </c>
      <c r="B116" s="46" t="s">
        <v>257</v>
      </c>
      <c r="C116" s="50"/>
      <c r="D116" s="51">
        <v>2021</v>
      </c>
      <c r="E116" s="56">
        <v>2779804345</v>
      </c>
      <c r="F116" s="56">
        <v>5813906712</v>
      </c>
      <c r="G116" s="56">
        <v>4944287134</v>
      </c>
      <c r="H116" s="56">
        <v>0</v>
      </c>
      <c r="I116" s="54">
        <f t="shared" si="3"/>
        <v>13537998191</v>
      </c>
      <c r="J116" s="56">
        <v>0</v>
      </c>
      <c r="K116" s="61" t="s">
        <v>739</v>
      </c>
      <c r="L116" s="61"/>
      <c r="M116" s="38"/>
    </row>
    <row r="117" spans="1:13">
      <c r="A117" s="49" t="s">
        <v>13</v>
      </c>
      <c r="B117" s="46" t="s">
        <v>257</v>
      </c>
      <c r="C117" s="50"/>
      <c r="D117" s="51">
        <v>2022</v>
      </c>
      <c r="E117" s="56">
        <v>2954184975</v>
      </c>
      <c r="F117" s="56">
        <v>8153212664</v>
      </c>
      <c r="G117" s="56">
        <v>5106152104</v>
      </c>
      <c r="H117" s="56">
        <v>0</v>
      </c>
      <c r="I117" s="54">
        <f t="shared" si="3"/>
        <v>16213549743</v>
      </c>
      <c r="J117" s="56">
        <v>0</v>
      </c>
      <c r="K117" s="61" t="s">
        <v>739</v>
      </c>
      <c r="L117" s="61"/>
      <c r="M117" s="38"/>
    </row>
    <row r="118" spans="1:13">
      <c r="A118" s="49" t="s">
        <v>13</v>
      </c>
      <c r="B118" s="46" t="s">
        <v>257</v>
      </c>
      <c r="C118" s="50"/>
      <c r="D118" s="51">
        <v>2023</v>
      </c>
      <c r="E118" s="56">
        <v>3034206378</v>
      </c>
      <c r="F118" s="56">
        <v>10616709622.521799</v>
      </c>
      <c r="G118" s="56">
        <v>5473256364.7299995</v>
      </c>
      <c r="H118" s="56">
        <v>0</v>
      </c>
      <c r="I118" s="54">
        <f t="shared" si="3"/>
        <v>19124172365.251801</v>
      </c>
      <c r="J118" s="52">
        <v>0</v>
      </c>
      <c r="K118" s="61" t="s">
        <v>739</v>
      </c>
      <c r="L118" s="61"/>
      <c r="M118" s="38"/>
    </row>
    <row r="119" spans="1:13">
      <c r="A119" s="49" t="s">
        <v>13</v>
      </c>
      <c r="B119" s="46" t="s">
        <v>257</v>
      </c>
      <c r="C119" s="50"/>
      <c r="D119" s="57">
        <v>2024</v>
      </c>
      <c r="E119" s="52">
        <v>3131713972.5599999</v>
      </c>
      <c r="F119" s="52">
        <v>13071900710.469999</v>
      </c>
      <c r="G119" s="52">
        <v>6003885003.6700001</v>
      </c>
      <c r="H119" s="52">
        <v>0</v>
      </c>
      <c r="I119" s="54">
        <f t="shared" si="3"/>
        <v>22207499686.699997</v>
      </c>
      <c r="J119" s="56">
        <v>0</v>
      </c>
      <c r="K119" s="61" t="s">
        <v>739</v>
      </c>
      <c r="M119" s="38"/>
    </row>
    <row r="120" spans="1:13">
      <c r="A120" s="49"/>
      <c r="B120" s="50"/>
      <c r="C120" s="50"/>
      <c r="E120" s="53"/>
      <c r="F120" s="53"/>
      <c r="G120" s="53"/>
      <c r="H120" s="53"/>
      <c r="I120" s="54"/>
      <c r="J120" s="52"/>
      <c r="M120" s="38" t="str">
        <f>IF([1]totrevprm!O120="","",[1]totrevprm!O120)</f>
        <v/>
      </c>
    </row>
    <row r="121" spans="1:13">
      <c r="A121" s="49" t="s">
        <v>15</v>
      </c>
      <c r="B121" s="46" t="s">
        <v>510</v>
      </c>
      <c r="C121" s="50" t="s">
        <v>741</v>
      </c>
      <c r="D121" s="51">
        <v>1988</v>
      </c>
      <c r="E121" s="53">
        <v>403585594</v>
      </c>
      <c r="F121" s="53">
        <v>188657941</v>
      </c>
      <c r="G121" s="53">
        <v>660755540</v>
      </c>
      <c r="H121" s="53">
        <v>89549455</v>
      </c>
      <c r="I121" s="54">
        <f t="shared" si="3"/>
        <v>1342548530</v>
      </c>
      <c r="J121" s="52">
        <v>0</v>
      </c>
      <c r="M121" s="38" t="str">
        <f>IF([1]totrevprm!O121="","",[1]totrevprm!O121)</f>
        <v/>
      </c>
    </row>
    <row r="122" spans="1:13">
      <c r="A122" s="49" t="s">
        <v>15</v>
      </c>
      <c r="B122" s="46" t="s">
        <v>510</v>
      </c>
      <c r="C122" s="50" t="s">
        <v>742</v>
      </c>
      <c r="D122" s="51">
        <v>1989</v>
      </c>
      <c r="E122" s="53">
        <v>389097958</v>
      </c>
      <c r="F122" s="53">
        <v>199354598</v>
      </c>
      <c r="G122" s="53">
        <v>716957257</v>
      </c>
      <c r="H122" s="53">
        <v>88768750</v>
      </c>
      <c r="I122" s="54">
        <f t="shared" si="3"/>
        <v>1394178563</v>
      </c>
      <c r="J122" s="52">
        <v>0</v>
      </c>
      <c r="M122" s="38" t="str">
        <f>IF([1]totrevprm!O122="","",[1]totrevprm!O122)</f>
        <v/>
      </c>
    </row>
    <row r="123" spans="1:13">
      <c r="A123" s="49" t="s">
        <v>15</v>
      </c>
      <c r="B123" s="46" t="s">
        <v>510</v>
      </c>
      <c r="C123" s="50" t="s">
        <v>743</v>
      </c>
      <c r="D123" s="51">
        <v>1990</v>
      </c>
      <c r="E123" s="53">
        <v>401230229</v>
      </c>
      <c r="F123" s="53">
        <v>224050808.16</v>
      </c>
      <c r="G123" s="53">
        <v>791102524</v>
      </c>
      <c r="H123" s="53">
        <v>83347994</v>
      </c>
      <c r="I123" s="54">
        <f t="shared" si="3"/>
        <v>1499731555.1599998</v>
      </c>
      <c r="J123" s="52">
        <v>0</v>
      </c>
      <c r="M123" s="38" t="str">
        <f>IF([1]totrevprm!O123="","",[1]totrevprm!O123)</f>
        <v/>
      </c>
    </row>
    <row r="124" spans="1:13">
      <c r="A124" s="49" t="s">
        <v>15</v>
      </c>
      <c r="B124" s="46" t="s">
        <v>510</v>
      </c>
      <c r="C124" s="50" t="s">
        <v>732</v>
      </c>
      <c r="D124" s="51">
        <v>1991</v>
      </c>
      <c r="E124" s="53">
        <v>477470898</v>
      </c>
      <c r="F124" s="53">
        <v>200132968</v>
      </c>
      <c r="G124" s="53">
        <v>820348714</v>
      </c>
      <c r="H124" s="53">
        <v>116564832</v>
      </c>
      <c r="I124" s="54">
        <f t="shared" si="3"/>
        <v>1614517412</v>
      </c>
      <c r="J124" s="52">
        <v>0</v>
      </c>
      <c r="M124" s="38" t="str">
        <f>IF([1]totrevprm!O124="","",[1]totrevprm!O124)</f>
        <v/>
      </c>
    </row>
    <row r="125" spans="1:13">
      <c r="A125" s="49" t="s">
        <v>15</v>
      </c>
      <c r="B125" s="46" t="s">
        <v>510</v>
      </c>
      <c r="C125" s="50" t="s">
        <v>732</v>
      </c>
      <c r="D125" s="51">
        <v>1992</v>
      </c>
      <c r="E125" s="53">
        <v>519815865</v>
      </c>
      <c r="F125" s="53">
        <v>256497944.80000001</v>
      </c>
      <c r="G125" s="53">
        <v>870503940</v>
      </c>
      <c r="H125" s="53">
        <v>97100599</v>
      </c>
      <c r="I125" s="54">
        <f t="shared" si="3"/>
        <v>1743918348.8</v>
      </c>
      <c r="J125" s="52">
        <v>0</v>
      </c>
      <c r="M125" s="38" t="str">
        <f>IF([1]totrevprm!O125="","",[1]totrevprm!O125)</f>
        <v/>
      </c>
    </row>
    <row r="126" spans="1:13">
      <c r="A126" s="49" t="s">
        <v>15</v>
      </c>
      <c r="B126" s="46" t="s">
        <v>510</v>
      </c>
      <c r="C126" s="50" t="s">
        <v>732</v>
      </c>
      <c r="D126" s="51">
        <v>1993</v>
      </c>
      <c r="E126" s="53">
        <v>538560400</v>
      </c>
      <c r="F126" s="53">
        <v>202989051</v>
      </c>
      <c r="G126" s="53">
        <v>934145868</v>
      </c>
      <c r="H126" s="53">
        <v>101590201</v>
      </c>
      <c r="I126" s="54">
        <f t="shared" si="3"/>
        <v>1777285520</v>
      </c>
      <c r="J126" s="52">
        <v>0</v>
      </c>
      <c r="M126" s="38" t="str">
        <f>IF([1]totrevprm!O126="","",[1]totrevprm!O126)</f>
        <v/>
      </c>
    </row>
    <row r="127" spans="1:13">
      <c r="A127" s="49" t="s">
        <v>15</v>
      </c>
      <c r="B127" s="46" t="s">
        <v>510</v>
      </c>
      <c r="C127" s="50" t="s">
        <v>732</v>
      </c>
      <c r="D127" s="51">
        <v>1994</v>
      </c>
      <c r="E127" s="53">
        <v>684050813</v>
      </c>
      <c r="F127" s="53">
        <v>270384983</v>
      </c>
      <c r="G127" s="53">
        <v>938798293</v>
      </c>
      <c r="H127" s="53">
        <v>97199515</v>
      </c>
      <c r="I127" s="54">
        <f t="shared" si="3"/>
        <v>1990433604</v>
      </c>
      <c r="J127" s="52">
        <v>0</v>
      </c>
      <c r="M127" s="38" t="str">
        <f>IF([1]totrevprm!O127="","",[1]totrevprm!O127)</f>
        <v/>
      </c>
    </row>
    <row r="128" spans="1:13">
      <c r="A128" s="49" t="s">
        <v>15</v>
      </c>
      <c r="B128" s="46" t="s">
        <v>510</v>
      </c>
      <c r="C128" s="50" t="s">
        <v>732</v>
      </c>
      <c r="D128" s="51">
        <v>1995</v>
      </c>
      <c r="E128" s="53">
        <v>707862793</v>
      </c>
      <c r="F128" s="53">
        <v>264823669</v>
      </c>
      <c r="G128" s="53">
        <v>997473403</v>
      </c>
      <c r="H128" s="53">
        <v>100491974</v>
      </c>
      <c r="I128" s="54">
        <f t="shared" si="3"/>
        <v>2070651839</v>
      </c>
      <c r="J128" s="52">
        <v>0</v>
      </c>
      <c r="M128" s="38" t="str">
        <f>IF([1]totrevprm!O128="","",[1]totrevprm!O128)</f>
        <v/>
      </c>
    </row>
    <row r="129" spans="1:13">
      <c r="A129" s="49" t="s">
        <v>15</v>
      </c>
      <c r="B129" s="46" t="s">
        <v>510</v>
      </c>
      <c r="C129" s="50" t="s">
        <v>732</v>
      </c>
      <c r="D129" s="51">
        <v>1996</v>
      </c>
      <c r="E129" s="53">
        <v>656253210</v>
      </c>
      <c r="F129" s="53">
        <v>260552792</v>
      </c>
      <c r="G129" s="53">
        <v>1015805406</v>
      </c>
      <c r="H129" s="53">
        <v>101852660</v>
      </c>
      <c r="I129" s="54">
        <f t="shared" si="3"/>
        <v>2034464068</v>
      </c>
      <c r="J129" s="52">
        <v>0</v>
      </c>
      <c r="M129" s="38" t="str">
        <f>IF([1]totrevprm!O129="","",[1]totrevprm!O129)</f>
        <v/>
      </c>
    </row>
    <row r="130" spans="1:13">
      <c r="A130" s="49" t="s">
        <v>15</v>
      </c>
      <c r="B130" s="46" t="s">
        <v>510</v>
      </c>
      <c r="C130" s="50" t="s">
        <v>744</v>
      </c>
      <c r="D130" s="51">
        <v>1997</v>
      </c>
      <c r="E130" s="53">
        <v>620263360</v>
      </c>
      <c r="F130" s="53">
        <v>314827473</v>
      </c>
      <c r="G130" s="53">
        <v>986732375</v>
      </c>
      <c r="H130" s="53">
        <v>121341074</v>
      </c>
      <c r="I130" s="54">
        <f t="shared" si="3"/>
        <v>2043164282</v>
      </c>
      <c r="J130" s="52">
        <v>0</v>
      </c>
      <c r="M130" s="38" t="str">
        <f>IF([1]totrevprm!O130="","",[1]totrevprm!O130)</f>
        <v/>
      </c>
    </row>
    <row r="131" spans="1:13">
      <c r="A131" s="49" t="s">
        <v>15</v>
      </c>
      <c r="B131" s="46" t="s">
        <v>510</v>
      </c>
      <c r="C131" s="50" t="s">
        <v>745</v>
      </c>
      <c r="D131" s="51">
        <v>1998</v>
      </c>
      <c r="E131" s="53">
        <v>596902987</v>
      </c>
      <c r="F131" s="53">
        <v>391333115</v>
      </c>
      <c r="G131" s="53">
        <v>991468701</v>
      </c>
      <c r="H131" s="53">
        <v>15368342</v>
      </c>
      <c r="I131" s="54">
        <f t="shared" si="3"/>
        <v>1995073145</v>
      </c>
      <c r="J131" s="52">
        <v>11381553</v>
      </c>
      <c r="K131" s="60" t="s">
        <v>736</v>
      </c>
      <c r="M131" s="38" t="str">
        <f>IF([1]totrevprm!O131="","",[1]totrevprm!O131)</f>
        <v/>
      </c>
    </row>
    <row r="132" spans="1:13">
      <c r="A132" s="49" t="s">
        <v>15</v>
      </c>
      <c r="B132" s="46" t="s">
        <v>510</v>
      </c>
      <c r="C132" s="50" t="s">
        <v>732</v>
      </c>
      <c r="D132" s="51">
        <v>1999</v>
      </c>
      <c r="E132" s="53">
        <v>595238824</v>
      </c>
      <c r="F132" s="53">
        <v>564853228</v>
      </c>
      <c r="G132" s="53">
        <v>1080611824</v>
      </c>
      <c r="H132" s="53">
        <v>5046298</v>
      </c>
      <c r="I132" s="54">
        <f t="shared" si="3"/>
        <v>2245750174</v>
      </c>
      <c r="J132" s="52">
        <v>10139684</v>
      </c>
      <c r="K132" s="60" t="s">
        <v>736</v>
      </c>
      <c r="M132" s="38" t="str">
        <f>IF([1]totrevprm!O132="","",[1]totrevprm!O132)</f>
        <v/>
      </c>
    </row>
    <row r="133" spans="1:13">
      <c r="A133" s="49" t="s">
        <v>15</v>
      </c>
      <c r="B133" s="46" t="s">
        <v>510</v>
      </c>
      <c r="C133" s="50" t="s">
        <v>732</v>
      </c>
      <c r="D133" s="51">
        <v>2000</v>
      </c>
      <c r="E133" s="53">
        <v>605102651</v>
      </c>
      <c r="F133" s="53">
        <v>450103841</v>
      </c>
      <c r="G133" s="53">
        <v>1155058552</v>
      </c>
      <c r="H133" s="53">
        <v>13020484</v>
      </c>
      <c r="I133" s="54">
        <f t="shared" si="3"/>
        <v>2223285528</v>
      </c>
      <c r="J133" s="52">
        <v>11349582</v>
      </c>
      <c r="K133" s="60" t="s">
        <v>736</v>
      </c>
      <c r="M133" s="38" t="str">
        <f>IF([1]totrevprm!O133="","",[1]totrevprm!O133)</f>
        <v/>
      </c>
    </row>
    <row r="134" spans="1:13">
      <c r="A134" s="49" t="s">
        <v>15</v>
      </c>
      <c r="B134" s="46" t="s">
        <v>510</v>
      </c>
      <c r="C134" s="50" t="s">
        <v>732</v>
      </c>
      <c r="D134" s="51">
        <v>2001</v>
      </c>
      <c r="E134" s="53">
        <v>659858807</v>
      </c>
      <c r="F134" s="53">
        <v>649078022.77999902</v>
      </c>
      <c r="G134" s="53">
        <v>1304080389</v>
      </c>
      <c r="H134" s="53">
        <v>16444055</v>
      </c>
      <c r="I134" s="54">
        <f t="shared" si="3"/>
        <v>2629461273.7799988</v>
      </c>
      <c r="J134" s="37">
        <v>9343242</v>
      </c>
      <c r="K134" s="60" t="s">
        <v>736</v>
      </c>
      <c r="M134" s="38" t="str">
        <f>IF([1]totrevprm!O134="","",[1]totrevprm!O134)</f>
        <v/>
      </c>
    </row>
    <row r="135" spans="1:13">
      <c r="A135" s="49" t="s">
        <v>15</v>
      </c>
      <c r="B135" s="46" t="s">
        <v>510</v>
      </c>
      <c r="C135" s="50" t="s">
        <v>732</v>
      </c>
      <c r="D135" s="51">
        <v>2002</v>
      </c>
      <c r="E135" s="53">
        <v>702625994</v>
      </c>
      <c r="F135" s="53">
        <v>946958659</v>
      </c>
      <c r="G135" s="53">
        <v>1393730603</v>
      </c>
      <c r="H135" s="53">
        <v>21180324</v>
      </c>
      <c r="I135" s="54">
        <f t="shared" si="3"/>
        <v>3064495580</v>
      </c>
      <c r="J135" s="37">
        <v>6304586</v>
      </c>
      <c r="K135" s="60" t="s">
        <v>736</v>
      </c>
      <c r="M135" s="38" t="str">
        <f>IF([1]totrevprm!O135="","",[1]totrevprm!O135)</f>
        <v/>
      </c>
    </row>
    <row r="136" spans="1:13">
      <c r="A136" s="49" t="s">
        <v>15</v>
      </c>
      <c r="B136" s="46" t="s">
        <v>510</v>
      </c>
      <c r="C136" s="50" t="s">
        <v>732</v>
      </c>
      <c r="D136" s="51">
        <v>2003</v>
      </c>
      <c r="E136" s="55">
        <v>720689870</v>
      </c>
      <c r="F136" s="55">
        <v>890625150</v>
      </c>
      <c r="G136" s="55">
        <v>1453398803</v>
      </c>
      <c r="H136" s="55">
        <v>19635793</v>
      </c>
      <c r="I136" s="54">
        <f t="shared" si="3"/>
        <v>3084349616</v>
      </c>
      <c r="J136" s="37">
        <v>9111449</v>
      </c>
      <c r="K136" s="60" t="s">
        <v>736</v>
      </c>
      <c r="M136" s="38" t="str">
        <f>IF([1]totrevprm!O136="","",[1]totrevprm!O136)</f>
        <v/>
      </c>
    </row>
    <row r="137" spans="1:13">
      <c r="A137" s="49" t="s">
        <v>15</v>
      </c>
      <c r="B137" s="46" t="s">
        <v>510</v>
      </c>
      <c r="C137" s="50" t="s">
        <v>732</v>
      </c>
      <c r="D137" s="51">
        <v>2004</v>
      </c>
      <c r="E137" s="55">
        <v>749357414</v>
      </c>
      <c r="F137" s="55">
        <v>727020106</v>
      </c>
      <c r="G137" s="55">
        <v>1520277078</v>
      </c>
      <c r="H137" s="55">
        <v>16411295</v>
      </c>
      <c r="I137" s="54">
        <f t="shared" si="3"/>
        <v>3013065893</v>
      </c>
      <c r="J137" s="37">
        <v>25192022</v>
      </c>
      <c r="K137" s="60" t="s">
        <v>736</v>
      </c>
      <c r="M137" s="38" t="str">
        <f>IF([1]totrevprm!O137="","",[1]totrevprm!O137)</f>
        <v/>
      </c>
    </row>
    <row r="138" spans="1:13">
      <c r="A138" s="49" t="s">
        <v>15</v>
      </c>
      <c r="B138" s="46" t="s">
        <v>510</v>
      </c>
      <c r="C138" s="50"/>
      <c r="D138" s="51">
        <v>2005</v>
      </c>
      <c r="E138" s="55">
        <v>744613906</v>
      </c>
      <c r="F138" s="55">
        <v>806403405</v>
      </c>
      <c r="G138" s="55">
        <v>1609434976.99</v>
      </c>
      <c r="H138" s="55">
        <v>22475838</v>
      </c>
      <c r="I138" s="54">
        <f t="shared" si="3"/>
        <v>3182928125.9899998</v>
      </c>
      <c r="J138" s="37">
        <v>17230094</v>
      </c>
      <c r="K138" s="60" t="s">
        <v>736</v>
      </c>
      <c r="M138" s="38" t="str">
        <f>IF([1]totrevprm!O138="","",[1]totrevprm!O138)</f>
        <v/>
      </c>
    </row>
    <row r="139" spans="1:13">
      <c r="A139" s="49" t="s">
        <v>15</v>
      </c>
      <c r="B139" s="46" t="s">
        <v>510</v>
      </c>
      <c r="C139" s="50"/>
      <c r="D139" s="51">
        <v>2006</v>
      </c>
      <c r="E139" s="56">
        <v>780217180</v>
      </c>
      <c r="F139" s="56">
        <v>865121851</v>
      </c>
      <c r="G139" s="56">
        <v>1799991112</v>
      </c>
      <c r="H139" s="56">
        <v>16724420</v>
      </c>
      <c r="I139" s="54">
        <f t="shared" si="3"/>
        <v>3462054563</v>
      </c>
      <c r="J139" s="37">
        <v>12280436</v>
      </c>
      <c r="K139" s="60" t="s">
        <v>736</v>
      </c>
      <c r="M139" s="38" t="str">
        <f>IF([1]totrevprm!O139="","",[1]totrevprm!O139)</f>
        <v/>
      </c>
    </row>
    <row r="140" spans="1:13">
      <c r="A140" s="49" t="s">
        <v>15</v>
      </c>
      <c r="B140" s="46" t="s">
        <v>510</v>
      </c>
      <c r="C140" s="50"/>
      <c r="D140" s="51">
        <v>2007</v>
      </c>
      <c r="E140" s="56">
        <v>815302125</v>
      </c>
      <c r="F140" s="56">
        <v>943373344</v>
      </c>
      <c r="G140" s="56">
        <v>2039235950</v>
      </c>
      <c r="H140" s="56">
        <v>25474886</v>
      </c>
      <c r="I140" s="54">
        <f t="shared" si="3"/>
        <v>3823386305</v>
      </c>
      <c r="J140" s="37">
        <v>10357768</v>
      </c>
      <c r="K140" s="60" t="s">
        <v>736</v>
      </c>
      <c r="M140" s="38" t="str">
        <f>IF([1]totrevprm!O140="","",[1]totrevprm!O140)</f>
        <v/>
      </c>
    </row>
    <row r="141" spans="1:13">
      <c r="A141" s="49" t="s">
        <v>15</v>
      </c>
      <c r="B141" s="46" t="s">
        <v>510</v>
      </c>
      <c r="C141" s="50"/>
      <c r="D141" s="51">
        <v>2008</v>
      </c>
      <c r="E141" s="56">
        <v>825230520</v>
      </c>
      <c r="F141" s="56">
        <v>1202242267</v>
      </c>
      <c r="G141" s="56">
        <v>2147823072</v>
      </c>
      <c r="H141" s="56">
        <v>16744074</v>
      </c>
      <c r="I141" s="54">
        <f t="shared" si="3"/>
        <v>4192039933</v>
      </c>
      <c r="J141" s="37">
        <v>21787122</v>
      </c>
      <c r="K141" s="60" t="s">
        <v>736</v>
      </c>
      <c r="M141" s="38" t="str">
        <f>IF([1]totrevprm!O141="","",[1]totrevprm!O141)</f>
        <v/>
      </c>
    </row>
    <row r="142" spans="1:13">
      <c r="A142" s="49" t="s">
        <v>15</v>
      </c>
      <c r="B142" s="46" t="s">
        <v>510</v>
      </c>
      <c r="C142" s="50"/>
      <c r="D142" s="51">
        <v>2009</v>
      </c>
      <c r="E142" s="56">
        <v>885310566</v>
      </c>
      <c r="F142" s="56">
        <v>1153293201</v>
      </c>
      <c r="G142" s="56">
        <v>2232342344</v>
      </c>
      <c r="H142" s="56">
        <v>29223951</v>
      </c>
      <c r="I142" s="54">
        <f t="shared" si="3"/>
        <v>4300170062</v>
      </c>
      <c r="J142" s="37">
        <v>21550471</v>
      </c>
      <c r="K142" s="60" t="s">
        <v>736</v>
      </c>
      <c r="M142" s="38" t="str">
        <f>IF([1]totrevprm!O142="","",[1]totrevprm!O142)</f>
        <v/>
      </c>
    </row>
    <row r="143" spans="1:13">
      <c r="A143" s="49" t="s">
        <v>15</v>
      </c>
      <c r="B143" s="46" t="s">
        <v>510</v>
      </c>
      <c r="C143" s="50"/>
      <c r="D143" s="51">
        <v>2010</v>
      </c>
      <c r="E143" s="56">
        <v>897304304</v>
      </c>
      <c r="F143" s="52">
        <v>924235255</v>
      </c>
      <c r="G143" s="56">
        <v>2314383786</v>
      </c>
      <c r="H143" s="56">
        <v>16989914</v>
      </c>
      <c r="I143" s="54">
        <f t="shared" si="3"/>
        <v>4152913259</v>
      </c>
      <c r="J143" s="37">
        <v>37873210</v>
      </c>
      <c r="K143" s="60" t="s">
        <v>736</v>
      </c>
      <c r="M143" s="38" t="str">
        <f>IF([1]totrevprm!O143="","",[1]totrevprm!O143)</f>
        <v/>
      </c>
    </row>
    <row r="144" spans="1:13">
      <c r="A144" s="49" t="s">
        <v>15</v>
      </c>
      <c r="B144" s="46" t="s">
        <v>510</v>
      </c>
      <c r="C144" s="50"/>
      <c r="D144" s="51">
        <v>2011</v>
      </c>
      <c r="E144" s="56">
        <v>912378715</v>
      </c>
      <c r="F144" s="52">
        <v>1028003188</v>
      </c>
      <c r="G144" s="56">
        <v>2365102357.6900001</v>
      </c>
      <c r="H144" s="56">
        <v>25301859</v>
      </c>
      <c r="I144" s="54">
        <f t="shared" si="3"/>
        <v>4330786119.6900005</v>
      </c>
      <c r="J144" s="37">
        <v>49107552</v>
      </c>
      <c r="K144" s="60" t="s">
        <v>736</v>
      </c>
      <c r="M144" s="38" t="str">
        <f>IF([1]totrevprm!O144="","",[1]totrevprm!O144)</f>
        <v/>
      </c>
    </row>
    <row r="145" spans="1:13">
      <c r="A145" s="49" t="s">
        <v>15</v>
      </c>
      <c r="B145" s="46" t="s">
        <v>510</v>
      </c>
      <c r="C145" s="50"/>
      <c r="D145" s="51">
        <v>2012</v>
      </c>
      <c r="E145" s="56">
        <v>1009296267</v>
      </c>
      <c r="F145" s="52">
        <v>1084481312</v>
      </c>
      <c r="G145" s="56">
        <v>2393160347</v>
      </c>
      <c r="H145" s="56">
        <v>23387728</v>
      </c>
      <c r="I145" s="54">
        <f t="shared" si="3"/>
        <v>4510325654</v>
      </c>
      <c r="J145" s="37">
        <v>35215131</v>
      </c>
      <c r="K145" s="60" t="s">
        <v>736</v>
      </c>
      <c r="M145" s="38" t="str">
        <f>IF([1]totrevprm!O145="","",[1]totrevprm!O145)</f>
        <v/>
      </c>
    </row>
    <row r="146" spans="1:13">
      <c r="A146" s="49" t="s">
        <v>15</v>
      </c>
      <c r="B146" s="46" t="s">
        <v>510</v>
      </c>
      <c r="C146" s="50"/>
      <c r="D146" s="51">
        <v>2013</v>
      </c>
      <c r="E146" s="56">
        <v>1034811779</v>
      </c>
      <c r="F146" s="52">
        <v>980225329</v>
      </c>
      <c r="G146" s="56">
        <v>1946751826</v>
      </c>
      <c r="H146" s="56">
        <v>55737640</v>
      </c>
      <c r="I146" s="54">
        <f t="shared" si="3"/>
        <v>4017526574</v>
      </c>
      <c r="J146" s="37">
        <v>29692575</v>
      </c>
      <c r="K146" s="60" t="s">
        <v>736</v>
      </c>
      <c r="M146" s="38" t="str">
        <f>IF([1]totrevprm!O146="","",[1]totrevprm!O146)</f>
        <v/>
      </c>
    </row>
    <row r="147" spans="1:13">
      <c r="A147" s="49" t="s">
        <v>15</v>
      </c>
      <c r="B147" s="46" t="s">
        <v>510</v>
      </c>
      <c r="C147" s="50"/>
      <c r="D147" s="47">
        <v>2014</v>
      </c>
      <c r="E147" s="56">
        <v>1019641413</v>
      </c>
      <c r="F147" s="56">
        <v>1127031741</v>
      </c>
      <c r="G147" s="56">
        <v>2645994550.3899999</v>
      </c>
      <c r="H147" s="56">
        <v>15016515</v>
      </c>
      <c r="I147" s="54">
        <f t="shared" si="3"/>
        <v>4807684219.3899994</v>
      </c>
      <c r="J147" s="52">
        <v>85920395</v>
      </c>
      <c r="K147" s="60" t="s">
        <v>736</v>
      </c>
      <c r="M147" s="38" t="str">
        <f>IF([1]totrevprm!O147="","",[1]totrevprm!O147)</f>
        <v/>
      </c>
    </row>
    <row r="148" spans="1:13">
      <c r="A148" s="49" t="s">
        <v>15</v>
      </c>
      <c r="B148" s="46" t="s">
        <v>510</v>
      </c>
      <c r="C148" s="50"/>
      <c r="D148" s="47">
        <v>2015</v>
      </c>
      <c r="E148" s="56">
        <v>1070587640</v>
      </c>
      <c r="F148" s="56">
        <v>1168587604</v>
      </c>
      <c r="G148" s="56">
        <v>2953937396</v>
      </c>
      <c r="H148" s="56">
        <v>14850972</v>
      </c>
      <c r="I148" s="54">
        <f t="shared" si="3"/>
        <v>5207963612</v>
      </c>
      <c r="J148" s="52">
        <v>68885894</v>
      </c>
      <c r="K148" s="60" t="s">
        <v>736</v>
      </c>
      <c r="M148" s="38" t="str">
        <f>IF([1]totrevprm!O148="","",[1]totrevprm!O148)</f>
        <v/>
      </c>
    </row>
    <row r="149" spans="1:13">
      <c r="A149" s="49" t="s">
        <v>15</v>
      </c>
      <c r="B149" s="46" t="s">
        <v>510</v>
      </c>
      <c r="C149" s="50"/>
      <c r="D149" s="47">
        <v>2016</v>
      </c>
      <c r="E149" s="56">
        <v>1137379677</v>
      </c>
      <c r="F149" s="56">
        <v>1206785873</v>
      </c>
      <c r="G149" s="56">
        <v>3289288864</v>
      </c>
      <c r="H149" s="56">
        <v>22343329</v>
      </c>
      <c r="I149" s="54">
        <f t="shared" si="3"/>
        <v>5655797743</v>
      </c>
      <c r="J149" s="52">
        <v>43000777</v>
      </c>
      <c r="K149" s="60" t="s">
        <v>736</v>
      </c>
      <c r="M149" s="38" t="str">
        <f>IF([1]totrevprm!O149="","",[1]totrevprm!O149)</f>
        <v/>
      </c>
    </row>
    <row r="150" spans="1:13">
      <c r="A150" s="49" t="s">
        <v>15</v>
      </c>
      <c r="B150" s="46" t="s">
        <v>510</v>
      </c>
      <c r="C150" s="50"/>
      <c r="D150" s="47">
        <v>2017</v>
      </c>
      <c r="E150" s="56">
        <v>1080643343</v>
      </c>
      <c r="F150" s="56">
        <v>1180563610</v>
      </c>
      <c r="G150" s="56">
        <v>3531212599.4400001</v>
      </c>
      <c r="H150" s="56">
        <v>17218454</v>
      </c>
      <c r="I150" s="54">
        <f t="shared" si="3"/>
        <v>5809638006.4400005</v>
      </c>
      <c r="J150" s="56">
        <v>51758920</v>
      </c>
      <c r="K150" s="60" t="s">
        <v>736</v>
      </c>
      <c r="M150" s="38" t="str">
        <f>IF([1]totrevprm!O150="","",[1]totrevprm!O150)</f>
        <v/>
      </c>
    </row>
    <row r="151" spans="1:13">
      <c r="A151" s="49" t="s">
        <v>15</v>
      </c>
      <c r="B151" s="46" t="s">
        <v>510</v>
      </c>
      <c r="C151" s="50"/>
      <c r="D151" s="47">
        <v>2018</v>
      </c>
      <c r="E151" s="56">
        <v>1107321111</v>
      </c>
      <c r="F151" s="56">
        <v>1417710063</v>
      </c>
      <c r="G151" s="56">
        <v>3669153013.1700001</v>
      </c>
      <c r="H151" s="64">
        <v>-147776</v>
      </c>
      <c r="I151" s="54">
        <f t="shared" si="3"/>
        <v>6194036411.1700001</v>
      </c>
      <c r="J151" s="56">
        <v>50220999</v>
      </c>
      <c r="K151" s="60" t="s">
        <v>736</v>
      </c>
      <c r="M151" s="38" t="str">
        <f>IF([1]totrevprm!O151="","",[1]totrevprm!O151)</f>
        <v/>
      </c>
    </row>
    <row r="152" spans="1:13">
      <c r="A152" s="49" t="s">
        <v>15</v>
      </c>
      <c r="B152" s="46" t="s">
        <v>510</v>
      </c>
      <c r="C152" s="50"/>
      <c r="D152" s="47">
        <v>2019</v>
      </c>
      <c r="E152" s="56">
        <v>1093323464</v>
      </c>
      <c r="F152" s="56">
        <v>1679067795</v>
      </c>
      <c r="G152" s="56">
        <v>4076752276.6894999</v>
      </c>
      <c r="H152" s="65">
        <v>11220454</v>
      </c>
      <c r="I152" s="54">
        <f t="shared" si="3"/>
        <v>6860363989.6894999</v>
      </c>
      <c r="J152" s="56">
        <v>76925687</v>
      </c>
      <c r="K152" s="60" t="s">
        <v>746</v>
      </c>
      <c r="M152" s="38" t="str">
        <f>IF([1]totrevprm!O152="","",[1]totrevprm!O152)</f>
        <v>Yes</v>
      </c>
    </row>
    <row r="153" spans="1:13">
      <c r="A153" s="49" t="s">
        <v>15</v>
      </c>
      <c r="B153" s="46" t="s">
        <v>510</v>
      </c>
      <c r="C153" s="50"/>
      <c r="D153" s="47">
        <v>2020</v>
      </c>
      <c r="E153" s="56">
        <v>1153594184</v>
      </c>
      <c r="F153" s="56">
        <v>1363070249</v>
      </c>
      <c r="G153" s="56">
        <v>4370849038</v>
      </c>
      <c r="H153" s="65">
        <v>25546106</v>
      </c>
      <c r="I153" s="54">
        <f t="shared" si="3"/>
        <v>6913059577</v>
      </c>
      <c r="J153" s="56">
        <v>28619716</v>
      </c>
      <c r="K153" s="60" t="s">
        <v>738</v>
      </c>
      <c r="M153" s="38" t="str">
        <f>IF([1]totrevprm!O153="","",[1]totrevprm!O153)</f>
        <v/>
      </c>
    </row>
    <row r="154" spans="1:13">
      <c r="A154" s="49" t="s">
        <v>15</v>
      </c>
      <c r="B154" s="46" t="s">
        <v>510</v>
      </c>
      <c r="C154" s="50"/>
      <c r="D154" s="47">
        <v>2021</v>
      </c>
      <c r="E154" s="56">
        <v>1306137899</v>
      </c>
      <c r="F154" s="56">
        <v>1652091561</v>
      </c>
      <c r="G154" s="56">
        <v>4732107989</v>
      </c>
      <c r="H154" s="65">
        <v>19759856</v>
      </c>
      <c r="I154" s="54">
        <f t="shared" si="3"/>
        <v>7710097305</v>
      </c>
      <c r="J154" s="53">
        <v>0</v>
      </c>
      <c r="K154" s="60" t="s">
        <v>739</v>
      </c>
      <c r="M154" s="38"/>
    </row>
    <row r="155" spans="1:13">
      <c r="A155" s="49" t="s">
        <v>15</v>
      </c>
      <c r="B155" s="46" t="s">
        <v>510</v>
      </c>
      <c r="C155" s="50"/>
      <c r="D155" s="47">
        <v>2022</v>
      </c>
      <c r="E155" s="56">
        <v>1221248707</v>
      </c>
      <c r="F155" s="56">
        <v>1907133797</v>
      </c>
      <c r="G155" s="56">
        <v>4951491373</v>
      </c>
      <c r="H155" s="56">
        <v>10366591</v>
      </c>
      <c r="I155" s="54">
        <f t="shared" si="3"/>
        <v>8090240468</v>
      </c>
      <c r="J155" s="53">
        <v>0</v>
      </c>
      <c r="K155" s="60" t="s">
        <v>739</v>
      </c>
      <c r="M155" s="38"/>
    </row>
    <row r="156" spans="1:13">
      <c r="A156" s="49" t="s">
        <v>15</v>
      </c>
      <c r="B156" s="46" t="s">
        <v>510</v>
      </c>
      <c r="C156" s="50"/>
      <c r="D156" s="51">
        <v>2023</v>
      </c>
      <c r="E156" s="56">
        <v>1257548384</v>
      </c>
      <c r="F156" s="56">
        <v>2183939769.9383001</v>
      </c>
      <c r="G156" s="56">
        <v>4984720734.3099995</v>
      </c>
      <c r="H156" s="56">
        <v>20255457</v>
      </c>
      <c r="I156" s="54">
        <f t="shared" si="3"/>
        <v>8446464345.2482996</v>
      </c>
      <c r="J156" s="52">
        <v>0</v>
      </c>
      <c r="K156" s="60" t="s">
        <v>739</v>
      </c>
      <c r="M156" s="38"/>
    </row>
    <row r="157" spans="1:13">
      <c r="A157" s="49" t="s">
        <v>15</v>
      </c>
      <c r="B157" s="46" t="s">
        <v>510</v>
      </c>
      <c r="C157" s="50"/>
      <c r="D157" s="57">
        <v>2024</v>
      </c>
      <c r="E157" s="52">
        <v>1318972539.29</v>
      </c>
      <c r="F157" s="52">
        <v>2475422048.5999999</v>
      </c>
      <c r="G157" s="52">
        <v>5077524842.0799999</v>
      </c>
      <c r="H157" s="52">
        <v>12515574.880000001</v>
      </c>
      <c r="I157" s="54">
        <f t="shared" si="3"/>
        <v>8884435004.8499985</v>
      </c>
      <c r="J157" s="56">
        <v>0</v>
      </c>
      <c r="K157" s="60" t="s">
        <v>739</v>
      </c>
      <c r="M157" s="38"/>
    </row>
    <row r="158" spans="1:13">
      <c r="A158" s="49"/>
      <c r="B158" s="50"/>
      <c r="C158" s="50"/>
      <c r="E158" s="53"/>
      <c r="F158" s="53"/>
      <c r="G158" s="53"/>
      <c r="H158" s="53"/>
      <c r="I158" s="54"/>
      <c r="J158" s="52"/>
      <c r="M158" s="38" t="str">
        <f>IF([1]totrevprm!O158="","",[1]totrevprm!O158)</f>
        <v/>
      </c>
    </row>
    <row r="159" spans="1:13">
      <c r="A159" s="49" t="s">
        <v>16</v>
      </c>
      <c r="B159" s="46" t="s">
        <v>275</v>
      </c>
      <c r="C159" s="50" t="s">
        <v>731</v>
      </c>
      <c r="D159" s="51">
        <v>1988</v>
      </c>
      <c r="E159" s="53">
        <v>5869859995</v>
      </c>
      <c r="F159" s="53">
        <v>5645144027</v>
      </c>
      <c r="G159" s="53">
        <v>6136765670</v>
      </c>
      <c r="H159" s="53">
        <v>0</v>
      </c>
      <c r="I159" s="54">
        <f t="shared" si="3"/>
        <v>17651769692</v>
      </c>
      <c r="J159" s="52">
        <v>0</v>
      </c>
      <c r="M159" s="38" t="str">
        <f>IF([1]totrevprm!O159="","",[1]totrevprm!O159)</f>
        <v/>
      </c>
    </row>
    <row r="160" spans="1:13">
      <c r="A160" s="49" t="s">
        <v>16</v>
      </c>
      <c r="B160" s="46" t="s">
        <v>275</v>
      </c>
      <c r="C160" s="50" t="s">
        <v>732</v>
      </c>
      <c r="D160" s="51">
        <v>1989</v>
      </c>
      <c r="E160" s="53">
        <v>5571024545</v>
      </c>
      <c r="F160" s="53">
        <v>6375337792</v>
      </c>
      <c r="G160" s="53">
        <v>6799488909</v>
      </c>
      <c r="H160" s="53">
        <v>0</v>
      </c>
      <c r="I160" s="54">
        <f t="shared" si="3"/>
        <v>18745851246</v>
      </c>
      <c r="J160" s="52">
        <v>0</v>
      </c>
      <c r="M160" s="38" t="str">
        <f>IF([1]totrevprm!O160="","",[1]totrevprm!O160)</f>
        <v/>
      </c>
    </row>
    <row r="161" spans="1:13">
      <c r="A161" s="49" t="s">
        <v>16</v>
      </c>
      <c r="B161" s="46" t="s">
        <v>275</v>
      </c>
      <c r="C161" s="50" t="s">
        <v>732</v>
      </c>
      <c r="D161" s="51">
        <v>1990</v>
      </c>
      <c r="E161" s="53">
        <v>6060907103</v>
      </c>
      <c r="F161" s="53">
        <v>7306550304.7200003</v>
      </c>
      <c r="G161" s="53">
        <v>6895250045</v>
      </c>
      <c r="H161" s="53">
        <v>0</v>
      </c>
      <c r="I161" s="54">
        <f t="shared" si="3"/>
        <v>20262707452.720001</v>
      </c>
      <c r="J161" s="52">
        <v>0</v>
      </c>
      <c r="M161" s="38" t="str">
        <f>IF([1]totrevprm!O161="","",[1]totrevprm!O161)</f>
        <v/>
      </c>
    </row>
    <row r="162" spans="1:13">
      <c r="A162" s="49" t="s">
        <v>16</v>
      </c>
      <c r="B162" s="46" t="s">
        <v>275</v>
      </c>
      <c r="C162" s="50" t="s">
        <v>732</v>
      </c>
      <c r="D162" s="51">
        <v>1991</v>
      </c>
      <c r="E162" s="53">
        <v>6457630456</v>
      </c>
      <c r="F162" s="53">
        <v>6896588577</v>
      </c>
      <c r="G162" s="53">
        <v>6959707145</v>
      </c>
      <c r="H162" s="53">
        <v>0</v>
      </c>
      <c r="I162" s="54">
        <f t="shared" si="3"/>
        <v>20313926178</v>
      </c>
      <c r="J162" s="52">
        <v>0</v>
      </c>
      <c r="M162" s="38" t="str">
        <f>IF([1]totrevprm!O162="","",[1]totrevprm!O162)</f>
        <v/>
      </c>
    </row>
    <row r="163" spans="1:13">
      <c r="A163" s="49" t="s">
        <v>16</v>
      </c>
      <c r="B163" s="46" t="s">
        <v>275</v>
      </c>
      <c r="C163" s="50" t="s">
        <v>732</v>
      </c>
      <c r="D163" s="51">
        <v>1992</v>
      </c>
      <c r="E163" s="53">
        <v>6725017888</v>
      </c>
      <c r="F163" s="53">
        <v>6447826507.6800003</v>
      </c>
      <c r="G163" s="53">
        <v>6809883831</v>
      </c>
      <c r="H163" s="53">
        <v>0</v>
      </c>
      <c r="I163" s="54">
        <f t="shared" si="3"/>
        <v>19982728226.68</v>
      </c>
      <c r="J163" s="52">
        <v>0</v>
      </c>
      <c r="M163" s="38" t="str">
        <f>IF([1]totrevprm!O163="","",[1]totrevprm!O163)</f>
        <v/>
      </c>
    </row>
    <row r="164" spans="1:13">
      <c r="A164" s="49" t="s">
        <v>16</v>
      </c>
      <c r="B164" s="46" t="s">
        <v>275</v>
      </c>
      <c r="C164" s="50" t="s">
        <v>732</v>
      </c>
      <c r="D164" s="51">
        <v>1993</v>
      </c>
      <c r="E164" s="53">
        <v>6899295248</v>
      </c>
      <c r="F164" s="53">
        <v>6183736809</v>
      </c>
      <c r="G164" s="53">
        <v>6660249179</v>
      </c>
      <c r="H164" s="53">
        <v>0</v>
      </c>
      <c r="I164" s="54">
        <f t="shared" si="3"/>
        <v>19743281236</v>
      </c>
      <c r="J164" s="52">
        <v>0</v>
      </c>
      <c r="M164" s="38" t="str">
        <f>IF([1]totrevprm!O164="","",[1]totrevprm!O164)</f>
        <v/>
      </c>
    </row>
    <row r="165" spans="1:13">
      <c r="A165" s="49" t="s">
        <v>16</v>
      </c>
      <c r="B165" s="46" t="s">
        <v>275</v>
      </c>
      <c r="C165" s="50" t="s">
        <v>732</v>
      </c>
      <c r="D165" s="51">
        <v>1994</v>
      </c>
      <c r="E165" s="53">
        <v>7376932083</v>
      </c>
      <c r="F165" s="53">
        <v>9485826336</v>
      </c>
      <c r="G165" s="53">
        <v>6316933092</v>
      </c>
      <c r="H165" s="53">
        <v>0</v>
      </c>
      <c r="I165" s="54">
        <f t="shared" si="3"/>
        <v>23179691511</v>
      </c>
      <c r="J165" s="52">
        <v>0</v>
      </c>
      <c r="M165" s="38" t="str">
        <f>IF([1]totrevprm!O165="","",[1]totrevprm!O165)</f>
        <v/>
      </c>
    </row>
    <row r="166" spans="1:13">
      <c r="A166" s="49" t="s">
        <v>16</v>
      </c>
      <c r="B166" s="46" t="s">
        <v>275</v>
      </c>
      <c r="C166" s="50" t="s">
        <v>732</v>
      </c>
      <c r="D166" s="51">
        <v>1995</v>
      </c>
      <c r="E166" s="53">
        <v>7579574085</v>
      </c>
      <c r="F166" s="53">
        <v>8704477714</v>
      </c>
      <c r="G166" s="53">
        <v>6233903746</v>
      </c>
      <c r="H166" s="53">
        <v>0</v>
      </c>
      <c r="I166" s="54">
        <f t="shared" si="3"/>
        <v>22517955545</v>
      </c>
      <c r="J166" s="52">
        <v>0</v>
      </c>
      <c r="M166" s="38" t="str">
        <f>IF([1]totrevprm!O166="","",[1]totrevprm!O166)</f>
        <v/>
      </c>
    </row>
    <row r="167" spans="1:13">
      <c r="A167" s="49" t="s">
        <v>16</v>
      </c>
      <c r="B167" s="46" t="s">
        <v>275</v>
      </c>
      <c r="C167" s="50" t="s">
        <v>732</v>
      </c>
      <c r="D167" s="51">
        <v>1996</v>
      </c>
      <c r="E167" s="53">
        <v>7616946775</v>
      </c>
      <c r="F167" s="53">
        <v>7718980446</v>
      </c>
      <c r="G167" s="53">
        <v>6374956738</v>
      </c>
      <c r="H167" s="53">
        <v>0</v>
      </c>
      <c r="I167" s="54">
        <f t="shared" si="3"/>
        <v>21710883959</v>
      </c>
      <c r="J167" s="52">
        <v>0</v>
      </c>
      <c r="M167" s="38" t="str">
        <f>IF([1]totrevprm!O167="","",[1]totrevprm!O167)</f>
        <v/>
      </c>
    </row>
    <row r="168" spans="1:13">
      <c r="A168" s="49" t="s">
        <v>16</v>
      </c>
      <c r="B168" s="46" t="s">
        <v>275</v>
      </c>
      <c r="C168" s="50" t="s">
        <v>732</v>
      </c>
      <c r="D168" s="51">
        <v>1997</v>
      </c>
      <c r="E168" s="53">
        <v>7800798993</v>
      </c>
      <c r="F168" s="53">
        <v>7481076398</v>
      </c>
      <c r="G168" s="53">
        <v>6528123426</v>
      </c>
      <c r="H168" s="53">
        <v>0</v>
      </c>
      <c r="I168" s="54">
        <f t="shared" si="3"/>
        <v>21809998817</v>
      </c>
      <c r="J168" s="52">
        <v>0</v>
      </c>
      <c r="M168" s="38" t="str">
        <f>IF([1]totrevprm!O168="","",[1]totrevprm!O168)</f>
        <v/>
      </c>
    </row>
    <row r="169" spans="1:13">
      <c r="A169" s="49" t="s">
        <v>16</v>
      </c>
      <c r="B169" s="46" t="s">
        <v>275</v>
      </c>
      <c r="C169" s="50" t="s">
        <v>732</v>
      </c>
      <c r="D169" s="51">
        <v>1998</v>
      </c>
      <c r="E169" s="53">
        <v>7766804281</v>
      </c>
      <c r="F169" s="53">
        <v>7004696085</v>
      </c>
      <c r="G169" s="53">
        <v>6543001806</v>
      </c>
      <c r="H169" s="53">
        <v>0</v>
      </c>
      <c r="I169" s="54">
        <f t="shared" si="3"/>
        <v>21314502172</v>
      </c>
      <c r="J169" s="52">
        <v>0</v>
      </c>
      <c r="M169" s="38" t="str">
        <f>IF([1]totrevprm!O169="","",[1]totrevprm!O169)</f>
        <v/>
      </c>
    </row>
    <row r="170" spans="1:13">
      <c r="A170" s="49" t="s">
        <v>16</v>
      </c>
      <c r="B170" s="46" t="s">
        <v>275</v>
      </c>
      <c r="C170" s="50" t="s">
        <v>747</v>
      </c>
      <c r="D170" s="51">
        <v>1999</v>
      </c>
      <c r="E170" s="53">
        <v>7885292351</v>
      </c>
      <c r="F170" s="53">
        <v>9793355153</v>
      </c>
      <c r="G170" s="53">
        <v>6990754845</v>
      </c>
      <c r="H170" s="53">
        <v>0</v>
      </c>
      <c r="I170" s="54">
        <f t="shared" si="3"/>
        <v>24669402349</v>
      </c>
      <c r="J170" s="52">
        <v>0</v>
      </c>
      <c r="M170" s="38" t="str">
        <f>IF([1]totrevprm!O170="","",[1]totrevprm!O170)</f>
        <v/>
      </c>
    </row>
    <row r="171" spans="1:13">
      <c r="A171" s="49" t="s">
        <v>16</v>
      </c>
      <c r="B171" s="46" t="s">
        <v>275</v>
      </c>
      <c r="C171" s="50" t="s">
        <v>732</v>
      </c>
      <c r="D171" s="51">
        <v>2000</v>
      </c>
      <c r="E171" s="53">
        <v>8863491410</v>
      </c>
      <c r="F171" s="53">
        <v>10223112717</v>
      </c>
      <c r="G171" s="53">
        <v>7479315118</v>
      </c>
      <c r="H171" s="53">
        <v>0</v>
      </c>
      <c r="I171" s="54">
        <f t="shared" si="3"/>
        <v>26565919245</v>
      </c>
      <c r="J171" s="52">
        <v>0</v>
      </c>
      <c r="M171" s="38" t="str">
        <f>IF([1]totrevprm!O171="","",[1]totrevprm!O171)</f>
        <v/>
      </c>
    </row>
    <row r="172" spans="1:13">
      <c r="A172" s="49" t="s">
        <v>16</v>
      </c>
      <c r="B172" s="46" t="s">
        <v>275</v>
      </c>
      <c r="C172" s="50" t="s">
        <v>732</v>
      </c>
      <c r="D172" s="51">
        <v>2001</v>
      </c>
      <c r="E172" s="53">
        <v>8612598599</v>
      </c>
      <c r="F172" s="53">
        <v>14092356822</v>
      </c>
      <c r="G172" s="53">
        <v>8100626986</v>
      </c>
      <c r="H172" s="53">
        <v>0</v>
      </c>
      <c r="I172" s="54">
        <f t="shared" si="3"/>
        <v>30805582407</v>
      </c>
      <c r="J172" s="52">
        <v>0</v>
      </c>
      <c r="M172" s="38" t="str">
        <f>IF([1]totrevprm!O172="","",[1]totrevprm!O172)</f>
        <v/>
      </c>
    </row>
    <row r="173" spans="1:13">
      <c r="A173" s="49" t="s">
        <v>16</v>
      </c>
      <c r="B173" s="46" t="s">
        <v>275</v>
      </c>
      <c r="C173" s="50" t="s">
        <v>732</v>
      </c>
      <c r="D173" s="51">
        <v>2002</v>
      </c>
      <c r="E173" s="53">
        <v>9057974748</v>
      </c>
      <c r="F173" s="53">
        <v>18455328942</v>
      </c>
      <c r="G173" s="53">
        <v>8589681968</v>
      </c>
      <c r="H173" s="53">
        <v>0</v>
      </c>
      <c r="I173" s="54">
        <f t="shared" si="3"/>
        <v>36102985658</v>
      </c>
      <c r="J173" s="52">
        <v>0</v>
      </c>
      <c r="M173" s="38" t="str">
        <f>IF([1]totrevprm!O173="","",[1]totrevprm!O173)</f>
        <v/>
      </c>
    </row>
    <row r="174" spans="1:13">
      <c r="A174" s="49" t="s">
        <v>16</v>
      </c>
      <c r="B174" s="46" t="s">
        <v>275</v>
      </c>
      <c r="C174" s="50" t="s">
        <v>732</v>
      </c>
      <c r="D174" s="51">
        <v>2003</v>
      </c>
      <c r="E174" s="55">
        <v>9556919352</v>
      </c>
      <c r="F174" s="55">
        <v>15880841833</v>
      </c>
      <c r="G174" s="55">
        <v>9223789031</v>
      </c>
      <c r="H174" s="56">
        <v>0</v>
      </c>
      <c r="I174" s="54">
        <f t="shared" si="3"/>
        <v>34661550216</v>
      </c>
      <c r="J174" s="52">
        <v>0</v>
      </c>
      <c r="M174" s="38" t="str">
        <f>IF([1]totrevprm!O174="","",[1]totrevprm!O174)</f>
        <v/>
      </c>
    </row>
    <row r="175" spans="1:13">
      <c r="A175" s="49" t="s">
        <v>16</v>
      </c>
      <c r="B175" s="46" t="s">
        <v>275</v>
      </c>
      <c r="C175" s="50" t="s">
        <v>732</v>
      </c>
      <c r="D175" s="51">
        <v>2004</v>
      </c>
      <c r="E175" s="55">
        <v>10265295621</v>
      </c>
      <c r="F175" s="55">
        <v>14543251286</v>
      </c>
      <c r="G175" s="55">
        <v>10073894659</v>
      </c>
      <c r="H175" s="56">
        <v>0</v>
      </c>
      <c r="I175" s="54">
        <f t="shared" si="3"/>
        <v>34882441566</v>
      </c>
      <c r="J175" s="52">
        <v>0</v>
      </c>
      <c r="M175" s="38" t="str">
        <f>IF([1]totrevprm!O175="","",[1]totrevprm!O175)</f>
        <v/>
      </c>
    </row>
    <row r="176" spans="1:13">
      <c r="A176" s="49" t="s">
        <v>16</v>
      </c>
      <c r="B176" s="46" t="s">
        <v>275</v>
      </c>
      <c r="C176" s="50"/>
      <c r="D176" s="51">
        <v>2005</v>
      </c>
      <c r="E176" s="55">
        <v>10517958453</v>
      </c>
      <c r="F176" s="55">
        <v>13186564470</v>
      </c>
      <c r="G176" s="55">
        <v>11094211901.290001</v>
      </c>
      <c r="H176" s="56">
        <v>0</v>
      </c>
      <c r="I176" s="54">
        <f t="shared" ref="I176:I239" si="4">SUM(E176:H176)</f>
        <v>34798734824.290001</v>
      </c>
      <c r="J176" s="52">
        <v>0</v>
      </c>
      <c r="M176" s="38" t="str">
        <f>IF([1]totrevprm!O176="","",[1]totrevprm!O176)</f>
        <v/>
      </c>
    </row>
    <row r="177" spans="1:13">
      <c r="A177" s="49" t="s">
        <v>16</v>
      </c>
      <c r="B177" s="46" t="s">
        <v>275</v>
      </c>
      <c r="C177" s="50"/>
      <c r="D177" s="51">
        <v>2006</v>
      </c>
      <c r="E177" s="56">
        <v>11359413366</v>
      </c>
      <c r="F177" s="56">
        <v>16932938392</v>
      </c>
      <c r="G177" s="56">
        <v>13146775669</v>
      </c>
      <c r="H177" s="56">
        <v>0</v>
      </c>
      <c r="I177" s="54">
        <f t="shared" si="4"/>
        <v>41439127427</v>
      </c>
      <c r="J177" s="52">
        <v>0</v>
      </c>
      <c r="M177" s="38" t="str">
        <f>IF([1]totrevprm!O177="","",[1]totrevprm!O177)</f>
        <v/>
      </c>
    </row>
    <row r="178" spans="1:13">
      <c r="A178" s="49" t="s">
        <v>16</v>
      </c>
      <c r="B178" s="46" t="s">
        <v>275</v>
      </c>
      <c r="C178" s="50"/>
      <c r="D178" s="51">
        <v>2007</v>
      </c>
      <c r="E178" s="56">
        <v>11808943698</v>
      </c>
      <c r="F178" s="56">
        <v>14644539021</v>
      </c>
      <c r="G178" s="56">
        <v>14751063188</v>
      </c>
      <c r="H178" s="56">
        <v>0</v>
      </c>
      <c r="I178" s="54">
        <f t="shared" si="4"/>
        <v>41204545907</v>
      </c>
      <c r="J178" s="52">
        <v>0</v>
      </c>
      <c r="M178" s="38" t="str">
        <f>IF([1]totrevprm!O178="","",[1]totrevprm!O178)</f>
        <v/>
      </c>
    </row>
    <row r="179" spans="1:13">
      <c r="A179" s="49" t="s">
        <v>16</v>
      </c>
      <c r="B179" s="46" t="s">
        <v>275</v>
      </c>
      <c r="C179" s="50"/>
      <c r="D179" s="51">
        <v>2008</v>
      </c>
      <c r="E179" s="56">
        <v>12228474409</v>
      </c>
      <c r="F179" s="56">
        <v>18955401486</v>
      </c>
      <c r="G179" s="56">
        <v>16184598925</v>
      </c>
      <c r="H179" s="56">
        <v>0</v>
      </c>
      <c r="I179" s="54">
        <f t="shared" si="4"/>
        <v>47368474820</v>
      </c>
      <c r="J179" s="52">
        <v>0</v>
      </c>
      <c r="M179" s="38" t="str">
        <f>IF([1]totrevprm!O179="","",[1]totrevprm!O179)</f>
        <v/>
      </c>
    </row>
    <row r="180" spans="1:13">
      <c r="A180" s="49" t="s">
        <v>16</v>
      </c>
      <c r="B180" s="46" t="s">
        <v>275</v>
      </c>
      <c r="C180" s="50"/>
      <c r="D180" s="51">
        <v>2009</v>
      </c>
      <c r="E180" s="56">
        <v>12567430402</v>
      </c>
      <c r="F180" s="56">
        <v>18152537452</v>
      </c>
      <c r="G180" s="56">
        <v>17576967802</v>
      </c>
      <c r="H180" s="56">
        <v>0</v>
      </c>
      <c r="I180" s="54">
        <f t="shared" si="4"/>
        <v>48296935656</v>
      </c>
      <c r="J180" s="52">
        <v>0</v>
      </c>
      <c r="M180" s="38" t="str">
        <f>IF([1]totrevprm!O180="","",[1]totrevprm!O180)</f>
        <v/>
      </c>
    </row>
    <row r="181" spans="1:13">
      <c r="A181" s="49" t="s">
        <v>16</v>
      </c>
      <c r="B181" s="46" t="s">
        <v>275</v>
      </c>
      <c r="C181" s="50"/>
      <c r="D181" s="51">
        <v>2010</v>
      </c>
      <c r="E181" s="56">
        <v>13286970914</v>
      </c>
      <c r="F181" s="56">
        <v>14301467557</v>
      </c>
      <c r="G181" s="56">
        <v>17482654368</v>
      </c>
      <c r="H181" s="56">
        <v>0</v>
      </c>
      <c r="I181" s="54">
        <f t="shared" si="4"/>
        <v>45071092839</v>
      </c>
      <c r="J181" s="52">
        <v>0</v>
      </c>
      <c r="M181" s="38" t="str">
        <f>IF([1]totrevprm!O181="","",[1]totrevprm!O181)</f>
        <v/>
      </c>
    </row>
    <row r="182" spans="1:13">
      <c r="A182" s="49" t="s">
        <v>16</v>
      </c>
      <c r="B182" s="46" t="s">
        <v>275</v>
      </c>
      <c r="C182" s="50"/>
      <c r="D182" s="51">
        <v>2011</v>
      </c>
      <c r="E182" s="56">
        <v>13550580847</v>
      </c>
      <c r="F182" s="56">
        <v>13874371219</v>
      </c>
      <c r="G182" s="56">
        <v>19045939300.830002</v>
      </c>
      <c r="H182" s="56">
        <v>0</v>
      </c>
      <c r="I182" s="54">
        <f t="shared" si="4"/>
        <v>46470891366.830002</v>
      </c>
      <c r="J182" s="52">
        <v>0</v>
      </c>
      <c r="M182" s="38" t="str">
        <f>IF([1]totrevprm!O182="","",[1]totrevprm!O182)</f>
        <v/>
      </c>
    </row>
    <row r="183" spans="1:13">
      <c r="A183" s="49" t="s">
        <v>16</v>
      </c>
      <c r="B183" s="46" t="s">
        <v>275</v>
      </c>
      <c r="C183" s="50"/>
      <c r="D183" s="51">
        <v>2012</v>
      </c>
      <c r="E183" s="56">
        <v>14090324708</v>
      </c>
      <c r="F183" s="56">
        <v>13454101251</v>
      </c>
      <c r="G183" s="56">
        <v>18147485702</v>
      </c>
      <c r="H183" s="56">
        <v>0</v>
      </c>
      <c r="I183" s="54">
        <f t="shared" si="4"/>
        <v>45691911661</v>
      </c>
      <c r="J183" s="52">
        <v>0</v>
      </c>
      <c r="M183" s="38" t="str">
        <f>IF([1]totrevprm!O183="","",[1]totrevprm!O183)</f>
        <v/>
      </c>
    </row>
    <row r="184" spans="1:13">
      <c r="A184" s="49" t="s">
        <v>16</v>
      </c>
      <c r="B184" s="46" t="s">
        <v>275</v>
      </c>
      <c r="C184" s="50"/>
      <c r="D184" s="51">
        <v>2013</v>
      </c>
      <c r="E184" s="56">
        <v>14166836636</v>
      </c>
      <c r="F184" s="56">
        <v>13273178082</v>
      </c>
      <c r="G184" s="56">
        <v>18630261988</v>
      </c>
      <c r="H184" s="56">
        <v>0</v>
      </c>
      <c r="I184" s="54">
        <f t="shared" si="4"/>
        <v>46070276706</v>
      </c>
      <c r="J184" s="52">
        <v>0</v>
      </c>
      <c r="M184" s="38" t="str">
        <f>IF([1]totrevprm!O184="","",[1]totrevprm!O184)</f>
        <v/>
      </c>
    </row>
    <row r="185" spans="1:13">
      <c r="A185" s="49" t="s">
        <v>16</v>
      </c>
      <c r="B185" s="46" t="s">
        <v>275</v>
      </c>
      <c r="C185" s="50"/>
      <c r="D185" s="47">
        <v>2014</v>
      </c>
      <c r="E185" s="56">
        <v>14698461843</v>
      </c>
      <c r="F185" s="56">
        <v>14598030629</v>
      </c>
      <c r="G185" s="56">
        <v>17255933737.619999</v>
      </c>
      <c r="H185" s="56">
        <v>0</v>
      </c>
      <c r="I185" s="54">
        <f t="shared" si="4"/>
        <v>46552426209.619995</v>
      </c>
      <c r="J185" s="52">
        <v>0</v>
      </c>
      <c r="M185" s="38" t="str">
        <f>IF([1]totrevprm!O185="","",[1]totrevprm!O185)</f>
        <v/>
      </c>
    </row>
    <row r="186" spans="1:13">
      <c r="A186" s="49" t="s">
        <v>16</v>
      </c>
      <c r="B186" s="46" t="s">
        <v>275</v>
      </c>
      <c r="C186" s="50"/>
      <c r="D186" s="47">
        <v>2015</v>
      </c>
      <c r="E186" s="56">
        <v>15364452006</v>
      </c>
      <c r="F186" s="56">
        <v>16850529093</v>
      </c>
      <c r="G186" s="56">
        <v>16771195626</v>
      </c>
      <c r="H186" s="56">
        <v>0</v>
      </c>
      <c r="I186" s="54">
        <f t="shared" si="4"/>
        <v>48986176725</v>
      </c>
      <c r="J186" s="52">
        <v>0</v>
      </c>
      <c r="M186" s="38" t="str">
        <f>IF([1]totrevprm!O186="","",[1]totrevprm!O186)</f>
        <v/>
      </c>
    </row>
    <row r="187" spans="1:13">
      <c r="A187" s="49" t="s">
        <v>16</v>
      </c>
      <c r="B187" s="46" t="s">
        <v>275</v>
      </c>
      <c r="C187" s="50"/>
      <c r="D187" s="47">
        <v>2016</v>
      </c>
      <c r="E187" s="56">
        <v>15936331841</v>
      </c>
      <c r="F187" s="56">
        <v>19280691231</v>
      </c>
      <c r="G187" s="56">
        <v>14968585780</v>
      </c>
      <c r="H187" s="56">
        <v>0</v>
      </c>
      <c r="I187" s="54">
        <f t="shared" si="4"/>
        <v>50185608852</v>
      </c>
      <c r="J187" s="52">
        <v>0</v>
      </c>
      <c r="M187" s="38" t="str">
        <f>IF([1]totrevprm!O187="","",[1]totrevprm!O187)</f>
        <v/>
      </c>
    </row>
    <row r="188" spans="1:13">
      <c r="A188" s="49" t="s">
        <v>16</v>
      </c>
      <c r="B188" s="46" t="s">
        <v>275</v>
      </c>
      <c r="C188" s="50"/>
      <c r="D188" s="47">
        <v>2017</v>
      </c>
      <c r="E188" s="56">
        <v>16990289462</v>
      </c>
      <c r="F188" s="56">
        <v>17377000108</v>
      </c>
      <c r="G188" s="56">
        <v>15029057062.51</v>
      </c>
      <c r="H188" s="56">
        <v>0</v>
      </c>
      <c r="I188" s="54">
        <f t="shared" si="4"/>
        <v>49396346632.510002</v>
      </c>
      <c r="J188" s="52">
        <v>0</v>
      </c>
      <c r="M188" s="38" t="str">
        <f>IF([1]totrevprm!O188="","",[1]totrevprm!O188)</f>
        <v/>
      </c>
    </row>
    <row r="189" spans="1:13">
      <c r="A189" s="49" t="s">
        <v>16</v>
      </c>
      <c r="B189" s="46" t="s">
        <v>275</v>
      </c>
      <c r="C189" s="50"/>
      <c r="D189" s="47">
        <v>2018</v>
      </c>
      <c r="E189" s="56">
        <v>17457326757</v>
      </c>
      <c r="F189" s="56">
        <v>21626890122</v>
      </c>
      <c r="G189" s="56">
        <v>15216097330.08</v>
      </c>
      <c r="H189" s="56">
        <v>0</v>
      </c>
      <c r="I189" s="54">
        <f t="shared" si="4"/>
        <v>54300314209.080002</v>
      </c>
      <c r="J189" s="56">
        <v>0</v>
      </c>
      <c r="M189" s="38" t="str">
        <f>IF([1]totrevprm!O189="","",[1]totrevprm!O189)</f>
        <v/>
      </c>
    </row>
    <row r="190" spans="1:13">
      <c r="A190" s="49" t="s">
        <v>16</v>
      </c>
      <c r="B190" s="46" t="s">
        <v>275</v>
      </c>
      <c r="C190" s="50"/>
      <c r="D190" s="47">
        <v>2019</v>
      </c>
      <c r="E190" s="56">
        <v>18378700714</v>
      </c>
      <c r="F190" s="56">
        <v>22046286100</v>
      </c>
      <c r="G190" s="56">
        <v>15891889249.528099</v>
      </c>
      <c r="H190" s="56">
        <v>0</v>
      </c>
      <c r="I190" s="54">
        <f t="shared" si="4"/>
        <v>56316876063.528099</v>
      </c>
      <c r="J190" s="56">
        <v>0</v>
      </c>
      <c r="M190" s="38" t="str">
        <f>IF([1]totrevprm!O190="","",[1]totrevprm!O190)</f>
        <v/>
      </c>
    </row>
    <row r="191" spans="1:13">
      <c r="A191" s="49" t="s">
        <v>16</v>
      </c>
      <c r="B191" s="46" t="s">
        <v>275</v>
      </c>
      <c r="C191" s="50"/>
      <c r="D191" s="47">
        <v>2020</v>
      </c>
      <c r="E191" s="56">
        <v>18819853753</v>
      </c>
      <c r="F191" s="56">
        <v>21138053643</v>
      </c>
      <c r="G191" s="56">
        <v>15741208826</v>
      </c>
      <c r="H191" s="56">
        <v>0</v>
      </c>
      <c r="I191" s="54">
        <f t="shared" si="4"/>
        <v>55699116222</v>
      </c>
      <c r="J191" s="56">
        <v>0</v>
      </c>
      <c r="M191" s="38" t="str">
        <f>IF([1]totrevprm!O191="","",[1]totrevprm!O191)</f>
        <v/>
      </c>
    </row>
    <row r="192" spans="1:13">
      <c r="A192" s="49" t="s">
        <v>16</v>
      </c>
      <c r="B192" s="46" t="s">
        <v>275</v>
      </c>
      <c r="C192" s="50"/>
      <c r="D192" s="47">
        <v>2021</v>
      </c>
      <c r="E192" s="56">
        <v>19563309118</v>
      </c>
      <c r="F192" s="56">
        <v>21913182447</v>
      </c>
      <c r="G192" s="56">
        <v>14807704255.130001</v>
      </c>
      <c r="H192" s="56">
        <v>0</v>
      </c>
      <c r="I192" s="54">
        <f t="shared" si="4"/>
        <v>56284195820.130005</v>
      </c>
      <c r="J192" s="56">
        <v>0</v>
      </c>
      <c r="M192" s="38"/>
    </row>
    <row r="193" spans="1:13">
      <c r="A193" s="49" t="s">
        <v>16</v>
      </c>
      <c r="B193" s="46" t="s">
        <v>275</v>
      </c>
      <c r="C193" s="50"/>
      <c r="D193" s="47">
        <v>2022</v>
      </c>
      <c r="E193" s="56">
        <v>19928595911</v>
      </c>
      <c r="F193" s="56">
        <v>30903331237</v>
      </c>
      <c r="G193" s="56">
        <v>15728269911</v>
      </c>
      <c r="H193" s="56">
        <v>0</v>
      </c>
      <c r="I193" s="54">
        <f t="shared" si="4"/>
        <v>66560197059</v>
      </c>
      <c r="J193" s="56">
        <v>0</v>
      </c>
      <c r="M193" s="38"/>
    </row>
    <row r="194" spans="1:13">
      <c r="A194" s="49" t="s">
        <v>16</v>
      </c>
      <c r="B194" s="46" t="s">
        <v>275</v>
      </c>
      <c r="C194" s="50"/>
      <c r="D194" s="51">
        <v>2023</v>
      </c>
      <c r="E194" s="56">
        <v>20463437583</v>
      </c>
      <c r="F194" s="56">
        <v>39802045998.463699</v>
      </c>
      <c r="G194" s="56">
        <v>15845736875.74</v>
      </c>
      <c r="H194" s="56">
        <v>0</v>
      </c>
      <c r="I194" s="54">
        <f t="shared" si="4"/>
        <v>76111220457.203705</v>
      </c>
      <c r="J194" s="52">
        <v>0</v>
      </c>
      <c r="M194" s="38"/>
    </row>
    <row r="195" spans="1:13">
      <c r="A195" s="49" t="s">
        <v>16</v>
      </c>
      <c r="B195" s="46" t="s">
        <v>275</v>
      </c>
      <c r="C195" s="50"/>
      <c r="D195" s="57">
        <v>2024</v>
      </c>
      <c r="E195" s="52">
        <v>20625906427.119999</v>
      </c>
      <c r="F195" s="52">
        <v>45859970856.730003</v>
      </c>
      <c r="G195" s="52">
        <v>16638000949.389999</v>
      </c>
      <c r="H195" s="52">
        <v>0</v>
      </c>
      <c r="I195" s="54">
        <f t="shared" si="4"/>
        <v>83123878233.240005</v>
      </c>
      <c r="J195" s="56">
        <v>0</v>
      </c>
      <c r="M195" s="38"/>
    </row>
    <row r="196" spans="1:13">
      <c r="A196" s="49"/>
      <c r="B196" s="50"/>
      <c r="C196" s="50"/>
      <c r="E196" s="53"/>
      <c r="F196" s="53"/>
      <c r="G196" s="53"/>
      <c r="H196" s="53"/>
      <c r="I196" s="54"/>
      <c r="J196" s="52"/>
      <c r="M196" s="38"/>
    </row>
    <row r="197" spans="1:13">
      <c r="A197" s="49" t="s">
        <v>18</v>
      </c>
      <c r="B197" s="46" t="s">
        <v>252</v>
      </c>
      <c r="C197" s="50" t="s">
        <v>731</v>
      </c>
      <c r="D197" s="51">
        <v>1988</v>
      </c>
      <c r="E197" s="53">
        <v>828881751</v>
      </c>
      <c r="F197" s="53">
        <v>904720795</v>
      </c>
      <c r="G197" s="53">
        <v>722246214</v>
      </c>
      <c r="H197" s="53">
        <v>0</v>
      </c>
      <c r="I197" s="54">
        <f t="shared" si="4"/>
        <v>2455848760</v>
      </c>
      <c r="J197" s="52">
        <v>0</v>
      </c>
      <c r="M197" s="38" t="str">
        <f>IF([1]totrevprm!O197="","",[1]totrevprm!O197)</f>
        <v/>
      </c>
    </row>
    <row r="198" spans="1:13">
      <c r="A198" s="49" t="s">
        <v>18</v>
      </c>
      <c r="B198" s="46" t="s">
        <v>252</v>
      </c>
      <c r="C198" s="50" t="s">
        <v>732</v>
      </c>
      <c r="D198" s="51">
        <v>1989</v>
      </c>
      <c r="E198" s="53">
        <v>755347127</v>
      </c>
      <c r="F198" s="53">
        <v>830367259</v>
      </c>
      <c r="G198" s="53">
        <v>778209288</v>
      </c>
      <c r="H198" s="53">
        <v>0</v>
      </c>
      <c r="I198" s="54">
        <f t="shared" si="4"/>
        <v>2363923674</v>
      </c>
      <c r="J198" s="52">
        <v>0</v>
      </c>
      <c r="M198" s="38" t="str">
        <f>IF([1]totrevprm!O198="","",[1]totrevprm!O198)</f>
        <v/>
      </c>
    </row>
    <row r="199" spans="1:13">
      <c r="A199" s="49" t="s">
        <v>18</v>
      </c>
      <c r="B199" s="46" t="s">
        <v>252</v>
      </c>
      <c r="C199" s="50" t="s">
        <v>732</v>
      </c>
      <c r="D199" s="51">
        <v>1990</v>
      </c>
      <c r="E199" s="53">
        <v>780245914</v>
      </c>
      <c r="F199" s="53">
        <v>904046068.44000006</v>
      </c>
      <c r="G199" s="53">
        <v>829193863</v>
      </c>
      <c r="H199" s="53">
        <v>0</v>
      </c>
      <c r="I199" s="54">
        <f t="shared" si="4"/>
        <v>2513485845.4400001</v>
      </c>
      <c r="J199" s="52">
        <v>0</v>
      </c>
      <c r="M199" s="38" t="str">
        <f>IF([1]totrevprm!O199="","",[1]totrevprm!O199)</f>
        <v/>
      </c>
    </row>
    <row r="200" spans="1:13">
      <c r="A200" s="49" t="s">
        <v>18</v>
      </c>
      <c r="B200" s="46" t="s">
        <v>252</v>
      </c>
      <c r="C200" s="50" t="s">
        <v>732</v>
      </c>
      <c r="D200" s="51">
        <v>1991</v>
      </c>
      <c r="E200" s="53">
        <v>853159701</v>
      </c>
      <c r="F200" s="53">
        <v>972231813</v>
      </c>
      <c r="G200" s="53">
        <v>890312886</v>
      </c>
      <c r="H200" s="53">
        <v>0</v>
      </c>
      <c r="I200" s="54">
        <f t="shared" si="4"/>
        <v>2715704400</v>
      </c>
      <c r="J200" s="52">
        <v>0</v>
      </c>
      <c r="M200" s="38" t="str">
        <f>IF([1]totrevprm!O200="","",[1]totrevprm!O200)</f>
        <v/>
      </c>
    </row>
    <row r="201" spans="1:13">
      <c r="A201" s="49" t="s">
        <v>18</v>
      </c>
      <c r="B201" s="46" t="s">
        <v>252</v>
      </c>
      <c r="C201" s="50" t="s">
        <v>732</v>
      </c>
      <c r="D201" s="51">
        <v>1992</v>
      </c>
      <c r="E201" s="53">
        <v>865720501</v>
      </c>
      <c r="F201" s="53">
        <v>838610367.88</v>
      </c>
      <c r="G201" s="53">
        <v>934379767</v>
      </c>
      <c r="H201" s="53">
        <v>0</v>
      </c>
      <c r="I201" s="54">
        <f t="shared" si="4"/>
        <v>2638710635.8800001</v>
      </c>
      <c r="J201" s="52">
        <v>0</v>
      </c>
      <c r="M201" s="38" t="str">
        <f>IF([1]totrevprm!O201="","",[1]totrevprm!O201)</f>
        <v/>
      </c>
    </row>
    <row r="202" spans="1:13">
      <c r="A202" s="49" t="s">
        <v>18</v>
      </c>
      <c r="B202" s="46" t="s">
        <v>252</v>
      </c>
      <c r="C202" s="50" t="s">
        <v>732</v>
      </c>
      <c r="D202" s="51">
        <v>1993</v>
      </c>
      <c r="E202" s="53">
        <v>963784454</v>
      </c>
      <c r="F202" s="53">
        <v>687758554</v>
      </c>
      <c r="G202" s="53">
        <v>1011110506</v>
      </c>
      <c r="H202" s="53">
        <v>0</v>
      </c>
      <c r="I202" s="54">
        <f t="shared" si="4"/>
        <v>2662653514</v>
      </c>
      <c r="J202" s="52">
        <v>0</v>
      </c>
      <c r="M202" s="38" t="str">
        <f>IF([1]totrevprm!O202="","",[1]totrevprm!O202)</f>
        <v/>
      </c>
    </row>
    <row r="203" spans="1:13">
      <c r="A203" s="49" t="s">
        <v>18</v>
      </c>
      <c r="B203" s="46" t="s">
        <v>252</v>
      </c>
      <c r="C203" s="50" t="s">
        <v>732</v>
      </c>
      <c r="D203" s="51">
        <v>1994</v>
      </c>
      <c r="E203" s="53">
        <v>1030999407</v>
      </c>
      <c r="F203" s="53">
        <v>895579411</v>
      </c>
      <c r="G203" s="53">
        <v>1063105936</v>
      </c>
      <c r="H203" s="53">
        <v>0</v>
      </c>
      <c r="I203" s="54">
        <f t="shared" si="4"/>
        <v>2989684754</v>
      </c>
      <c r="J203" s="52">
        <v>0</v>
      </c>
      <c r="M203" s="38" t="str">
        <f>IF([1]totrevprm!O203="","",[1]totrevprm!O203)</f>
        <v/>
      </c>
    </row>
    <row r="204" spans="1:13">
      <c r="A204" s="49" t="s">
        <v>18</v>
      </c>
      <c r="B204" s="46" t="s">
        <v>252</v>
      </c>
      <c r="C204" s="50" t="s">
        <v>732</v>
      </c>
      <c r="D204" s="51">
        <v>1995</v>
      </c>
      <c r="E204" s="53">
        <v>1105172733</v>
      </c>
      <c r="F204" s="53">
        <v>988485271</v>
      </c>
      <c r="G204" s="53">
        <v>1157687855</v>
      </c>
      <c r="H204" s="53">
        <v>0</v>
      </c>
      <c r="I204" s="54">
        <f t="shared" si="4"/>
        <v>3251345859</v>
      </c>
      <c r="J204" s="52">
        <v>0</v>
      </c>
      <c r="M204" s="38" t="str">
        <f>IF([1]totrevprm!O204="","",[1]totrevprm!O204)</f>
        <v/>
      </c>
    </row>
    <row r="205" spans="1:13">
      <c r="A205" s="49" t="s">
        <v>18</v>
      </c>
      <c r="B205" s="46" t="s">
        <v>252</v>
      </c>
      <c r="C205" s="50" t="s">
        <v>732</v>
      </c>
      <c r="D205" s="51">
        <v>1996</v>
      </c>
      <c r="E205" s="53">
        <v>1140336981</v>
      </c>
      <c r="F205" s="53">
        <v>788299041</v>
      </c>
      <c r="G205" s="53">
        <v>1223491697</v>
      </c>
      <c r="H205" s="53">
        <v>0</v>
      </c>
      <c r="I205" s="54">
        <f t="shared" si="4"/>
        <v>3152127719</v>
      </c>
      <c r="J205" s="52">
        <v>0</v>
      </c>
      <c r="M205" s="38" t="str">
        <f>IF([1]totrevprm!O205="","",[1]totrevprm!O205)</f>
        <v/>
      </c>
    </row>
    <row r="206" spans="1:13">
      <c r="A206" s="49" t="s">
        <v>18</v>
      </c>
      <c r="B206" s="46" t="s">
        <v>252</v>
      </c>
      <c r="C206" s="50" t="s">
        <v>732</v>
      </c>
      <c r="D206" s="51">
        <v>1997</v>
      </c>
      <c r="E206" s="53">
        <v>1161040457</v>
      </c>
      <c r="F206" s="53">
        <v>901641637</v>
      </c>
      <c r="G206" s="53">
        <v>1249027863</v>
      </c>
      <c r="H206" s="53">
        <v>0</v>
      </c>
      <c r="I206" s="54">
        <f t="shared" si="4"/>
        <v>3311709957</v>
      </c>
      <c r="J206" s="52">
        <v>0</v>
      </c>
      <c r="M206" s="38" t="str">
        <f>IF([1]totrevprm!O206="","",[1]totrevprm!O206)</f>
        <v/>
      </c>
    </row>
    <row r="207" spans="1:13">
      <c r="A207" s="49" t="s">
        <v>18</v>
      </c>
      <c r="B207" s="46" t="s">
        <v>252</v>
      </c>
      <c r="C207" s="50" t="s">
        <v>732</v>
      </c>
      <c r="D207" s="51">
        <v>1998</v>
      </c>
      <c r="E207" s="53">
        <v>1187254176</v>
      </c>
      <c r="F207" s="53">
        <v>1117339967</v>
      </c>
      <c r="G207" s="53">
        <v>1284019308</v>
      </c>
      <c r="H207" s="53">
        <v>0</v>
      </c>
      <c r="I207" s="54">
        <f t="shared" si="4"/>
        <v>3588613451</v>
      </c>
      <c r="J207" s="52">
        <v>0</v>
      </c>
      <c r="M207" s="38" t="str">
        <f>IF([1]totrevprm!O207="","",[1]totrevprm!O207)</f>
        <v/>
      </c>
    </row>
    <row r="208" spans="1:13">
      <c r="A208" s="49" t="s">
        <v>18</v>
      </c>
      <c r="B208" s="46" t="s">
        <v>252</v>
      </c>
      <c r="C208" s="50" t="s">
        <v>732</v>
      </c>
      <c r="D208" s="51">
        <v>1999</v>
      </c>
      <c r="E208" s="53">
        <v>1195136849</v>
      </c>
      <c r="F208" s="53">
        <v>1457970263</v>
      </c>
      <c r="G208" s="53">
        <v>1538677636</v>
      </c>
      <c r="H208" s="53">
        <v>0</v>
      </c>
      <c r="I208" s="54">
        <f t="shared" si="4"/>
        <v>4191784748</v>
      </c>
      <c r="J208" s="52">
        <v>0</v>
      </c>
      <c r="M208" s="38" t="str">
        <f>IF([1]totrevprm!O208="","",[1]totrevprm!O208)</f>
        <v/>
      </c>
    </row>
    <row r="209" spans="1:13">
      <c r="A209" s="49" t="s">
        <v>18</v>
      </c>
      <c r="B209" s="46" t="s">
        <v>252</v>
      </c>
      <c r="C209" s="50" t="s">
        <v>748</v>
      </c>
      <c r="D209" s="51">
        <v>2000</v>
      </c>
      <c r="E209" s="53">
        <v>1532738790</v>
      </c>
      <c r="F209" s="53">
        <v>1252265769</v>
      </c>
      <c r="G209" s="53">
        <v>1661069947</v>
      </c>
      <c r="H209" s="53">
        <v>0</v>
      </c>
      <c r="I209" s="54">
        <f t="shared" si="4"/>
        <v>4446074506</v>
      </c>
      <c r="J209" s="52">
        <v>0</v>
      </c>
      <c r="M209" s="38" t="str">
        <f>IF([1]totrevprm!O209="","",[1]totrevprm!O209)</f>
        <v/>
      </c>
    </row>
    <row r="210" spans="1:13">
      <c r="A210" s="49" t="s">
        <v>18</v>
      </c>
      <c r="B210" s="46" t="s">
        <v>252</v>
      </c>
      <c r="C210" s="50" t="s">
        <v>732</v>
      </c>
      <c r="D210" s="51">
        <v>2001</v>
      </c>
      <c r="E210" s="53">
        <v>1239300879</v>
      </c>
      <c r="F210" s="53">
        <v>1652794944</v>
      </c>
      <c r="G210" s="53">
        <v>1840536638</v>
      </c>
      <c r="H210" s="53">
        <v>0</v>
      </c>
      <c r="I210" s="54">
        <f t="shared" si="4"/>
        <v>4732632461</v>
      </c>
      <c r="J210" s="52">
        <v>0</v>
      </c>
      <c r="M210" s="38" t="str">
        <f>IF([1]totrevprm!O210="","",[1]totrevprm!O210)</f>
        <v/>
      </c>
    </row>
    <row r="211" spans="1:13">
      <c r="A211" s="49" t="s">
        <v>18</v>
      </c>
      <c r="B211" s="46" t="s">
        <v>252</v>
      </c>
      <c r="C211" s="50" t="s">
        <v>732</v>
      </c>
      <c r="D211" s="51">
        <v>2002</v>
      </c>
      <c r="E211" s="53">
        <v>1304495820</v>
      </c>
      <c r="F211" s="53">
        <v>2245509671</v>
      </c>
      <c r="G211" s="53">
        <v>1853776788</v>
      </c>
      <c r="H211" s="53">
        <v>0</v>
      </c>
      <c r="I211" s="54">
        <f t="shared" si="4"/>
        <v>5403782279</v>
      </c>
      <c r="J211" s="52">
        <v>0</v>
      </c>
      <c r="M211" s="38" t="str">
        <f>IF([1]totrevprm!O211="","",[1]totrevprm!O211)</f>
        <v/>
      </c>
    </row>
    <row r="212" spans="1:13">
      <c r="A212" s="49" t="s">
        <v>18</v>
      </c>
      <c r="B212" s="46" t="s">
        <v>252</v>
      </c>
      <c r="C212" s="50" t="s">
        <v>732</v>
      </c>
      <c r="D212" s="51">
        <v>2003</v>
      </c>
      <c r="E212" s="55">
        <v>1404979031</v>
      </c>
      <c r="F212" s="55">
        <v>2057490553</v>
      </c>
      <c r="G212" s="55">
        <v>2102697784</v>
      </c>
      <c r="H212" s="53">
        <v>0</v>
      </c>
      <c r="I212" s="54">
        <f t="shared" si="4"/>
        <v>5565167368</v>
      </c>
      <c r="J212" s="52">
        <v>0</v>
      </c>
      <c r="M212" s="38" t="str">
        <f>IF([1]totrevprm!O212="","",[1]totrevprm!O212)</f>
        <v/>
      </c>
    </row>
    <row r="213" spans="1:13">
      <c r="A213" s="49" t="s">
        <v>18</v>
      </c>
      <c r="B213" s="46" t="s">
        <v>252</v>
      </c>
      <c r="C213" s="50" t="s">
        <v>732</v>
      </c>
      <c r="D213" s="51">
        <v>2004</v>
      </c>
      <c r="E213" s="55">
        <v>1461151703</v>
      </c>
      <c r="F213" s="55">
        <v>1939972242</v>
      </c>
      <c r="G213" s="55">
        <v>2298669662</v>
      </c>
      <c r="H213" s="53">
        <v>0</v>
      </c>
      <c r="I213" s="54">
        <f t="shared" si="4"/>
        <v>5699793607</v>
      </c>
      <c r="J213" s="52">
        <v>0</v>
      </c>
      <c r="M213" s="38" t="str">
        <f>IF([1]totrevprm!O213="","",[1]totrevprm!O213)</f>
        <v/>
      </c>
    </row>
    <row r="214" spans="1:13">
      <c r="A214" s="49" t="s">
        <v>18</v>
      </c>
      <c r="B214" s="46" t="s">
        <v>252</v>
      </c>
      <c r="C214" s="50"/>
      <c r="D214" s="51">
        <v>2005</v>
      </c>
      <c r="E214" s="55">
        <v>1489479668</v>
      </c>
      <c r="F214" s="55">
        <v>2026059726</v>
      </c>
      <c r="G214" s="55">
        <v>2432877293.27</v>
      </c>
      <c r="H214" s="53">
        <v>0</v>
      </c>
      <c r="I214" s="54">
        <f t="shared" si="4"/>
        <v>5948416687.2700005</v>
      </c>
      <c r="J214" s="52">
        <v>0</v>
      </c>
      <c r="M214" s="38" t="str">
        <f>IF([1]totrevprm!O214="","",[1]totrevprm!O214)</f>
        <v/>
      </c>
    </row>
    <row r="215" spans="1:13">
      <c r="A215" s="49" t="s">
        <v>18</v>
      </c>
      <c r="B215" s="46" t="s">
        <v>252</v>
      </c>
      <c r="C215" s="50"/>
      <c r="D215" s="51">
        <v>2006</v>
      </c>
      <c r="E215" s="56">
        <v>1587281819</v>
      </c>
      <c r="F215" s="56">
        <v>2158883056</v>
      </c>
      <c r="G215" s="56">
        <v>2683256306</v>
      </c>
      <c r="H215" s="53">
        <v>0</v>
      </c>
      <c r="I215" s="54">
        <f t="shared" si="4"/>
        <v>6429421181</v>
      </c>
      <c r="J215" s="52">
        <v>0</v>
      </c>
      <c r="M215" s="38" t="str">
        <f>IF([1]totrevprm!O215="","",[1]totrevprm!O215)</f>
        <v/>
      </c>
    </row>
    <row r="216" spans="1:13">
      <c r="A216" s="49" t="s">
        <v>18</v>
      </c>
      <c r="B216" s="46" t="s">
        <v>252</v>
      </c>
      <c r="C216" s="50"/>
      <c r="D216" s="51">
        <v>2007</v>
      </c>
      <c r="E216" s="56">
        <v>1640732290</v>
      </c>
      <c r="F216" s="56">
        <v>1977782927</v>
      </c>
      <c r="G216" s="56">
        <v>3559739931</v>
      </c>
      <c r="H216" s="53">
        <v>0</v>
      </c>
      <c r="I216" s="54">
        <f t="shared" si="4"/>
        <v>7178255148</v>
      </c>
      <c r="J216" s="52">
        <v>0</v>
      </c>
      <c r="M216" s="38" t="str">
        <f>IF([1]totrevprm!O216="","",[1]totrevprm!O216)</f>
        <v/>
      </c>
    </row>
    <row r="217" spans="1:13">
      <c r="A217" s="49" t="s">
        <v>18</v>
      </c>
      <c r="B217" s="46" t="s">
        <v>252</v>
      </c>
      <c r="C217" s="50"/>
      <c r="D217" s="51">
        <v>2008</v>
      </c>
      <c r="E217" s="56">
        <v>1689623832</v>
      </c>
      <c r="F217" s="56">
        <v>2747988136</v>
      </c>
      <c r="G217" s="56">
        <v>3889919140</v>
      </c>
      <c r="H217" s="53">
        <v>0</v>
      </c>
      <c r="I217" s="54">
        <f t="shared" si="4"/>
        <v>8327531108</v>
      </c>
      <c r="J217" s="52">
        <v>0</v>
      </c>
      <c r="M217" s="38" t="str">
        <f>IF([1]totrevprm!O217="","",[1]totrevprm!O217)</f>
        <v/>
      </c>
    </row>
    <row r="218" spans="1:13">
      <c r="A218" s="49" t="s">
        <v>18</v>
      </c>
      <c r="B218" s="46" t="s">
        <v>252</v>
      </c>
      <c r="C218" s="50"/>
      <c r="D218" s="51">
        <v>2009</v>
      </c>
      <c r="E218" s="56">
        <v>1832884396</v>
      </c>
      <c r="F218" s="56">
        <v>2931587212</v>
      </c>
      <c r="G218" s="56">
        <v>4356781877</v>
      </c>
      <c r="H218" s="53">
        <v>0</v>
      </c>
      <c r="I218" s="54">
        <f t="shared" si="4"/>
        <v>9121253485</v>
      </c>
      <c r="J218" s="52">
        <v>0</v>
      </c>
      <c r="M218" s="38" t="str">
        <f>IF([1]totrevprm!O218="","",[1]totrevprm!O218)</f>
        <v/>
      </c>
    </row>
    <row r="219" spans="1:13">
      <c r="A219" s="49" t="s">
        <v>18</v>
      </c>
      <c r="B219" s="46" t="s">
        <v>252</v>
      </c>
      <c r="C219" s="50"/>
      <c r="D219" s="51">
        <v>2010</v>
      </c>
      <c r="E219" s="56">
        <v>1933741077</v>
      </c>
      <c r="F219" s="56">
        <v>2945911265</v>
      </c>
      <c r="G219" s="56">
        <v>4083295457</v>
      </c>
      <c r="H219" s="53">
        <v>0</v>
      </c>
      <c r="I219" s="54">
        <f t="shared" si="4"/>
        <v>8962947799</v>
      </c>
      <c r="J219" s="52">
        <v>0</v>
      </c>
      <c r="M219" s="38" t="str">
        <f>IF([1]totrevprm!O219="","",[1]totrevprm!O219)</f>
        <v/>
      </c>
    </row>
    <row r="220" spans="1:13">
      <c r="A220" s="49" t="s">
        <v>18</v>
      </c>
      <c r="B220" s="46" t="s">
        <v>252</v>
      </c>
      <c r="C220" s="50"/>
      <c r="D220" s="51">
        <v>2011</v>
      </c>
      <c r="E220" s="56">
        <v>1975897054</v>
      </c>
      <c r="F220" s="56">
        <v>3167131653</v>
      </c>
      <c r="G220" s="56">
        <v>4094188764.1599998</v>
      </c>
      <c r="H220" s="53">
        <v>0</v>
      </c>
      <c r="I220" s="54">
        <f t="shared" si="4"/>
        <v>9237217471.1599998</v>
      </c>
      <c r="J220" s="52">
        <v>0</v>
      </c>
      <c r="M220" s="38" t="str">
        <f>IF([1]totrevprm!O220="","",[1]totrevprm!O220)</f>
        <v/>
      </c>
    </row>
    <row r="221" spans="1:13">
      <c r="A221" s="49" t="s">
        <v>18</v>
      </c>
      <c r="B221" s="46" t="s">
        <v>252</v>
      </c>
      <c r="C221" s="50"/>
      <c r="D221" s="51">
        <v>2012</v>
      </c>
      <c r="E221" s="56">
        <v>2115900124</v>
      </c>
      <c r="F221" s="56">
        <v>3208701197</v>
      </c>
      <c r="G221" s="56">
        <v>4016525119</v>
      </c>
      <c r="H221" s="53">
        <v>0</v>
      </c>
      <c r="I221" s="54">
        <f t="shared" si="4"/>
        <v>9341126440</v>
      </c>
      <c r="J221" s="52">
        <v>0</v>
      </c>
      <c r="M221" s="38" t="str">
        <f>IF([1]totrevprm!O221="","",[1]totrevprm!O221)</f>
        <v/>
      </c>
    </row>
    <row r="222" spans="1:13">
      <c r="A222" s="49" t="s">
        <v>18</v>
      </c>
      <c r="B222" s="46" t="s">
        <v>252</v>
      </c>
      <c r="C222" s="50"/>
      <c r="D222" s="51">
        <v>2013</v>
      </c>
      <c r="E222" s="56">
        <v>2201558974</v>
      </c>
      <c r="F222" s="56">
        <v>3244900516</v>
      </c>
      <c r="G222" s="56">
        <v>3976660185</v>
      </c>
      <c r="H222" s="53">
        <v>0</v>
      </c>
      <c r="I222" s="54">
        <f t="shared" si="4"/>
        <v>9423119675</v>
      </c>
      <c r="J222" s="52">
        <v>0</v>
      </c>
      <c r="M222" s="38" t="str">
        <f>IF([1]totrevprm!O222="","",[1]totrevprm!O222)</f>
        <v/>
      </c>
    </row>
    <row r="223" spans="1:13">
      <c r="A223" s="49" t="s">
        <v>18</v>
      </c>
      <c r="B223" s="46" t="s">
        <v>252</v>
      </c>
      <c r="C223" s="50"/>
      <c r="D223" s="47">
        <v>2014</v>
      </c>
      <c r="E223" s="56">
        <v>2308019920</v>
      </c>
      <c r="F223" s="56">
        <v>3247756505</v>
      </c>
      <c r="G223" s="52">
        <v>4066649127.1999998</v>
      </c>
      <c r="H223" s="56">
        <v>0</v>
      </c>
      <c r="I223" s="54">
        <f t="shared" si="4"/>
        <v>9622425552.2000008</v>
      </c>
      <c r="J223" s="52">
        <v>0</v>
      </c>
      <c r="M223" s="38" t="str">
        <f>IF([1]totrevprm!O223="","",[1]totrevprm!O223)</f>
        <v/>
      </c>
    </row>
    <row r="224" spans="1:13">
      <c r="A224" s="49" t="s">
        <v>18</v>
      </c>
      <c r="B224" s="46" t="s">
        <v>252</v>
      </c>
      <c r="C224" s="50"/>
      <c r="D224" s="47">
        <v>2015</v>
      </c>
      <c r="E224" s="56">
        <v>2533536918</v>
      </c>
      <c r="F224" s="56">
        <v>3802619233</v>
      </c>
      <c r="G224" s="52">
        <v>4122225914</v>
      </c>
      <c r="H224" s="56">
        <v>0</v>
      </c>
      <c r="I224" s="54">
        <f t="shared" si="4"/>
        <v>10458382065</v>
      </c>
      <c r="J224" s="52">
        <v>0</v>
      </c>
      <c r="M224" s="38" t="str">
        <f>IF([1]totrevprm!O224="","",[1]totrevprm!O224)</f>
        <v/>
      </c>
    </row>
    <row r="225" spans="1:13">
      <c r="A225" s="49" t="s">
        <v>18</v>
      </c>
      <c r="B225" s="46" t="s">
        <v>252</v>
      </c>
      <c r="C225" s="50"/>
      <c r="D225" s="47">
        <v>2016</v>
      </c>
      <c r="E225" s="56">
        <v>2439209106</v>
      </c>
      <c r="F225" s="56">
        <v>4353976431</v>
      </c>
      <c r="G225" s="52">
        <v>4131900298</v>
      </c>
      <c r="H225" s="56">
        <v>0</v>
      </c>
      <c r="I225" s="54">
        <f t="shared" si="4"/>
        <v>10925085835</v>
      </c>
      <c r="J225" s="52">
        <v>0</v>
      </c>
      <c r="M225" s="38" t="str">
        <f>IF([1]totrevprm!O225="","",[1]totrevprm!O225)</f>
        <v/>
      </c>
    </row>
    <row r="226" spans="1:13">
      <c r="A226" s="49" t="s">
        <v>18</v>
      </c>
      <c r="B226" s="46" t="s">
        <v>252</v>
      </c>
      <c r="C226" s="50"/>
      <c r="D226" s="47">
        <v>2017</v>
      </c>
      <c r="E226" s="56">
        <v>2541613434</v>
      </c>
      <c r="F226" s="56">
        <v>4653534288</v>
      </c>
      <c r="G226" s="52">
        <v>4003933926.4099998</v>
      </c>
      <c r="H226" s="56">
        <v>0</v>
      </c>
      <c r="I226" s="54">
        <f t="shared" si="4"/>
        <v>11199081648.41</v>
      </c>
      <c r="J226" s="52">
        <v>0</v>
      </c>
      <c r="K226" s="61" t="s">
        <v>749</v>
      </c>
      <c r="L226" s="66"/>
      <c r="M226" s="38" t="str">
        <f>IF([1]totrevprm!O226="","",[1]totrevprm!O226)</f>
        <v/>
      </c>
    </row>
    <row r="227" spans="1:13">
      <c r="A227" s="49" t="s">
        <v>18</v>
      </c>
      <c r="B227" s="46" t="s">
        <v>252</v>
      </c>
      <c r="C227" s="50"/>
      <c r="D227" s="47">
        <v>2018</v>
      </c>
      <c r="E227" s="56">
        <v>2643992529</v>
      </c>
      <c r="F227" s="56">
        <v>5381106348</v>
      </c>
      <c r="G227" s="52">
        <v>4241728214.0900002</v>
      </c>
      <c r="H227" s="56">
        <v>0</v>
      </c>
      <c r="I227" s="54">
        <f t="shared" si="4"/>
        <v>12266827091.09</v>
      </c>
      <c r="J227" s="56">
        <v>0</v>
      </c>
      <c r="K227" s="61" t="s">
        <v>749</v>
      </c>
      <c r="L227" s="66"/>
      <c r="M227" s="38" t="str">
        <f>IF([1]totrevprm!O227="","",[1]totrevprm!O227)</f>
        <v/>
      </c>
    </row>
    <row r="228" spans="1:13">
      <c r="A228" s="49" t="s">
        <v>18</v>
      </c>
      <c r="B228" s="46" t="s">
        <v>252</v>
      </c>
      <c r="C228" s="50"/>
      <c r="D228" s="47">
        <v>2019</v>
      </c>
      <c r="E228" s="56">
        <v>2785257720</v>
      </c>
      <c r="F228" s="56">
        <v>5099243499</v>
      </c>
      <c r="G228" s="52">
        <v>4363995213.4148006</v>
      </c>
      <c r="H228" s="56">
        <v>0</v>
      </c>
      <c r="I228" s="54">
        <f t="shared" si="4"/>
        <v>12248496432.414801</v>
      </c>
      <c r="J228" s="56">
        <v>0</v>
      </c>
      <c r="K228" s="61"/>
      <c r="L228" s="66"/>
      <c r="M228" s="38" t="str">
        <f>IF([1]totrevprm!O228="","",[1]totrevprm!O228)</f>
        <v/>
      </c>
    </row>
    <row r="229" spans="1:13">
      <c r="A229" s="49" t="s">
        <v>18</v>
      </c>
      <c r="B229" s="46" t="s">
        <v>252</v>
      </c>
      <c r="C229" s="50"/>
      <c r="D229" s="47">
        <v>2020</v>
      </c>
      <c r="E229" s="56">
        <v>2762629727</v>
      </c>
      <c r="F229" s="56">
        <v>6465903629</v>
      </c>
      <c r="G229" s="56">
        <v>4278572864</v>
      </c>
      <c r="H229" s="56">
        <v>0</v>
      </c>
      <c r="I229" s="54">
        <f t="shared" si="4"/>
        <v>13507106220</v>
      </c>
      <c r="J229" s="56">
        <v>0</v>
      </c>
      <c r="K229" s="61"/>
      <c r="L229" s="66"/>
      <c r="M229" s="38" t="str">
        <f>IF([1]totrevprm!O229="","",[1]totrevprm!O229)</f>
        <v/>
      </c>
    </row>
    <row r="230" spans="1:13">
      <c r="A230" s="49" t="s">
        <v>18</v>
      </c>
      <c r="B230" s="46" t="s">
        <v>252</v>
      </c>
      <c r="C230" s="50"/>
      <c r="D230" s="47">
        <v>2021</v>
      </c>
      <c r="E230" s="56">
        <v>2997394853</v>
      </c>
      <c r="F230" s="56">
        <v>5571179910</v>
      </c>
      <c r="G230" s="56">
        <v>4508213406</v>
      </c>
      <c r="H230" s="56">
        <v>0</v>
      </c>
      <c r="I230" s="54">
        <f t="shared" si="4"/>
        <v>13076788169</v>
      </c>
      <c r="J230" s="56">
        <v>0</v>
      </c>
      <c r="K230" s="61"/>
      <c r="L230" s="66"/>
      <c r="M230" s="38"/>
    </row>
    <row r="231" spans="1:13">
      <c r="A231" s="49" t="s">
        <v>18</v>
      </c>
      <c r="B231" s="46" t="s">
        <v>252</v>
      </c>
      <c r="C231" s="50"/>
      <c r="D231" s="47">
        <v>2022</v>
      </c>
      <c r="E231" s="56">
        <v>3068011251</v>
      </c>
      <c r="F231" s="56">
        <v>5800009011</v>
      </c>
      <c r="G231" s="56">
        <v>4893154391</v>
      </c>
      <c r="H231" s="56">
        <v>0</v>
      </c>
      <c r="I231" s="54">
        <f t="shared" si="4"/>
        <v>13761174653</v>
      </c>
      <c r="J231" s="56">
        <v>0</v>
      </c>
      <c r="K231" s="61"/>
      <c r="L231" s="66"/>
      <c r="M231" s="38"/>
    </row>
    <row r="232" spans="1:13">
      <c r="A232" s="49" t="s">
        <v>18</v>
      </c>
      <c r="B232" s="46" t="s">
        <v>252</v>
      </c>
      <c r="C232" s="50"/>
      <c r="D232" s="51">
        <v>2023</v>
      </c>
      <c r="E232" s="56">
        <v>3116255040</v>
      </c>
      <c r="F232" s="56">
        <v>6407168692.2691002</v>
      </c>
      <c r="G232" s="56">
        <v>8168943851.1000004</v>
      </c>
      <c r="H232" s="56">
        <v>0</v>
      </c>
      <c r="I232" s="54">
        <f t="shared" si="4"/>
        <v>17692367583.369102</v>
      </c>
      <c r="J232" s="52">
        <v>0</v>
      </c>
      <c r="K232" s="61" t="s">
        <v>739</v>
      </c>
      <c r="L232" s="66"/>
      <c r="M232" s="38" t="s">
        <v>750</v>
      </c>
    </row>
    <row r="233" spans="1:13">
      <c r="A233" s="49" t="s">
        <v>18</v>
      </c>
      <c r="B233" s="46" t="s">
        <v>252</v>
      </c>
      <c r="C233" s="50"/>
      <c r="D233" s="57">
        <v>2024</v>
      </c>
      <c r="E233" s="52">
        <v>3142616637.8600001</v>
      </c>
      <c r="F233" s="52">
        <v>7241693303.6099997</v>
      </c>
      <c r="G233" s="52">
        <v>9197487526.0799999</v>
      </c>
      <c r="H233" s="52">
        <v>0</v>
      </c>
      <c r="I233" s="54">
        <f t="shared" si="4"/>
        <v>19581797467.549999</v>
      </c>
      <c r="J233" s="56">
        <v>0</v>
      </c>
      <c r="K233" s="61" t="s">
        <v>739</v>
      </c>
      <c r="M233" s="38"/>
    </row>
    <row r="234" spans="1:13">
      <c r="A234" s="49"/>
      <c r="B234" s="50"/>
      <c r="C234" s="50"/>
      <c r="E234" s="53"/>
      <c r="F234" s="53"/>
      <c r="G234" s="53"/>
      <c r="H234" s="53"/>
      <c r="I234" s="54"/>
      <c r="J234" s="52"/>
      <c r="K234" s="61"/>
      <c r="M234" s="38"/>
    </row>
    <row r="235" spans="1:13">
      <c r="A235" s="49" t="s">
        <v>19</v>
      </c>
      <c r="B235" s="46" t="s">
        <v>297</v>
      </c>
      <c r="C235" s="50" t="s">
        <v>751</v>
      </c>
      <c r="D235" s="51">
        <v>1988</v>
      </c>
      <c r="E235" s="53">
        <v>1088101087</v>
      </c>
      <c r="F235" s="53">
        <v>814138809</v>
      </c>
      <c r="G235" s="53">
        <v>2007923266</v>
      </c>
      <c r="H235" s="53">
        <v>1056248596</v>
      </c>
      <c r="I235" s="54">
        <f t="shared" si="4"/>
        <v>4966411758</v>
      </c>
      <c r="J235" s="52">
        <v>0</v>
      </c>
      <c r="K235" s="61"/>
      <c r="M235" s="38" t="str">
        <f>IF([1]totrevprm!O235="","",[1]totrevprm!O235)</f>
        <v/>
      </c>
    </row>
    <row r="236" spans="1:13">
      <c r="A236" s="49" t="s">
        <v>19</v>
      </c>
      <c r="B236" s="46" t="s">
        <v>297</v>
      </c>
      <c r="C236" s="50" t="s">
        <v>732</v>
      </c>
      <c r="D236" s="51">
        <v>1989</v>
      </c>
      <c r="E236" s="53">
        <v>1150185716</v>
      </c>
      <c r="F236" s="53">
        <v>924054498</v>
      </c>
      <c r="G236" s="53">
        <v>2357785708</v>
      </c>
      <c r="H236" s="53">
        <v>917855756</v>
      </c>
      <c r="I236" s="54">
        <f t="shared" si="4"/>
        <v>5349881678</v>
      </c>
      <c r="J236" s="52">
        <v>0</v>
      </c>
      <c r="K236" s="61"/>
      <c r="M236" s="38" t="str">
        <f>IF([1]totrevprm!O236="","",[1]totrevprm!O236)</f>
        <v/>
      </c>
    </row>
    <row r="237" spans="1:13">
      <c r="A237" s="49" t="s">
        <v>19</v>
      </c>
      <c r="B237" s="46" t="s">
        <v>297</v>
      </c>
      <c r="C237" s="50" t="s">
        <v>732</v>
      </c>
      <c r="D237" s="51">
        <v>1990</v>
      </c>
      <c r="E237" s="53">
        <v>1224476571</v>
      </c>
      <c r="F237" s="53">
        <v>1396613823.24</v>
      </c>
      <c r="G237" s="53">
        <v>2605274310</v>
      </c>
      <c r="H237" s="53">
        <v>904765983</v>
      </c>
      <c r="I237" s="54">
        <f t="shared" si="4"/>
        <v>6131130687.2399998</v>
      </c>
      <c r="J237" s="52">
        <v>0</v>
      </c>
      <c r="K237" s="61"/>
      <c r="M237" s="38" t="str">
        <f>IF([1]totrevprm!O237="","",[1]totrevprm!O237)</f>
        <v/>
      </c>
    </row>
    <row r="238" spans="1:13">
      <c r="A238" s="49" t="s">
        <v>19</v>
      </c>
      <c r="B238" s="46" t="s">
        <v>297</v>
      </c>
      <c r="C238" s="50" t="s">
        <v>732</v>
      </c>
      <c r="D238" s="51">
        <v>1991</v>
      </c>
      <c r="E238" s="53">
        <v>1259496517</v>
      </c>
      <c r="F238" s="53">
        <v>868623997</v>
      </c>
      <c r="G238" s="53">
        <v>2080101981</v>
      </c>
      <c r="H238" s="53">
        <v>798555349</v>
      </c>
      <c r="I238" s="54">
        <f t="shared" si="4"/>
        <v>5006777844</v>
      </c>
      <c r="J238" s="52">
        <v>0</v>
      </c>
      <c r="K238" s="61"/>
      <c r="M238" s="38" t="str">
        <f>IF([1]totrevprm!O238="","",[1]totrevprm!O238)</f>
        <v/>
      </c>
    </row>
    <row r="239" spans="1:13">
      <c r="A239" s="49" t="s">
        <v>19</v>
      </c>
      <c r="B239" s="46" t="s">
        <v>297</v>
      </c>
      <c r="C239" s="50" t="s">
        <v>732</v>
      </c>
      <c r="D239" s="51">
        <v>1992</v>
      </c>
      <c r="E239" s="53">
        <v>1263353236</v>
      </c>
      <c r="F239" s="53">
        <v>1013246298.2</v>
      </c>
      <c r="G239" s="53">
        <v>1900074462</v>
      </c>
      <c r="H239" s="53">
        <v>620598543</v>
      </c>
      <c r="I239" s="54">
        <f t="shared" si="4"/>
        <v>4797272539.1999998</v>
      </c>
      <c r="J239" s="52">
        <v>0</v>
      </c>
      <c r="K239" s="61"/>
      <c r="M239" s="38" t="str">
        <f>IF([1]totrevprm!O239="","",[1]totrevprm!O239)</f>
        <v/>
      </c>
    </row>
    <row r="240" spans="1:13">
      <c r="A240" s="49" t="s">
        <v>19</v>
      </c>
      <c r="B240" s="46" t="s">
        <v>297</v>
      </c>
      <c r="C240" s="50" t="s">
        <v>732</v>
      </c>
      <c r="D240" s="51">
        <v>1993</v>
      </c>
      <c r="E240" s="53">
        <v>1379972689</v>
      </c>
      <c r="F240" s="53">
        <v>802506092</v>
      </c>
      <c r="G240" s="53">
        <v>1763174845</v>
      </c>
      <c r="H240" s="53">
        <v>537714964</v>
      </c>
      <c r="I240" s="54">
        <f t="shared" ref="I240:I305" si="5">SUM(E240:H240)</f>
        <v>4483368590</v>
      </c>
      <c r="J240" s="52">
        <v>0</v>
      </c>
      <c r="K240" s="61"/>
      <c r="M240" s="38" t="str">
        <f>IF([1]totrevprm!O240="","",[1]totrevprm!O240)</f>
        <v/>
      </c>
    </row>
    <row r="241" spans="1:13">
      <c r="A241" s="49" t="s">
        <v>19</v>
      </c>
      <c r="B241" s="46" t="s">
        <v>297</v>
      </c>
      <c r="C241" s="50" t="s">
        <v>732</v>
      </c>
      <c r="D241" s="51">
        <v>1994</v>
      </c>
      <c r="E241" s="53">
        <v>1601094600</v>
      </c>
      <c r="F241" s="53">
        <v>1467073952</v>
      </c>
      <c r="G241" s="53">
        <v>1752533368</v>
      </c>
      <c r="H241" s="53">
        <v>1773874230</v>
      </c>
      <c r="I241" s="54">
        <f t="shared" si="5"/>
        <v>6594576150</v>
      </c>
      <c r="J241" s="52">
        <v>0</v>
      </c>
      <c r="K241" s="61"/>
      <c r="M241" s="38" t="str">
        <f>IF([1]totrevprm!O241="","",[1]totrevprm!O241)</f>
        <v/>
      </c>
    </row>
    <row r="242" spans="1:13">
      <c r="A242" s="49" t="s">
        <v>19</v>
      </c>
      <c r="B242" s="46" t="s">
        <v>297</v>
      </c>
      <c r="C242" s="50" t="s">
        <v>732</v>
      </c>
      <c r="D242" s="51">
        <v>1995</v>
      </c>
      <c r="E242" s="53">
        <v>1584649056</v>
      </c>
      <c r="F242" s="53">
        <v>1600898074</v>
      </c>
      <c r="G242" s="53">
        <v>2067627222</v>
      </c>
      <c r="H242" s="53">
        <v>671136066</v>
      </c>
      <c r="I242" s="54">
        <f t="shared" si="5"/>
        <v>5924310418</v>
      </c>
      <c r="J242" s="52">
        <v>0</v>
      </c>
      <c r="K242" s="61"/>
      <c r="M242" s="38" t="str">
        <f>IF([1]totrevprm!O242="","",[1]totrevprm!O242)</f>
        <v/>
      </c>
    </row>
    <row r="243" spans="1:13">
      <c r="A243" s="49" t="s">
        <v>19</v>
      </c>
      <c r="B243" s="46" t="s">
        <v>297</v>
      </c>
      <c r="C243" s="50" t="s">
        <v>732</v>
      </c>
      <c r="D243" s="51">
        <v>1996</v>
      </c>
      <c r="E243" s="53">
        <v>1638095187</v>
      </c>
      <c r="F243" s="53">
        <v>1215287036</v>
      </c>
      <c r="G243" s="53">
        <v>1635755629</v>
      </c>
      <c r="H243" s="53">
        <v>520507398</v>
      </c>
      <c r="I243" s="54">
        <f t="shared" si="5"/>
        <v>5009645250</v>
      </c>
      <c r="J243" s="52">
        <v>0</v>
      </c>
      <c r="K243" s="61"/>
      <c r="M243" s="38" t="str">
        <f>IF([1]totrevprm!O243="","",[1]totrevprm!O243)</f>
        <v/>
      </c>
    </row>
    <row r="244" spans="1:13">
      <c r="A244" s="49" t="s">
        <v>19</v>
      </c>
      <c r="B244" s="46" t="s">
        <v>297</v>
      </c>
      <c r="C244" s="50" t="s">
        <v>732</v>
      </c>
      <c r="D244" s="51">
        <v>1997</v>
      </c>
      <c r="E244" s="53">
        <v>1550476848</v>
      </c>
      <c r="F244" s="53">
        <v>1517374403</v>
      </c>
      <c r="G244" s="53">
        <v>1343566612</v>
      </c>
      <c r="H244" s="53">
        <v>473221338</v>
      </c>
      <c r="I244" s="54">
        <f t="shared" si="5"/>
        <v>4884639201</v>
      </c>
      <c r="J244" s="52">
        <v>0</v>
      </c>
      <c r="K244" s="61"/>
      <c r="M244" s="38" t="str">
        <f>IF([1]totrevprm!O244="","",[1]totrevprm!O244)</f>
        <v/>
      </c>
    </row>
    <row r="245" spans="1:13">
      <c r="A245" s="49" t="s">
        <v>19</v>
      </c>
      <c r="B245" s="46" t="s">
        <v>297</v>
      </c>
      <c r="C245" s="50" t="s">
        <v>732</v>
      </c>
      <c r="D245" s="51">
        <v>1998</v>
      </c>
      <c r="E245" s="53">
        <v>1718180622</v>
      </c>
      <c r="F245" s="53">
        <v>1306572294</v>
      </c>
      <c r="G245" s="53">
        <v>1663892131</v>
      </c>
      <c r="H245" s="53">
        <v>-24492761</v>
      </c>
      <c r="I245" s="54">
        <f t="shared" si="5"/>
        <v>4664152286</v>
      </c>
      <c r="J245" s="52">
        <v>0</v>
      </c>
      <c r="K245" s="61"/>
      <c r="M245" s="38" t="str">
        <f>IF([1]totrevprm!O245="","",[1]totrevprm!O245)</f>
        <v/>
      </c>
    </row>
    <row r="246" spans="1:13">
      <c r="A246" s="49" t="s">
        <v>19</v>
      </c>
      <c r="B246" s="46" t="s">
        <v>297</v>
      </c>
      <c r="C246" s="50" t="s">
        <v>732</v>
      </c>
      <c r="D246" s="51">
        <v>1999</v>
      </c>
      <c r="E246" s="53">
        <v>1598661952</v>
      </c>
      <c r="F246" s="53">
        <v>1852264435</v>
      </c>
      <c r="G246" s="53">
        <v>1816115978</v>
      </c>
      <c r="H246" s="53">
        <v>691544953</v>
      </c>
      <c r="I246" s="54">
        <f t="shared" si="5"/>
        <v>5958587318</v>
      </c>
      <c r="J246" s="52">
        <v>0</v>
      </c>
      <c r="K246" s="61"/>
      <c r="M246" s="38" t="str">
        <f>IF([1]totrevprm!O246="","",[1]totrevprm!O246)</f>
        <v/>
      </c>
    </row>
    <row r="247" spans="1:13">
      <c r="A247" s="49" t="s">
        <v>19</v>
      </c>
      <c r="B247" s="46" t="s">
        <v>297</v>
      </c>
      <c r="C247" s="50" t="s">
        <v>732</v>
      </c>
      <c r="D247" s="51">
        <v>2000</v>
      </c>
      <c r="E247" s="53">
        <v>1694456096</v>
      </c>
      <c r="F247" s="53">
        <v>2293919836</v>
      </c>
      <c r="G247" s="53">
        <v>1960756971</v>
      </c>
      <c r="H247" s="53">
        <v>568895089</v>
      </c>
      <c r="I247" s="54">
        <f t="shared" si="5"/>
        <v>6518027992</v>
      </c>
      <c r="J247" s="52">
        <v>0</v>
      </c>
      <c r="K247" s="61"/>
      <c r="M247" s="38" t="str">
        <f>IF([1]totrevprm!O247="","",[1]totrevprm!O247)</f>
        <v/>
      </c>
    </row>
    <row r="248" spans="1:13">
      <c r="A248" s="49" t="s">
        <v>19</v>
      </c>
      <c r="B248" s="46" t="s">
        <v>297</v>
      </c>
      <c r="C248" s="50" t="s">
        <v>752</v>
      </c>
      <c r="D248" s="51">
        <v>2001</v>
      </c>
      <c r="E248" s="53">
        <v>1648001680</v>
      </c>
      <c r="F248" s="53">
        <v>3469628636</v>
      </c>
      <c r="G248" s="53">
        <v>2062471090</v>
      </c>
      <c r="H248" s="53">
        <v>473081692</v>
      </c>
      <c r="I248" s="54">
        <f t="shared" si="5"/>
        <v>7653183098</v>
      </c>
      <c r="J248" s="37">
        <v>24602649</v>
      </c>
      <c r="K248" s="61" t="s">
        <v>736</v>
      </c>
      <c r="M248" s="38" t="str">
        <f>IF([1]totrevprm!O248="","",[1]totrevprm!O248)</f>
        <v/>
      </c>
    </row>
    <row r="249" spans="1:13">
      <c r="A249" s="49" t="s">
        <v>19</v>
      </c>
      <c r="B249" s="46" t="s">
        <v>297</v>
      </c>
      <c r="C249" s="50" t="s">
        <v>732</v>
      </c>
      <c r="D249" s="51">
        <v>2002</v>
      </c>
      <c r="E249" s="53">
        <v>1659039792</v>
      </c>
      <c r="F249" s="53">
        <v>4956566466</v>
      </c>
      <c r="G249" s="53">
        <v>2245740057</v>
      </c>
      <c r="H249" s="53">
        <v>166919546</v>
      </c>
      <c r="I249" s="54">
        <f t="shared" si="5"/>
        <v>9028265861</v>
      </c>
      <c r="J249" s="37">
        <v>17400336</v>
      </c>
      <c r="K249" s="61" t="s">
        <v>736</v>
      </c>
      <c r="M249" s="38" t="str">
        <f>IF([1]totrevprm!O249="","",[1]totrevprm!O249)</f>
        <v/>
      </c>
    </row>
    <row r="250" spans="1:13">
      <c r="A250" s="49" t="s">
        <v>19</v>
      </c>
      <c r="B250" s="46" t="s">
        <v>297</v>
      </c>
      <c r="C250" s="50" t="s">
        <v>732</v>
      </c>
      <c r="D250" s="51">
        <v>2003</v>
      </c>
      <c r="E250" s="55">
        <v>1714184436</v>
      </c>
      <c r="F250" s="55">
        <v>5352613731</v>
      </c>
      <c r="G250" s="55">
        <v>2408845740</v>
      </c>
      <c r="H250" s="55">
        <v>280445747</v>
      </c>
      <c r="I250" s="54">
        <f t="shared" si="5"/>
        <v>9756089654</v>
      </c>
      <c r="J250" s="37">
        <v>82137504</v>
      </c>
      <c r="K250" s="61" t="s">
        <v>736</v>
      </c>
      <c r="M250" s="38" t="str">
        <f>IF([1]totrevprm!O250="","",[1]totrevprm!O250)</f>
        <v/>
      </c>
    </row>
    <row r="251" spans="1:13">
      <c r="A251" s="49" t="s">
        <v>19</v>
      </c>
      <c r="B251" s="46" t="s">
        <v>297</v>
      </c>
      <c r="C251" s="50" t="s">
        <v>732</v>
      </c>
      <c r="D251" s="51">
        <v>2004</v>
      </c>
      <c r="E251" s="55">
        <v>1816689372</v>
      </c>
      <c r="F251" s="55">
        <v>5334295148</v>
      </c>
      <c r="G251" s="55">
        <v>2812657380</v>
      </c>
      <c r="H251" s="55">
        <v>352670408</v>
      </c>
      <c r="I251" s="54">
        <f t="shared" si="5"/>
        <v>10316312308</v>
      </c>
      <c r="J251" s="37">
        <v>727248019</v>
      </c>
      <c r="K251" s="61" t="s">
        <v>736</v>
      </c>
      <c r="M251" s="38" t="str">
        <f>IF([1]totrevprm!O251="","",[1]totrevprm!O251)</f>
        <v/>
      </c>
    </row>
    <row r="252" spans="1:13">
      <c r="A252" s="49" t="s">
        <v>19</v>
      </c>
      <c r="B252" s="46" t="s">
        <v>297</v>
      </c>
      <c r="C252" s="50"/>
      <c r="D252" s="51">
        <v>2005</v>
      </c>
      <c r="E252" s="55">
        <v>1943840851</v>
      </c>
      <c r="F252" s="55">
        <v>5044679490</v>
      </c>
      <c r="G252" s="55">
        <v>4498625923</v>
      </c>
      <c r="H252" s="55">
        <v>3447456795</v>
      </c>
      <c r="I252" s="54">
        <f t="shared" si="5"/>
        <v>14934603059</v>
      </c>
      <c r="J252" s="37">
        <v>69019354</v>
      </c>
      <c r="K252" s="61" t="s">
        <v>736</v>
      </c>
      <c r="M252" s="38" t="str">
        <f>IF([1]totrevprm!O252="","",[1]totrevprm!O252)</f>
        <v/>
      </c>
    </row>
    <row r="253" spans="1:13">
      <c r="A253" s="49" t="s">
        <v>19</v>
      </c>
      <c r="B253" s="46" t="s">
        <v>297</v>
      </c>
      <c r="C253" s="50"/>
      <c r="D253" s="51">
        <v>2006</v>
      </c>
      <c r="E253" s="56">
        <v>1977069693</v>
      </c>
      <c r="F253" s="56">
        <v>4795359905</v>
      </c>
      <c r="G253" s="56">
        <v>4833278044</v>
      </c>
      <c r="H253" s="56">
        <v>318648337</v>
      </c>
      <c r="I253" s="54">
        <f t="shared" si="5"/>
        <v>11924355979</v>
      </c>
      <c r="J253" s="37">
        <v>151223088</v>
      </c>
      <c r="K253" s="61" t="s">
        <v>736</v>
      </c>
      <c r="M253" s="38" t="str">
        <f>IF([1]totrevprm!O253="","",[1]totrevprm!O253)</f>
        <v/>
      </c>
    </row>
    <row r="254" spans="1:13">
      <c r="A254" s="49" t="s">
        <v>19</v>
      </c>
      <c r="B254" s="46" t="s">
        <v>297</v>
      </c>
      <c r="C254" s="50"/>
      <c r="D254" s="51">
        <v>2007</v>
      </c>
      <c r="E254" s="56">
        <v>2091275430</v>
      </c>
      <c r="F254" s="56">
        <v>5166646752</v>
      </c>
      <c r="G254" s="56">
        <v>5271538201</v>
      </c>
      <c r="H254" s="56">
        <v>714599286</v>
      </c>
      <c r="I254" s="54">
        <f t="shared" si="5"/>
        <v>13244059669</v>
      </c>
      <c r="J254" s="37">
        <v>107224180</v>
      </c>
      <c r="K254" s="61" t="s">
        <v>736</v>
      </c>
      <c r="M254" s="38" t="str">
        <f>IF([1]totrevprm!O254="","",[1]totrevprm!O254)</f>
        <v/>
      </c>
    </row>
    <row r="255" spans="1:13">
      <c r="A255" s="49" t="s">
        <v>19</v>
      </c>
      <c r="B255" s="46" t="s">
        <v>297</v>
      </c>
      <c r="C255" s="50"/>
      <c r="D255" s="51">
        <v>2008</v>
      </c>
      <c r="E255" s="56">
        <v>2055376551</v>
      </c>
      <c r="F255" s="56">
        <v>6380098907</v>
      </c>
      <c r="G255" s="56">
        <v>4962655584</v>
      </c>
      <c r="H255" s="56">
        <v>389986992</v>
      </c>
      <c r="I255" s="54">
        <f t="shared" si="5"/>
        <v>13788118034</v>
      </c>
      <c r="J255" s="37">
        <v>127841650</v>
      </c>
      <c r="K255" s="61" t="s">
        <v>736</v>
      </c>
      <c r="M255" s="38" t="str">
        <f>IF([1]totrevprm!O255="","",[1]totrevprm!O255)</f>
        <v/>
      </c>
    </row>
    <row r="256" spans="1:13">
      <c r="A256" s="49" t="s">
        <v>19</v>
      </c>
      <c r="B256" s="46" t="s">
        <v>297</v>
      </c>
      <c r="C256" s="50"/>
      <c r="D256" s="51">
        <v>2009</v>
      </c>
      <c r="E256" s="56">
        <v>2196997367</v>
      </c>
      <c r="F256" s="56">
        <v>6506224856</v>
      </c>
      <c r="G256" s="56">
        <v>5122671333</v>
      </c>
      <c r="H256" s="56">
        <v>1055986375</v>
      </c>
      <c r="I256" s="54">
        <f t="shared" si="5"/>
        <v>14881879931</v>
      </c>
      <c r="J256" s="37">
        <v>56924327</v>
      </c>
      <c r="K256" s="61" t="s">
        <v>736</v>
      </c>
      <c r="M256" s="38" t="str">
        <f>IF([1]totrevprm!O256="","",[1]totrevprm!O256)</f>
        <v/>
      </c>
    </row>
    <row r="257" spans="1:13">
      <c r="A257" s="49" t="s">
        <v>19</v>
      </c>
      <c r="B257" s="46" t="s">
        <v>297</v>
      </c>
      <c r="C257" s="50"/>
      <c r="D257" s="51">
        <v>2010</v>
      </c>
      <c r="E257" s="56">
        <v>2232436597</v>
      </c>
      <c r="F257" s="52">
        <v>3713263362</v>
      </c>
      <c r="G257" s="56">
        <v>4833585658</v>
      </c>
      <c r="H257" s="56">
        <v>984136721</v>
      </c>
      <c r="I257" s="54">
        <f t="shared" si="5"/>
        <v>11763422338</v>
      </c>
      <c r="J257" s="37">
        <v>126590023</v>
      </c>
      <c r="K257" s="61" t="s">
        <v>736</v>
      </c>
      <c r="M257" s="38" t="str">
        <f>IF([1]totrevprm!O257="","",[1]totrevprm!O257)</f>
        <v/>
      </c>
    </row>
    <row r="258" spans="1:13">
      <c r="A258" s="49" t="s">
        <v>19</v>
      </c>
      <c r="B258" s="46" t="s">
        <v>297</v>
      </c>
      <c r="C258" s="50"/>
      <c r="D258" s="51">
        <v>2011</v>
      </c>
      <c r="E258" s="56">
        <v>2238766302</v>
      </c>
      <c r="F258" s="52">
        <v>3909895934</v>
      </c>
      <c r="G258" s="56">
        <v>4647019231</v>
      </c>
      <c r="H258" s="56">
        <v>422628547</v>
      </c>
      <c r="I258" s="54">
        <f t="shared" si="5"/>
        <v>11218310014</v>
      </c>
      <c r="J258" s="37">
        <v>51884837</v>
      </c>
      <c r="K258" s="61" t="s">
        <v>736</v>
      </c>
      <c r="M258" s="38" t="str">
        <f>IF([1]totrevprm!O258="","",[1]totrevprm!O258)</f>
        <v/>
      </c>
    </row>
    <row r="259" spans="1:13">
      <c r="A259" s="49" t="s">
        <v>19</v>
      </c>
      <c r="B259" s="46" t="s">
        <v>297</v>
      </c>
      <c r="C259" s="50"/>
      <c r="D259" s="51">
        <v>2012</v>
      </c>
      <c r="E259" s="56">
        <v>2359217702</v>
      </c>
      <c r="F259" s="52">
        <v>4325414390</v>
      </c>
      <c r="G259" s="56">
        <v>4792751932</v>
      </c>
      <c r="H259" s="56">
        <v>369442094</v>
      </c>
      <c r="I259" s="54">
        <f t="shared" si="5"/>
        <v>11846826118</v>
      </c>
      <c r="J259" s="37">
        <v>56132570</v>
      </c>
      <c r="K259" s="61" t="s">
        <v>736</v>
      </c>
      <c r="M259" s="38" t="str">
        <f>IF([1]totrevprm!O259="","",[1]totrevprm!O259)</f>
        <v/>
      </c>
    </row>
    <row r="260" spans="1:13">
      <c r="A260" s="49" t="s">
        <v>19</v>
      </c>
      <c r="B260" s="46" t="s">
        <v>297</v>
      </c>
      <c r="C260" s="50"/>
      <c r="D260" s="51">
        <v>2013</v>
      </c>
      <c r="E260" s="56">
        <v>2329010076</v>
      </c>
      <c r="F260" s="52">
        <v>4430099076</v>
      </c>
      <c r="G260" s="56">
        <v>5017778380</v>
      </c>
      <c r="H260" s="56">
        <v>521565272</v>
      </c>
      <c r="I260" s="54">
        <f t="shared" si="5"/>
        <v>12298452804</v>
      </c>
      <c r="J260" s="37">
        <v>143945559</v>
      </c>
      <c r="K260" s="61" t="s">
        <v>736</v>
      </c>
      <c r="M260" s="38" t="str">
        <f>IF([1]totrevprm!O260="","",[1]totrevprm!O260)</f>
        <v/>
      </c>
    </row>
    <row r="261" spans="1:13">
      <c r="A261" s="49" t="s">
        <v>19</v>
      </c>
      <c r="B261" s="46" t="s">
        <v>297</v>
      </c>
      <c r="C261" s="50"/>
      <c r="D261" s="47">
        <v>2014</v>
      </c>
      <c r="E261" s="56">
        <v>2301758473</v>
      </c>
      <c r="F261" s="56">
        <v>4751610122</v>
      </c>
      <c r="G261" s="56">
        <v>5418515123</v>
      </c>
      <c r="H261" s="56">
        <v>347888164</v>
      </c>
      <c r="I261" s="54">
        <f t="shared" si="5"/>
        <v>12819771882</v>
      </c>
      <c r="J261" s="52">
        <v>214929241</v>
      </c>
      <c r="K261" s="61" t="s">
        <v>736</v>
      </c>
      <c r="M261" s="38" t="str">
        <f>IF([1]totrevprm!O261="","",[1]totrevprm!O261)</f>
        <v/>
      </c>
    </row>
    <row r="262" spans="1:13">
      <c r="A262" s="49" t="s">
        <v>19</v>
      </c>
      <c r="B262" s="46" t="s">
        <v>297</v>
      </c>
      <c r="C262" s="50"/>
      <c r="D262" s="47">
        <v>2015</v>
      </c>
      <c r="E262" s="56">
        <v>2352238955</v>
      </c>
      <c r="F262" s="56">
        <v>5201462614</v>
      </c>
      <c r="G262" s="56">
        <v>5064573825</v>
      </c>
      <c r="H262" s="56">
        <v>305672153</v>
      </c>
      <c r="I262" s="54">
        <f t="shared" si="5"/>
        <v>12923947547</v>
      </c>
      <c r="J262" s="52">
        <v>692020094</v>
      </c>
      <c r="K262" s="61" t="s">
        <v>736</v>
      </c>
      <c r="M262" s="38" t="str">
        <f>IF([1]totrevprm!O262="","",[1]totrevprm!O262)</f>
        <v/>
      </c>
    </row>
    <row r="263" spans="1:13">
      <c r="A263" s="49" t="s">
        <v>19</v>
      </c>
      <c r="B263" s="46" t="s">
        <v>297</v>
      </c>
      <c r="C263" s="50"/>
      <c r="D263" s="47">
        <v>2016</v>
      </c>
      <c r="E263" s="56">
        <v>2388756152</v>
      </c>
      <c r="F263" s="56">
        <v>5394168564</v>
      </c>
      <c r="G263" s="56">
        <v>4878321364</v>
      </c>
      <c r="H263" s="56">
        <v>270802007</v>
      </c>
      <c r="I263" s="54">
        <f t="shared" si="5"/>
        <v>12932048087</v>
      </c>
      <c r="J263" s="52">
        <v>108445462</v>
      </c>
      <c r="K263" s="61" t="s">
        <v>736</v>
      </c>
      <c r="M263" s="38" t="str">
        <f>IF([1]totrevprm!O263="","",[1]totrevprm!O263)</f>
        <v/>
      </c>
    </row>
    <row r="264" spans="1:13">
      <c r="A264" s="49" t="s">
        <v>19</v>
      </c>
      <c r="B264" s="46" t="s">
        <v>297</v>
      </c>
      <c r="C264" s="50"/>
      <c r="D264" s="47">
        <v>2017</v>
      </c>
      <c r="E264" s="56">
        <v>2428320472</v>
      </c>
      <c r="F264" s="56">
        <v>5186206138</v>
      </c>
      <c r="G264" s="56">
        <v>5119347546</v>
      </c>
      <c r="H264" s="56">
        <v>580988310</v>
      </c>
      <c r="I264" s="54">
        <f t="shared" si="5"/>
        <v>13314862466</v>
      </c>
      <c r="J264" s="56">
        <v>80237838</v>
      </c>
      <c r="K264" s="61" t="s">
        <v>736</v>
      </c>
      <c r="M264" s="38" t="str">
        <f>IF([1]totrevprm!O264="","",[1]totrevprm!O264)</f>
        <v/>
      </c>
    </row>
    <row r="265" spans="1:13">
      <c r="A265" s="49" t="s">
        <v>19</v>
      </c>
      <c r="B265" s="46" t="s">
        <v>297</v>
      </c>
      <c r="C265" s="50"/>
      <c r="D265" s="47">
        <v>2018</v>
      </c>
      <c r="E265" s="56">
        <v>2454371034</v>
      </c>
      <c r="F265" s="56">
        <v>6086992784</v>
      </c>
      <c r="G265" s="56">
        <v>5561397895.2799997</v>
      </c>
      <c r="H265" s="56">
        <v>332270413</v>
      </c>
      <c r="I265" s="54">
        <f t="shared" si="5"/>
        <v>14435032126.279999</v>
      </c>
      <c r="J265" s="56">
        <v>141119756</v>
      </c>
      <c r="K265" s="61" t="s">
        <v>753</v>
      </c>
      <c r="L265" s="67" t="s">
        <v>720</v>
      </c>
      <c r="M265" s="38" t="str">
        <f>IF([1]totrevprm!O265="","",[1]totrevprm!O265)</f>
        <v>Yes</v>
      </c>
    </row>
    <row r="266" spans="1:13">
      <c r="A266" s="49" t="s">
        <v>19</v>
      </c>
      <c r="B266" s="46" t="s">
        <v>297</v>
      </c>
      <c r="C266" s="50"/>
      <c r="D266" s="47">
        <v>2019</v>
      </c>
      <c r="E266" s="56">
        <v>2502319212</v>
      </c>
      <c r="F266" s="56">
        <v>7439228540</v>
      </c>
      <c r="G266" s="56">
        <v>5353654567.0400009</v>
      </c>
      <c r="H266" s="56">
        <v>2861951392</v>
      </c>
      <c r="I266" s="54">
        <f t="shared" si="5"/>
        <v>18157153711.040001</v>
      </c>
      <c r="J266" s="56">
        <v>154534997</v>
      </c>
      <c r="K266" s="61" t="s">
        <v>738</v>
      </c>
      <c r="L266" s="67" t="s">
        <v>720</v>
      </c>
      <c r="M266" s="38" t="str">
        <f>IF([1]totrevprm!O266="","",[1]totrevprm!O266)</f>
        <v/>
      </c>
    </row>
    <row r="267" spans="1:13">
      <c r="A267" s="49" t="s">
        <v>19</v>
      </c>
      <c r="B267" s="46" t="s">
        <v>297</v>
      </c>
      <c r="C267" s="50"/>
      <c r="D267" s="47">
        <v>2020</v>
      </c>
      <c r="E267" s="56">
        <v>2471396169</v>
      </c>
      <c r="F267" s="56">
        <v>7490837599</v>
      </c>
      <c r="G267" s="56">
        <v>5338825814</v>
      </c>
      <c r="H267" s="56">
        <v>4292570905</v>
      </c>
      <c r="I267" s="54">
        <f t="shared" si="5"/>
        <v>19593630487</v>
      </c>
      <c r="J267" s="56">
        <v>-32696183</v>
      </c>
      <c r="K267" s="61" t="s">
        <v>738</v>
      </c>
      <c r="L267" s="67" t="s">
        <v>720</v>
      </c>
      <c r="M267" s="38" t="str">
        <f>IF([1]totrevprm!O267="","",[1]totrevprm!O267)</f>
        <v/>
      </c>
    </row>
    <row r="268" spans="1:13">
      <c r="A268" s="49" t="s">
        <v>19</v>
      </c>
      <c r="B268" s="46" t="s">
        <v>297</v>
      </c>
      <c r="C268" s="50"/>
      <c r="D268" s="47">
        <v>2021</v>
      </c>
      <c r="E268" s="56">
        <v>2584146165</v>
      </c>
      <c r="F268" s="56">
        <v>11463706245</v>
      </c>
      <c r="G268" s="56">
        <v>5367968974.2299995</v>
      </c>
      <c r="H268" s="56">
        <v>88973047</v>
      </c>
      <c r="I268" s="54">
        <f t="shared" si="5"/>
        <v>19504794431.23</v>
      </c>
      <c r="J268" s="53">
        <v>0</v>
      </c>
      <c r="K268" s="61" t="s">
        <v>739</v>
      </c>
      <c r="L268" s="67" t="s">
        <v>720</v>
      </c>
      <c r="M268" s="38" t="s">
        <v>720</v>
      </c>
    </row>
    <row r="269" spans="1:13">
      <c r="A269" s="49" t="s">
        <v>19</v>
      </c>
      <c r="B269" s="46" t="s">
        <v>297</v>
      </c>
      <c r="C269" s="50"/>
      <c r="D269" s="47">
        <v>2022</v>
      </c>
      <c r="E269" s="56">
        <v>2569338498</v>
      </c>
      <c r="F269" s="56">
        <v>11254218398</v>
      </c>
      <c r="G269" s="56">
        <v>5480625326</v>
      </c>
      <c r="H269" s="56">
        <v>63075922</v>
      </c>
      <c r="I269" s="54">
        <f t="shared" si="5"/>
        <v>19367258144</v>
      </c>
      <c r="J269" s="53">
        <v>0</v>
      </c>
      <c r="K269" s="61" t="s">
        <v>739</v>
      </c>
      <c r="L269" s="67" t="s">
        <v>720</v>
      </c>
      <c r="M269" s="38" t="s">
        <v>720</v>
      </c>
    </row>
    <row r="270" spans="1:13">
      <c r="A270" s="49" t="s">
        <v>19</v>
      </c>
      <c r="B270" s="46" t="s">
        <v>297</v>
      </c>
      <c r="C270" s="50"/>
      <c r="D270" s="51">
        <v>2023</v>
      </c>
      <c r="E270" s="56">
        <v>2527237024</v>
      </c>
      <c r="F270" s="56">
        <v>11358538081.143</v>
      </c>
      <c r="G270" s="56">
        <v>5637037726.5945997</v>
      </c>
      <c r="H270" s="56">
        <v>42297665</v>
      </c>
      <c r="I270" s="54">
        <f t="shared" si="5"/>
        <v>19565110496.737598</v>
      </c>
      <c r="J270" s="52">
        <v>0</v>
      </c>
      <c r="K270" s="61" t="s">
        <v>739</v>
      </c>
      <c r="L270" s="67"/>
      <c r="M270" s="38"/>
    </row>
    <row r="271" spans="1:13">
      <c r="A271" s="49" t="s">
        <v>19</v>
      </c>
      <c r="B271" s="46" t="s">
        <v>297</v>
      </c>
      <c r="C271" s="50"/>
      <c r="D271" s="57">
        <v>2024</v>
      </c>
      <c r="E271" s="52">
        <v>2541124398.1999998</v>
      </c>
      <c r="F271" s="52">
        <v>7963472602.1499996</v>
      </c>
      <c r="G271" s="52">
        <v>5993264197.7051001</v>
      </c>
      <c r="H271" s="52">
        <v>182164720.44999999</v>
      </c>
      <c r="I271" s="54">
        <f t="shared" si="5"/>
        <v>16680025918.5051</v>
      </c>
      <c r="J271" s="56">
        <v>0</v>
      </c>
      <c r="K271" s="61" t="s">
        <v>739</v>
      </c>
      <c r="M271" s="38"/>
    </row>
    <row r="272" spans="1:13">
      <c r="A272" s="49"/>
      <c r="B272" s="50"/>
      <c r="C272" s="50"/>
      <c r="E272" s="53"/>
      <c r="F272" s="53"/>
      <c r="G272" s="53"/>
      <c r="H272" s="53"/>
      <c r="I272" s="54"/>
      <c r="J272" s="52"/>
      <c r="K272" s="61"/>
      <c r="M272" s="38" t="str">
        <f>IF([1]totrevprm!O272="","",[1]totrevprm!O272)</f>
        <v/>
      </c>
    </row>
    <row r="273" spans="1:13">
      <c r="A273" s="49" t="s">
        <v>21</v>
      </c>
      <c r="B273" s="46" t="s">
        <v>218</v>
      </c>
      <c r="C273" s="50" t="s">
        <v>731</v>
      </c>
      <c r="D273" s="51">
        <v>1988</v>
      </c>
      <c r="E273" s="53">
        <v>268677160</v>
      </c>
      <c r="F273" s="53">
        <v>200351054</v>
      </c>
      <c r="G273" s="53">
        <v>123852673</v>
      </c>
      <c r="H273" s="53">
        <v>0</v>
      </c>
      <c r="I273" s="54">
        <f t="shared" si="5"/>
        <v>592880887</v>
      </c>
      <c r="J273" s="52">
        <v>0</v>
      </c>
      <c r="K273" s="61"/>
      <c r="M273" s="38" t="str">
        <f>IF([1]totrevprm!O273="","",[1]totrevprm!O273)</f>
        <v/>
      </c>
    </row>
    <row r="274" spans="1:13">
      <c r="A274" s="49" t="s">
        <v>21</v>
      </c>
      <c r="B274" s="46" t="s">
        <v>218</v>
      </c>
      <c r="C274" s="50" t="s">
        <v>731</v>
      </c>
      <c r="D274" s="51">
        <v>1989</v>
      </c>
      <c r="E274" s="53">
        <v>294024103</v>
      </c>
      <c r="F274" s="53">
        <v>277245305</v>
      </c>
      <c r="G274" s="53">
        <v>147063120</v>
      </c>
      <c r="H274" s="53">
        <v>0</v>
      </c>
      <c r="I274" s="54">
        <f t="shared" si="5"/>
        <v>718332528</v>
      </c>
      <c r="J274" s="52">
        <v>0</v>
      </c>
      <c r="K274" s="61"/>
      <c r="M274" s="38" t="str">
        <f>IF([1]totrevprm!O274="","",[1]totrevprm!O274)</f>
        <v/>
      </c>
    </row>
    <row r="275" spans="1:13">
      <c r="A275" s="49" t="s">
        <v>21</v>
      </c>
      <c r="B275" s="46" t="s">
        <v>218</v>
      </c>
      <c r="C275" s="50" t="s">
        <v>731</v>
      </c>
      <c r="D275" s="51">
        <v>1990</v>
      </c>
      <c r="E275" s="53">
        <v>279345372</v>
      </c>
      <c r="F275" s="53">
        <v>428678578.80000001</v>
      </c>
      <c r="G275" s="53">
        <v>159149269</v>
      </c>
      <c r="H275" s="53">
        <v>0</v>
      </c>
      <c r="I275" s="54">
        <f t="shared" si="5"/>
        <v>867173219.79999995</v>
      </c>
      <c r="J275" s="52">
        <v>0</v>
      </c>
      <c r="K275" s="61"/>
      <c r="M275" s="38" t="str">
        <f>IF([1]totrevprm!O275="","",[1]totrevprm!O275)</f>
        <v/>
      </c>
    </row>
    <row r="276" spans="1:13">
      <c r="A276" s="49" t="s">
        <v>21</v>
      </c>
      <c r="B276" s="46" t="s">
        <v>218</v>
      </c>
      <c r="C276" s="50" t="s">
        <v>754</v>
      </c>
      <c r="D276" s="51">
        <v>1991</v>
      </c>
      <c r="E276" s="53">
        <v>251924669</v>
      </c>
      <c r="F276" s="53">
        <v>152105063</v>
      </c>
      <c r="G276" s="53">
        <v>167312321</v>
      </c>
      <c r="H276" s="53">
        <v>95930921</v>
      </c>
      <c r="I276" s="54">
        <f t="shared" si="5"/>
        <v>667272974</v>
      </c>
      <c r="J276" s="52">
        <v>0</v>
      </c>
      <c r="K276" s="61"/>
      <c r="M276" s="38" t="str">
        <f>IF([1]totrevprm!O276="","",[1]totrevprm!O276)</f>
        <v/>
      </c>
    </row>
    <row r="277" spans="1:13">
      <c r="A277" s="49" t="s">
        <v>21</v>
      </c>
      <c r="B277" s="46" t="s">
        <v>218</v>
      </c>
      <c r="C277" s="50" t="s">
        <v>755</v>
      </c>
      <c r="D277" s="51">
        <v>1992</v>
      </c>
      <c r="E277" s="53">
        <v>300680060</v>
      </c>
      <c r="F277" s="53">
        <v>166194571.36000001</v>
      </c>
      <c r="G277" s="53">
        <v>179825527</v>
      </c>
      <c r="H277" s="53">
        <v>119591410</v>
      </c>
      <c r="I277" s="54">
        <f t="shared" si="5"/>
        <v>766291568.36000001</v>
      </c>
      <c r="J277" s="52">
        <v>0</v>
      </c>
      <c r="K277" s="61"/>
      <c r="M277" s="38" t="str">
        <f>IF([1]totrevprm!O277="","",[1]totrevprm!O277)</f>
        <v/>
      </c>
    </row>
    <row r="278" spans="1:13">
      <c r="A278" s="49" t="s">
        <v>21</v>
      </c>
      <c r="B278" s="46" t="s">
        <v>218</v>
      </c>
      <c r="C278" s="50" t="s">
        <v>732</v>
      </c>
      <c r="D278" s="51">
        <v>1993</v>
      </c>
      <c r="E278" s="53">
        <v>319455282</v>
      </c>
      <c r="F278" s="53">
        <v>168982760</v>
      </c>
      <c r="G278" s="53">
        <v>198654435</v>
      </c>
      <c r="H278" s="53">
        <v>78806194</v>
      </c>
      <c r="I278" s="54">
        <f t="shared" si="5"/>
        <v>765898671</v>
      </c>
      <c r="J278" s="52">
        <v>0</v>
      </c>
      <c r="K278" s="61"/>
      <c r="M278" s="38" t="str">
        <f>IF([1]totrevprm!O278="","",[1]totrevprm!O278)</f>
        <v/>
      </c>
    </row>
    <row r="279" spans="1:13">
      <c r="A279" s="49" t="s">
        <v>21</v>
      </c>
      <c r="B279" s="46" t="s">
        <v>218</v>
      </c>
      <c r="C279" s="50" t="s">
        <v>756</v>
      </c>
      <c r="D279" s="51">
        <v>1994</v>
      </c>
      <c r="E279" s="53">
        <v>428382476</v>
      </c>
      <c r="F279" s="53">
        <v>523220061</v>
      </c>
      <c r="G279" s="53">
        <v>205453787</v>
      </c>
      <c r="H279" s="53">
        <v>213997835</v>
      </c>
      <c r="I279" s="54">
        <f t="shared" si="5"/>
        <v>1371054159</v>
      </c>
      <c r="J279" s="52">
        <v>0</v>
      </c>
      <c r="K279" s="61"/>
      <c r="M279" s="38" t="str">
        <f>IF([1]totrevprm!O279="","",[1]totrevprm!O279)</f>
        <v/>
      </c>
    </row>
    <row r="280" spans="1:13">
      <c r="A280" s="49" t="s">
        <v>21</v>
      </c>
      <c r="B280" s="46" t="s">
        <v>218</v>
      </c>
      <c r="C280" s="50" t="s">
        <v>732</v>
      </c>
      <c r="D280" s="51">
        <v>1995</v>
      </c>
      <c r="E280" s="53">
        <v>661567700</v>
      </c>
      <c r="F280" s="53">
        <v>708830689</v>
      </c>
      <c r="G280" s="53">
        <v>212484286</v>
      </c>
      <c r="H280" s="53">
        <v>82769667</v>
      </c>
      <c r="I280" s="54">
        <f t="shared" si="5"/>
        <v>1665652342</v>
      </c>
      <c r="J280" s="52">
        <v>0</v>
      </c>
      <c r="K280" s="61"/>
      <c r="M280" s="38" t="str">
        <f>IF([1]totrevprm!O280="","",[1]totrevprm!O280)</f>
        <v/>
      </c>
    </row>
    <row r="281" spans="1:13">
      <c r="A281" s="49" t="s">
        <v>21</v>
      </c>
      <c r="B281" s="46" t="s">
        <v>218</v>
      </c>
      <c r="C281" s="50" t="s">
        <v>732</v>
      </c>
      <c r="D281" s="51">
        <v>1996</v>
      </c>
      <c r="E281" s="53">
        <v>549255118</v>
      </c>
      <c r="F281" s="53">
        <v>655937573</v>
      </c>
      <c r="G281" s="53">
        <v>224620626</v>
      </c>
      <c r="H281" s="53">
        <v>41489322</v>
      </c>
      <c r="I281" s="54">
        <f t="shared" si="5"/>
        <v>1471302639</v>
      </c>
      <c r="J281" s="52">
        <v>0</v>
      </c>
      <c r="K281" s="61"/>
      <c r="M281" s="38" t="str">
        <f>IF([1]totrevprm!O281="","",[1]totrevprm!O281)</f>
        <v/>
      </c>
    </row>
    <row r="282" spans="1:13">
      <c r="A282" s="49" t="s">
        <v>21</v>
      </c>
      <c r="B282" s="46" t="s">
        <v>218</v>
      </c>
      <c r="C282" s="50" t="s">
        <v>732</v>
      </c>
      <c r="D282" s="51">
        <v>1997</v>
      </c>
      <c r="E282" s="53">
        <v>537212842</v>
      </c>
      <c r="F282" s="53">
        <v>630683634</v>
      </c>
      <c r="G282" s="53">
        <v>224519103</v>
      </c>
      <c r="H282" s="53">
        <v>110664993</v>
      </c>
      <c r="I282" s="54">
        <f t="shared" si="5"/>
        <v>1503080572</v>
      </c>
      <c r="J282" s="52">
        <v>0</v>
      </c>
      <c r="K282" s="61"/>
      <c r="M282" s="38" t="str">
        <f>IF([1]totrevprm!O282="","",[1]totrevprm!O282)</f>
        <v/>
      </c>
    </row>
    <row r="283" spans="1:13">
      <c r="A283" s="49" t="s">
        <v>21</v>
      </c>
      <c r="B283" s="46" t="s">
        <v>218</v>
      </c>
      <c r="C283" s="50" t="s">
        <v>745</v>
      </c>
      <c r="D283" s="51">
        <v>1998</v>
      </c>
      <c r="E283" s="53">
        <v>819860827</v>
      </c>
      <c r="F283" s="53">
        <v>925457335</v>
      </c>
      <c r="G283" s="53">
        <v>248690733</v>
      </c>
      <c r="H283" s="53">
        <v>78513421</v>
      </c>
      <c r="I283" s="54">
        <f t="shared" si="5"/>
        <v>2072522316</v>
      </c>
      <c r="J283" s="52">
        <v>10180962</v>
      </c>
      <c r="K283" s="61" t="s">
        <v>736</v>
      </c>
      <c r="M283" s="38" t="str">
        <f>IF([1]totrevprm!O283="","",[1]totrevprm!O283)</f>
        <v/>
      </c>
    </row>
    <row r="284" spans="1:13">
      <c r="A284" s="49" t="s">
        <v>21</v>
      </c>
      <c r="B284" s="46" t="s">
        <v>218</v>
      </c>
      <c r="C284" s="50" t="s">
        <v>732</v>
      </c>
      <c r="D284" s="51">
        <v>1999</v>
      </c>
      <c r="E284" s="53">
        <v>754883179</v>
      </c>
      <c r="F284" s="53">
        <v>676625661</v>
      </c>
      <c r="G284" s="53">
        <v>262311238</v>
      </c>
      <c r="H284" s="53">
        <v>41695890</v>
      </c>
      <c r="I284" s="54">
        <f t="shared" si="5"/>
        <v>1735515968</v>
      </c>
      <c r="J284" s="52">
        <v>32717798</v>
      </c>
      <c r="K284" s="61" t="s">
        <v>736</v>
      </c>
      <c r="M284" s="38" t="str">
        <f>IF([1]totrevprm!O284="","",[1]totrevprm!O284)</f>
        <v/>
      </c>
    </row>
    <row r="285" spans="1:13">
      <c r="A285" s="49" t="s">
        <v>21</v>
      </c>
      <c r="B285" s="46" t="s">
        <v>218</v>
      </c>
      <c r="C285" s="50" t="s">
        <v>732</v>
      </c>
      <c r="D285" s="51">
        <v>2000</v>
      </c>
      <c r="E285" s="53">
        <v>902167421</v>
      </c>
      <c r="F285" s="53">
        <v>807627348</v>
      </c>
      <c r="G285" s="53">
        <v>279902759</v>
      </c>
      <c r="H285" s="53">
        <v>55021022</v>
      </c>
      <c r="I285" s="54">
        <f t="shared" si="5"/>
        <v>2044718550</v>
      </c>
      <c r="J285" s="52">
        <v>15471277</v>
      </c>
      <c r="K285" s="61" t="s">
        <v>736</v>
      </c>
      <c r="M285" s="38" t="str">
        <f>IF([1]totrevprm!O285="","",[1]totrevprm!O285)</f>
        <v/>
      </c>
    </row>
    <row r="286" spans="1:13">
      <c r="A286" s="49" t="s">
        <v>21</v>
      </c>
      <c r="B286" s="46" t="s">
        <v>218</v>
      </c>
      <c r="C286" s="50" t="s">
        <v>732</v>
      </c>
      <c r="D286" s="51">
        <v>2001</v>
      </c>
      <c r="E286" s="53">
        <v>902534951</v>
      </c>
      <c r="F286" s="53">
        <v>917437538.00999904</v>
      </c>
      <c r="G286" s="53">
        <v>321097608</v>
      </c>
      <c r="H286" s="53">
        <v>503753044</v>
      </c>
      <c r="I286" s="54">
        <f t="shared" si="5"/>
        <v>2644823141.0099993</v>
      </c>
      <c r="J286" s="37">
        <v>877471</v>
      </c>
      <c r="K286" s="61" t="s">
        <v>736</v>
      </c>
      <c r="M286" s="38" t="str">
        <f>IF([1]totrevprm!O286="","",[1]totrevprm!O286)</f>
        <v/>
      </c>
    </row>
    <row r="287" spans="1:13">
      <c r="A287" s="49" t="s">
        <v>21</v>
      </c>
      <c r="B287" s="46" t="s">
        <v>218</v>
      </c>
      <c r="C287" s="50" t="s">
        <v>757</v>
      </c>
      <c r="D287" s="51">
        <v>2002</v>
      </c>
      <c r="E287" s="53">
        <v>692500394</v>
      </c>
      <c r="F287" s="53">
        <v>1409947304</v>
      </c>
      <c r="G287" s="68">
        <v>328355457</v>
      </c>
      <c r="H287" s="53">
        <v>31912055</v>
      </c>
      <c r="I287" s="54">
        <f t="shared" si="5"/>
        <v>2462715210</v>
      </c>
      <c r="J287" s="37">
        <v>1343470</v>
      </c>
      <c r="K287" s="61" t="s">
        <v>736</v>
      </c>
      <c r="M287" s="38" t="str">
        <f>IF([1]totrevprm!O287="","",[1]totrevprm!O287)</f>
        <v/>
      </c>
    </row>
    <row r="288" spans="1:13">
      <c r="A288" s="49" t="s">
        <v>21</v>
      </c>
      <c r="B288" s="46" t="s">
        <v>218</v>
      </c>
      <c r="C288" s="50" t="s">
        <v>732</v>
      </c>
      <c r="D288" s="51">
        <v>2003</v>
      </c>
      <c r="E288" s="55">
        <v>563347541</v>
      </c>
      <c r="F288" s="55">
        <v>1580795606</v>
      </c>
      <c r="G288" s="55">
        <v>425855058</v>
      </c>
      <c r="H288" s="55">
        <v>30424834</v>
      </c>
      <c r="I288" s="54">
        <f t="shared" si="5"/>
        <v>2600423039</v>
      </c>
      <c r="J288" s="52">
        <v>21524800</v>
      </c>
      <c r="K288" s="61" t="s">
        <v>736</v>
      </c>
      <c r="M288" s="38" t="str">
        <f>IF([1]totrevprm!O288="","",[1]totrevprm!O288)</f>
        <v/>
      </c>
    </row>
    <row r="289" spans="1:13">
      <c r="A289" s="49" t="s">
        <v>21</v>
      </c>
      <c r="B289" s="46" t="s">
        <v>218</v>
      </c>
      <c r="C289" s="50" t="s">
        <v>732</v>
      </c>
      <c r="D289" s="51">
        <v>2004</v>
      </c>
      <c r="E289" s="55">
        <v>522708579</v>
      </c>
      <c r="F289" s="55">
        <v>2834016464</v>
      </c>
      <c r="G289" s="55">
        <v>491073341</v>
      </c>
      <c r="H289" s="55">
        <v>41902580</v>
      </c>
      <c r="I289" s="54">
        <f t="shared" si="5"/>
        <v>3889700964</v>
      </c>
      <c r="J289" s="52">
        <v>7141705</v>
      </c>
      <c r="K289" s="61" t="s">
        <v>736</v>
      </c>
      <c r="M289" s="38" t="str">
        <f>IF([1]totrevprm!O289="","",[1]totrevprm!O289)</f>
        <v/>
      </c>
    </row>
    <row r="290" spans="1:13">
      <c r="A290" s="49" t="s">
        <v>21</v>
      </c>
      <c r="B290" s="46" t="s">
        <v>218</v>
      </c>
      <c r="C290" s="50"/>
      <c r="D290" s="51">
        <v>2005</v>
      </c>
      <c r="E290" s="55">
        <v>660228251</v>
      </c>
      <c r="F290" s="55">
        <v>1421390035</v>
      </c>
      <c r="G290" s="55">
        <v>579179085.19000006</v>
      </c>
      <c r="H290" s="55">
        <v>196304730</v>
      </c>
      <c r="I290" s="54">
        <f t="shared" si="5"/>
        <v>2857102101.1900001</v>
      </c>
      <c r="J290" s="52">
        <v>67234192</v>
      </c>
      <c r="K290" s="61" t="s">
        <v>736</v>
      </c>
      <c r="M290" s="38" t="str">
        <f>IF([1]totrevprm!O290="","",[1]totrevprm!O290)</f>
        <v/>
      </c>
    </row>
    <row r="291" spans="1:13">
      <c r="A291" s="49" t="s">
        <v>21</v>
      </c>
      <c r="B291" s="46" t="s">
        <v>218</v>
      </c>
      <c r="C291" s="50"/>
      <c r="D291" s="51">
        <v>2006</v>
      </c>
      <c r="E291" s="56">
        <v>882213488</v>
      </c>
      <c r="F291" s="56">
        <v>2398665193</v>
      </c>
      <c r="G291" s="56">
        <v>758889321</v>
      </c>
      <c r="H291" s="56">
        <v>88707613</v>
      </c>
      <c r="I291" s="54">
        <f t="shared" si="5"/>
        <v>4128475615</v>
      </c>
      <c r="J291" s="52">
        <v>2211338</v>
      </c>
      <c r="K291" s="61" t="s">
        <v>736</v>
      </c>
      <c r="M291" s="38" t="str">
        <f>IF([1]totrevprm!O291="","",[1]totrevprm!O291)</f>
        <v/>
      </c>
    </row>
    <row r="292" spans="1:13">
      <c r="A292" s="49" t="s">
        <v>21</v>
      </c>
      <c r="B292" s="46" t="s">
        <v>218</v>
      </c>
      <c r="C292" s="50"/>
      <c r="D292" s="51">
        <v>2007</v>
      </c>
      <c r="E292" s="56">
        <v>852112573</v>
      </c>
      <c r="F292" s="56">
        <v>1808576871</v>
      </c>
      <c r="G292" s="56">
        <v>868659122</v>
      </c>
      <c r="H292" s="56">
        <v>17784824</v>
      </c>
      <c r="I292" s="54">
        <f t="shared" si="5"/>
        <v>3547133390</v>
      </c>
      <c r="J292" s="52">
        <v>622293</v>
      </c>
      <c r="K292" s="61" t="s">
        <v>736</v>
      </c>
      <c r="M292" s="38" t="str">
        <f>IF([1]totrevprm!O292="","",[1]totrevprm!O292)</f>
        <v/>
      </c>
    </row>
    <row r="293" spans="1:13">
      <c r="A293" s="49" t="s">
        <v>21</v>
      </c>
      <c r="B293" s="46" t="s">
        <v>218</v>
      </c>
      <c r="C293" s="50"/>
      <c r="D293" s="51">
        <v>2008</v>
      </c>
      <c r="E293" s="56">
        <v>1025017351</v>
      </c>
      <c r="F293" s="56">
        <v>1910162221</v>
      </c>
      <c r="G293" s="56">
        <v>933158813</v>
      </c>
      <c r="H293" s="56">
        <v>369698279</v>
      </c>
      <c r="I293" s="54">
        <f t="shared" si="5"/>
        <v>4238036664</v>
      </c>
      <c r="J293" s="52">
        <v>879400</v>
      </c>
      <c r="K293" s="61" t="s">
        <v>736</v>
      </c>
      <c r="M293" s="38" t="str">
        <f>IF([1]totrevprm!O293="","",[1]totrevprm!O293)</f>
        <v/>
      </c>
    </row>
    <row r="294" spans="1:13">
      <c r="A294" s="49" t="s">
        <v>21</v>
      </c>
      <c r="B294" s="46" t="s">
        <v>218</v>
      </c>
      <c r="C294" s="50"/>
      <c r="D294" s="51">
        <v>2009</v>
      </c>
      <c r="E294" s="56">
        <v>822552558</v>
      </c>
      <c r="F294" s="56">
        <v>1412206711</v>
      </c>
      <c r="G294" s="56">
        <v>988941253</v>
      </c>
      <c r="H294" s="56">
        <v>135349822</v>
      </c>
      <c r="I294" s="54">
        <f t="shared" si="5"/>
        <v>3359050344</v>
      </c>
      <c r="J294" s="52">
        <v>519387</v>
      </c>
      <c r="K294" s="61" t="s">
        <v>736</v>
      </c>
      <c r="M294" s="38" t="str">
        <f>IF([1]totrevprm!O294="","",[1]totrevprm!O294)</f>
        <v/>
      </c>
    </row>
    <row r="295" spans="1:13">
      <c r="A295" s="49" t="s">
        <v>21</v>
      </c>
      <c r="B295" s="46" t="s">
        <v>218</v>
      </c>
      <c r="C295" s="50"/>
      <c r="D295" s="51">
        <v>2010</v>
      </c>
      <c r="E295" s="56">
        <v>1361781004</v>
      </c>
      <c r="F295" s="52">
        <v>2224925460</v>
      </c>
      <c r="G295" s="56">
        <v>1042389719</v>
      </c>
      <c r="H295" s="56">
        <v>380451203</v>
      </c>
      <c r="I295" s="54">
        <f t="shared" si="5"/>
        <v>5009547386</v>
      </c>
      <c r="J295" s="52">
        <v>891005</v>
      </c>
      <c r="K295" s="61" t="s">
        <v>736</v>
      </c>
      <c r="M295" s="38" t="str">
        <f>IF([1]totrevprm!O295="","",[1]totrevprm!O295)</f>
        <v/>
      </c>
    </row>
    <row r="296" spans="1:13">
      <c r="A296" s="49" t="s">
        <v>21</v>
      </c>
      <c r="B296" s="46" t="s">
        <v>218</v>
      </c>
      <c r="C296" s="50"/>
      <c r="D296" s="51">
        <v>2011</v>
      </c>
      <c r="E296" s="56">
        <v>1276585349</v>
      </c>
      <c r="F296" s="52">
        <v>2447798958</v>
      </c>
      <c r="G296" s="56">
        <v>960004957.13999999</v>
      </c>
      <c r="H296" s="56">
        <v>21932357</v>
      </c>
      <c r="I296" s="54">
        <f t="shared" si="5"/>
        <v>4706321621.1400003</v>
      </c>
      <c r="J296" s="52">
        <v>768093</v>
      </c>
      <c r="K296" s="61" t="s">
        <v>736</v>
      </c>
      <c r="M296" s="38" t="str">
        <f>IF([1]totrevprm!O296="","",[1]totrevprm!O296)</f>
        <v/>
      </c>
    </row>
    <row r="297" spans="1:13">
      <c r="A297" s="49" t="s">
        <v>21</v>
      </c>
      <c r="B297" s="46" t="s">
        <v>218</v>
      </c>
      <c r="C297" s="50"/>
      <c r="D297" s="51">
        <v>2012</v>
      </c>
      <c r="E297" s="56">
        <v>1198044498</v>
      </c>
      <c r="F297" s="52">
        <v>2785510402</v>
      </c>
      <c r="G297" s="56">
        <v>657546305</v>
      </c>
      <c r="H297" s="56">
        <v>186946251</v>
      </c>
      <c r="I297" s="54">
        <f t="shared" si="5"/>
        <v>4828047456</v>
      </c>
      <c r="J297" s="52">
        <v>537052</v>
      </c>
      <c r="K297" s="61" t="s">
        <v>736</v>
      </c>
      <c r="M297" s="38" t="str">
        <f>IF([1]totrevprm!O297="","",[1]totrevprm!O297)</f>
        <v/>
      </c>
    </row>
    <row r="298" spans="1:13">
      <c r="A298" s="49" t="s">
        <v>21</v>
      </c>
      <c r="B298" s="46" t="s">
        <v>218</v>
      </c>
      <c r="C298" s="50"/>
      <c r="D298" s="51">
        <v>2013</v>
      </c>
      <c r="E298" s="56">
        <v>965551664</v>
      </c>
      <c r="F298" s="52">
        <v>2164682905</v>
      </c>
      <c r="G298" s="56">
        <v>509198021</v>
      </c>
      <c r="H298" s="56">
        <v>44607864</v>
      </c>
      <c r="I298" s="54">
        <f t="shared" si="5"/>
        <v>3684040454</v>
      </c>
      <c r="J298" s="52">
        <v>1407219</v>
      </c>
      <c r="K298" s="61" t="s">
        <v>736</v>
      </c>
      <c r="M298" s="38" t="str">
        <f>IF([1]totrevprm!O298="","",[1]totrevprm!O298)</f>
        <v/>
      </c>
    </row>
    <row r="299" spans="1:13">
      <c r="A299" s="49" t="s">
        <v>21</v>
      </c>
      <c r="B299" s="46" t="s">
        <v>218</v>
      </c>
      <c r="C299" s="50"/>
      <c r="D299" s="47">
        <v>2014</v>
      </c>
      <c r="E299" s="56">
        <v>925035815</v>
      </c>
      <c r="F299" s="56">
        <v>2670489704</v>
      </c>
      <c r="G299" s="56">
        <v>551761086.40999997</v>
      </c>
      <c r="H299" s="56">
        <v>9214813</v>
      </c>
      <c r="I299" s="54">
        <f t="shared" si="5"/>
        <v>4156501418.4099998</v>
      </c>
      <c r="J299" s="52">
        <v>75394855</v>
      </c>
      <c r="K299" s="61" t="s">
        <v>736</v>
      </c>
      <c r="M299" s="38" t="str">
        <f>IF([1]totrevprm!O299="","",[1]totrevprm!O299)</f>
        <v/>
      </c>
    </row>
    <row r="300" spans="1:13">
      <c r="A300" s="49" t="s">
        <v>21</v>
      </c>
      <c r="B300" s="46" t="s">
        <v>218</v>
      </c>
      <c r="C300" s="50"/>
      <c r="D300" s="47">
        <v>2015</v>
      </c>
      <c r="E300" s="56">
        <v>932058669</v>
      </c>
      <c r="F300" s="56">
        <v>2374396553</v>
      </c>
      <c r="G300" s="56">
        <v>533630370</v>
      </c>
      <c r="H300" s="56">
        <v>13522993</v>
      </c>
      <c r="I300" s="54">
        <f t="shared" si="5"/>
        <v>3853608585</v>
      </c>
      <c r="J300" s="52">
        <v>12709071</v>
      </c>
      <c r="K300" s="61" t="s">
        <v>736</v>
      </c>
      <c r="M300" s="38" t="str">
        <f>IF([1]totrevprm!O300="","",[1]totrevprm!O300)</f>
        <v/>
      </c>
    </row>
    <row r="301" spans="1:13">
      <c r="A301" s="49" t="s">
        <v>21</v>
      </c>
      <c r="B301" s="46" t="s">
        <v>218</v>
      </c>
      <c r="C301" s="50"/>
      <c r="D301" s="47">
        <v>2016</v>
      </c>
      <c r="E301" s="56">
        <v>954796281</v>
      </c>
      <c r="F301" s="56">
        <v>2668716176</v>
      </c>
      <c r="G301" s="56">
        <v>582228613</v>
      </c>
      <c r="H301" s="56">
        <v>18664148</v>
      </c>
      <c r="I301" s="54">
        <f t="shared" si="5"/>
        <v>4224405218</v>
      </c>
      <c r="J301" s="52">
        <v>68361015</v>
      </c>
      <c r="K301" s="61" t="s">
        <v>736</v>
      </c>
      <c r="M301" s="38" t="str">
        <f>IF([1]totrevprm!O301="","",[1]totrevprm!O301)</f>
        <v/>
      </c>
    </row>
    <row r="302" spans="1:13">
      <c r="A302" s="49" t="s">
        <v>21</v>
      </c>
      <c r="B302" s="46" t="s">
        <v>218</v>
      </c>
      <c r="C302" s="50"/>
      <c r="D302" s="47">
        <v>2017</v>
      </c>
      <c r="E302" s="56">
        <v>967482511</v>
      </c>
      <c r="F302" s="56">
        <v>3665055210</v>
      </c>
      <c r="G302" s="56">
        <v>704658255.11000001</v>
      </c>
      <c r="H302" s="56">
        <v>52947617</v>
      </c>
      <c r="I302" s="54">
        <f t="shared" si="5"/>
        <v>5390143593.1099997</v>
      </c>
      <c r="J302" s="56">
        <v>818567</v>
      </c>
      <c r="K302" s="61" t="s">
        <v>736</v>
      </c>
      <c r="M302" s="38" t="str">
        <f>IF([1]totrevprm!O302="","",[1]totrevprm!O302)</f>
        <v/>
      </c>
    </row>
    <row r="303" spans="1:13">
      <c r="A303" s="49" t="s">
        <v>21</v>
      </c>
      <c r="B303" s="46" t="s">
        <v>218</v>
      </c>
      <c r="C303" s="50"/>
      <c r="D303" s="47">
        <v>2018</v>
      </c>
      <c r="E303" s="56">
        <v>984509292</v>
      </c>
      <c r="F303" s="56">
        <v>3197502033</v>
      </c>
      <c r="G303" s="56">
        <v>735735607.07999992</v>
      </c>
      <c r="H303" s="56">
        <v>138709862</v>
      </c>
      <c r="I303" s="54">
        <f t="shared" si="5"/>
        <v>5056456794.0799999</v>
      </c>
      <c r="J303" s="56">
        <v>6829488</v>
      </c>
      <c r="K303" s="61" t="s">
        <v>736</v>
      </c>
      <c r="L303" t="s">
        <v>720</v>
      </c>
      <c r="M303" s="38" t="str">
        <f>IF([1]totrevprm!O303="","",[1]totrevprm!O303)</f>
        <v/>
      </c>
    </row>
    <row r="304" spans="1:13">
      <c r="A304" s="49" t="s">
        <v>21</v>
      </c>
      <c r="B304" s="46" t="s">
        <v>218</v>
      </c>
      <c r="C304" s="50"/>
      <c r="D304" s="47">
        <v>2019</v>
      </c>
      <c r="E304" s="56">
        <v>1079807725</v>
      </c>
      <c r="F304" s="56">
        <v>3784493080</v>
      </c>
      <c r="G304" s="56">
        <v>767517553.19720006</v>
      </c>
      <c r="H304" s="56">
        <v>368727834</v>
      </c>
      <c r="I304" s="54">
        <f t="shared" si="5"/>
        <v>6000546192.1971998</v>
      </c>
      <c r="J304" s="56">
        <v>1183644</v>
      </c>
      <c r="K304" s="60" t="s">
        <v>746</v>
      </c>
      <c r="L304" t="s">
        <v>720</v>
      </c>
      <c r="M304" s="38" t="str">
        <f>IF([1]totrevprm!O304="","",[1]totrevprm!O304)</f>
        <v>Yes</v>
      </c>
    </row>
    <row r="305" spans="1:13">
      <c r="A305" s="49" t="s">
        <v>21</v>
      </c>
      <c r="B305" s="46" t="s">
        <v>218</v>
      </c>
      <c r="C305" s="50"/>
      <c r="D305" s="47">
        <v>2020</v>
      </c>
      <c r="E305" s="56">
        <v>1100057857</v>
      </c>
      <c r="F305" s="56">
        <v>4344738619</v>
      </c>
      <c r="G305" s="56">
        <v>707201583</v>
      </c>
      <c r="H305" s="56">
        <v>35875504</v>
      </c>
      <c r="I305" s="54">
        <f t="shared" si="5"/>
        <v>6187873563</v>
      </c>
      <c r="J305" s="56">
        <v>-6425721</v>
      </c>
      <c r="K305" s="60" t="s">
        <v>738</v>
      </c>
      <c r="L305" t="s">
        <v>720</v>
      </c>
      <c r="M305" s="38" t="str">
        <f>IF([1]totrevprm!O305="","",[1]totrevprm!O305)</f>
        <v/>
      </c>
    </row>
    <row r="306" spans="1:13">
      <c r="A306" s="49" t="s">
        <v>21</v>
      </c>
      <c r="B306" s="46" t="s">
        <v>218</v>
      </c>
      <c r="C306" s="50"/>
      <c r="D306" s="47">
        <v>2021</v>
      </c>
      <c r="E306" s="56">
        <v>1555583006</v>
      </c>
      <c r="F306" s="56">
        <v>3666747169</v>
      </c>
      <c r="G306" s="56">
        <v>725553376.57999992</v>
      </c>
      <c r="H306" s="56">
        <v>12506106</v>
      </c>
      <c r="I306" s="54">
        <f t="shared" ref="I306:I371" si="6">SUM(E306:H306)</f>
        <v>5960389657.5799999</v>
      </c>
      <c r="J306" s="52">
        <v>0</v>
      </c>
      <c r="K306" s="60" t="s">
        <v>739</v>
      </c>
      <c r="L306" t="s">
        <v>720</v>
      </c>
      <c r="M306" s="38"/>
    </row>
    <row r="307" spans="1:13">
      <c r="A307" s="49" t="s">
        <v>21</v>
      </c>
      <c r="B307" s="46" t="s">
        <v>218</v>
      </c>
      <c r="C307" s="50"/>
      <c r="D307" s="47">
        <v>2022</v>
      </c>
      <c r="E307" s="56">
        <v>1353303346</v>
      </c>
      <c r="F307" s="56">
        <v>4297679097</v>
      </c>
      <c r="G307" s="56">
        <v>756852890</v>
      </c>
      <c r="H307" s="56">
        <v>14533737</v>
      </c>
      <c r="I307" s="54">
        <f t="shared" si="6"/>
        <v>6422369070</v>
      </c>
      <c r="J307" s="52">
        <v>0</v>
      </c>
      <c r="K307" s="60" t="s">
        <v>739</v>
      </c>
      <c r="M307" s="38"/>
    </row>
    <row r="308" spans="1:13">
      <c r="A308" s="49" t="s">
        <v>21</v>
      </c>
      <c r="B308" s="46" t="s">
        <v>218</v>
      </c>
      <c r="C308" s="50"/>
      <c r="D308" s="51">
        <v>2023</v>
      </c>
      <c r="E308" s="56">
        <v>1103913713</v>
      </c>
      <c r="F308" s="56">
        <v>6676594665.9415998</v>
      </c>
      <c r="G308" s="56">
        <v>783021136.25139999</v>
      </c>
      <c r="H308" s="56">
        <v>6104508</v>
      </c>
      <c r="I308" s="54">
        <f t="shared" si="6"/>
        <v>8569634023.1929998</v>
      </c>
      <c r="J308" s="52">
        <v>0</v>
      </c>
      <c r="K308" s="60" t="s">
        <v>739</v>
      </c>
      <c r="M308" s="38"/>
    </row>
    <row r="309" spans="1:13">
      <c r="A309" s="49" t="s">
        <v>21</v>
      </c>
      <c r="B309" s="46" t="s">
        <v>218</v>
      </c>
      <c r="C309" s="50"/>
      <c r="D309" s="57">
        <v>2024</v>
      </c>
      <c r="E309" s="52">
        <v>1047157021.1799999</v>
      </c>
      <c r="F309" s="52">
        <v>7660755101.5299997</v>
      </c>
      <c r="G309" s="52">
        <v>939620076.13689995</v>
      </c>
      <c r="H309" s="52">
        <v>10721889.810000001</v>
      </c>
      <c r="I309" s="54">
        <f t="shared" si="6"/>
        <v>9658254088.6568985</v>
      </c>
      <c r="J309" s="56">
        <v>0</v>
      </c>
      <c r="K309" s="60" t="s">
        <v>739</v>
      </c>
      <c r="M309" s="38"/>
    </row>
    <row r="310" spans="1:13">
      <c r="A310" s="49"/>
      <c r="B310" s="50"/>
      <c r="C310" s="50"/>
      <c r="E310" s="69"/>
      <c r="F310" s="69"/>
      <c r="G310" s="69"/>
      <c r="H310" s="69"/>
      <c r="I310" s="54"/>
      <c r="J310" s="52"/>
      <c r="K310" s="61"/>
      <c r="M310" s="38" t="str">
        <f>IF([1]totrevprm!O310="","",[1]totrevprm!O310)</f>
        <v/>
      </c>
    </row>
    <row r="311" spans="1:13">
      <c r="A311" s="45" t="s">
        <v>758</v>
      </c>
      <c r="B311" s="46" t="s">
        <v>759</v>
      </c>
      <c r="C311" s="50" t="s">
        <v>731</v>
      </c>
      <c r="D311" s="51">
        <v>1988</v>
      </c>
      <c r="E311" s="53">
        <v>0</v>
      </c>
      <c r="F311" s="53">
        <v>0</v>
      </c>
      <c r="G311" s="53">
        <v>0</v>
      </c>
      <c r="H311" s="53">
        <v>0</v>
      </c>
      <c r="I311" s="54">
        <f t="shared" si="6"/>
        <v>0</v>
      </c>
      <c r="J311" s="52">
        <v>0</v>
      </c>
      <c r="K311" s="61"/>
      <c r="M311" s="38" t="str">
        <f>IF([1]totrevprm!O311="","",[1]totrevprm!O311)</f>
        <v/>
      </c>
    </row>
    <row r="312" spans="1:13">
      <c r="A312" s="45" t="s">
        <v>758</v>
      </c>
      <c r="B312" s="46" t="s">
        <v>759</v>
      </c>
      <c r="C312" s="50" t="s">
        <v>732</v>
      </c>
      <c r="D312" s="51">
        <v>1989</v>
      </c>
      <c r="E312" s="53">
        <v>0</v>
      </c>
      <c r="F312" s="53">
        <v>0</v>
      </c>
      <c r="G312" s="53">
        <v>0</v>
      </c>
      <c r="H312" s="53">
        <v>0</v>
      </c>
      <c r="I312" s="54">
        <f t="shared" si="6"/>
        <v>0</v>
      </c>
      <c r="J312" s="52">
        <v>0</v>
      </c>
      <c r="K312" s="61"/>
      <c r="M312" s="38" t="str">
        <f>IF([1]totrevprm!O312="","",[1]totrevprm!O312)</f>
        <v/>
      </c>
    </row>
    <row r="313" spans="1:13">
      <c r="A313" s="45" t="s">
        <v>758</v>
      </c>
      <c r="B313" s="46" t="s">
        <v>759</v>
      </c>
      <c r="C313" s="50" t="s">
        <v>732</v>
      </c>
      <c r="D313" s="51">
        <v>1990</v>
      </c>
      <c r="E313" s="53">
        <v>0</v>
      </c>
      <c r="F313" s="53">
        <v>0</v>
      </c>
      <c r="G313" s="53">
        <v>0</v>
      </c>
      <c r="H313" s="53">
        <v>0</v>
      </c>
      <c r="I313" s="54">
        <f t="shared" si="6"/>
        <v>0</v>
      </c>
      <c r="J313" s="52">
        <v>0</v>
      </c>
      <c r="K313" s="61"/>
      <c r="M313" s="38" t="str">
        <f>IF([1]totrevprm!O313="","",[1]totrevprm!O313)</f>
        <v/>
      </c>
    </row>
    <row r="314" spans="1:13">
      <c r="A314" s="45" t="s">
        <v>758</v>
      </c>
      <c r="B314" s="46" t="s">
        <v>759</v>
      </c>
      <c r="C314" s="50" t="s">
        <v>732</v>
      </c>
      <c r="D314" s="51">
        <v>1991</v>
      </c>
      <c r="E314" s="53">
        <v>217338412</v>
      </c>
      <c r="F314" s="53">
        <v>180130467</v>
      </c>
      <c r="G314" s="53">
        <v>510479203</v>
      </c>
      <c r="H314" s="53">
        <v>0</v>
      </c>
      <c r="I314" s="54">
        <f t="shared" si="6"/>
        <v>907948082</v>
      </c>
      <c r="J314" s="52">
        <v>0</v>
      </c>
      <c r="K314" s="61"/>
      <c r="M314" s="38" t="str">
        <f>IF([1]totrevprm!O314="","",[1]totrevprm!O314)</f>
        <v/>
      </c>
    </row>
    <row r="315" spans="1:13">
      <c r="A315" s="45" t="s">
        <v>758</v>
      </c>
      <c r="B315" s="46" t="s">
        <v>759</v>
      </c>
      <c r="C315" s="50" t="s">
        <v>732</v>
      </c>
      <c r="D315" s="51">
        <v>1992</v>
      </c>
      <c r="E315" s="53">
        <v>210556219</v>
      </c>
      <c r="F315" s="53">
        <v>229032963.80000001</v>
      </c>
      <c r="G315" s="53">
        <v>532295059</v>
      </c>
      <c r="H315" s="53">
        <v>0</v>
      </c>
      <c r="I315" s="54">
        <f t="shared" si="6"/>
        <v>971884241.79999995</v>
      </c>
      <c r="J315" s="52">
        <v>0</v>
      </c>
      <c r="K315" s="61"/>
      <c r="M315" s="38" t="str">
        <f>IF([1]totrevprm!O315="","",[1]totrevprm!O315)</f>
        <v/>
      </c>
    </row>
    <row r="316" spans="1:13">
      <c r="A316" s="45" t="s">
        <v>758</v>
      </c>
      <c r="B316" s="46" t="s">
        <v>759</v>
      </c>
      <c r="C316" s="50" t="s">
        <v>732</v>
      </c>
      <c r="D316" s="51">
        <v>1993</v>
      </c>
      <c r="E316" s="53">
        <v>207127514</v>
      </c>
      <c r="F316" s="53">
        <v>164168075</v>
      </c>
      <c r="G316" s="53">
        <v>555080312</v>
      </c>
      <c r="H316" s="53">
        <v>0</v>
      </c>
      <c r="I316" s="54">
        <f t="shared" si="6"/>
        <v>926375901</v>
      </c>
      <c r="J316" s="52">
        <v>0</v>
      </c>
      <c r="K316" s="61"/>
      <c r="M316" s="38" t="str">
        <f>IF([1]totrevprm!O316="","",[1]totrevprm!O316)</f>
        <v/>
      </c>
    </row>
    <row r="317" spans="1:13">
      <c r="A317" s="45" t="s">
        <v>758</v>
      </c>
      <c r="B317" s="46" t="s">
        <v>759</v>
      </c>
      <c r="C317" s="50" t="s">
        <v>732</v>
      </c>
      <c r="D317" s="51">
        <v>1994</v>
      </c>
      <c r="E317" s="53">
        <v>236776873</v>
      </c>
      <c r="F317" s="53">
        <v>174802375</v>
      </c>
      <c r="G317" s="53">
        <v>589711121</v>
      </c>
      <c r="H317" s="53">
        <v>0</v>
      </c>
      <c r="I317" s="54">
        <f t="shared" si="6"/>
        <v>1001290369</v>
      </c>
      <c r="J317" s="52">
        <v>0</v>
      </c>
      <c r="K317" s="61"/>
      <c r="M317" s="38" t="str">
        <f>IF([1]totrevprm!O317="","",[1]totrevprm!O317)</f>
        <v/>
      </c>
    </row>
    <row r="318" spans="1:13">
      <c r="A318" s="45" t="s">
        <v>758</v>
      </c>
      <c r="B318" s="46" t="s">
        <v>759</v>
      </c>
      <c r="C318" s="50" t="s">
        <v>732</v>
      </c>
      <c r="D318" s="51">
        <v>1995</v>
      </c>
      <c r="E318" s="53">
        <v>234349983</v>
      </c>
      <c r="F318" s="53">
        <v>198810580</v>
      </c>
      <c r="G318" s="53">
        <v>627674026</v>
      </c>
      <c r="H318" s="53">
        <v>0</v>
      </c>
      <c r="I318" s="54">
        <f t="shared" si="6"/>
        <v>1060834589</v>
      </c>
      <c r="J318" s="52">
        <v>0</v>
      </c>
      <c r="K318" s="61"/>
      <c r="M318" s="38" t="str">
        <f>IF([1]totrevprm!O318="","",[1]totrevprm!O318)</f>
        <v/>
      </c>
    </row>
    <row r="319" spans="1:13">
      <c r="A319" s="45" t="s">
        <v>758</v>
      </c>
      <c r="B319" s="46" t="s">
        <v>759</v>
      </c>
      <c r="C319" s="50" t="s">
        <v>732</v>
      </c>
      <c r="D319" s="51">
        <v>1996</v>
      </c>
      <c r="E319" s="53">
        <v>416473837</v>
      </c>
      <c r="F319" s="53">
        <v>153864229</v>
      </c>
      <c r="G319" s="53">
        <v>616338520</v>
      </c>
      <c r="H319" s="53">
        <v>0</v>
      </c>
      <c r="I319" s="54">
        <f t="shared" si="6"/>
        <v>1186676586</v>
      </c>
      <c r="J319" s="52">
        <v>0</v>
      </c>
      <c r="K319" s="61"/>
      <c r="M319" s="38" t="str">
        <f>IF([1]totrevprm!O319="","",[1]totrevprm!O319)</f>
        <v/>
      </c>
    </row>
    <row r="320" spans="1:13">
      <c r="A320" s="45" t="s">
        <v>758</v>
      </c>
      <c r="B320" s="46" t="s">
        <v>759</v>
      </c>
      <c r="C320" s="50" t="s">
        <v>732</v>
      </c>
      <c r="D320" s="51">
        <v>1997</v>
      </c>
      <c r="E320" s="53">
        <v>263347768</v>
      </c>
      <c r="F320" s="53">
        <v>380001823</v>
      </c>
      <c r="G320" s="53">
        <v>578124488</v>
      </c>
      <c r="H320" s="53">
        <v>0</v>
      </c>
      <c r="I320" s="54">
        <f t="shared" si="6"/>
        <v>1221474079</v>
      </c>
      <c r="J320" s="52">
        <v>0</v>
      </c>
      <c r="K320" s="61"/>
      <c r="M320" s="38" t="str">
        <f>IF([1]totrevprm!O320="","",[1]totrevprm!O320)</f>
        <v/>
      </c>
    </row>
    <row r="321" spans="1:13">
      <c r="A321" s="45" t="s">
        <v>758</v>
      </c>
      <c r="B321" s="46" t="s">
        <v>759</v>
      </c>
      <c r="C321" s="50" t="s">
        <v>732</v>
      </c>
      <c r="D321" s="51">
        <v>1998</v>
      </c>
      <c r="E321" s="53">
        <v>292761053</v>
      </c>
      <c r="F321" s="53">
        <v>180723360</v>
      </c>
      <c r="G321" s="53">
        <v>691258384</v>
      </c>
      <c r="H321" s="53">
        <v>0</v>
      </c>
      <c r="I321" s="54">
        <f t="shared" si="6"/>
        <v>1164742797</v>
      </c>
      <c r="J321" s="52">
        <v>0</v>
      </c>
      <c r="K321" s="61"/>
      <c r="M321" s="38" t="str">
        <f>IF([1]totrevprm!O321="","",[1]totrevprm!O321)</f>
        <v/>
      </c>
    </row>
    <row r="322" spans="1:13">
      <c r="A322" s="45" t="s">
        <v>758</v>
      </c>
      <c r="B322" s="46" t="s">
        <v>759</v>
      </c>
      <c r="C322" s="50" t="s">
        <v>732</v>
      </c>
      <c r="D322" s="51">
        <v>1999</v>
      </c>
      <c r="E322" s="53">
        <v>249107368</v>
      </c>
      <c r="F322" s="53">
        <v>372749297</v>
      </c>
      <c r="G322" s="53">
        <v>739288811</v>
      </c>
      <c r="H322" s="53">
        <v>0</v>
      </c>
      <c r="I322" s="54">
        <f t="shared" si="6"/>
        <v>1361145476</v>
      </c>
      <c r="J322" s="52">
        <v>0</v>
      </c>
      <c r="K322" s="61"/>
      <c r="M322" s="38" t="str">
        <f>IF([1]totrevprm!O322="","",[1]totrevprm!O322)</f>
        <v/>
      </c>
    </row>
    <row r="323" spans="1:13">
      <c r="A323" s="45" t="s">
        <v>758</v>
      </c>
      <c r="B323" s="46" t="s">
        <v>759</v>
      </c>
      <c r="C323" s="50" t="s">
        <v>732</v>
      </c>
      <c r="D323" s="51">
        <v>2000</v>
      </c>
      <c r="E323" s="53">
        <v>266914407</v>
      </c>
      <c r="F323" s="53">
        <v>190477399</v>
      </c>
      <c r="G323" s="53">
        <v>810659448</v>
      </c>
      <c r="H323" s="53">
        <v>0</v>
      </c>
      <c r="I323" s="54">
        <f t="shared" si="6"/>
        <v>1268051254</v>
      </c>
      <c r="J323" s="52">
        <v>0</v>
      </c>
      <c r="K323" s="61"/>
      <c r="M323" s="38" t="str">
        <f>IF([1]totrevprm!O323="","",[1]totrevprm!O323)</f>
        <v/>
      </c>
    </row>
    <row r="324" spans="1:13">
      <c r="A324" s="45" t="s">
        <v>758</v>
      </c>
      <c r="B324" s="46" t="s">
        <v>759</v>
      </c>
      <c r="C324" s="50" t="s">
        <v>732</v>
      </c>
      <c r="D324" s="51">
        <v>2001</v>
      </c>
      <c r="E324" s="53">
        <v>258847716</v>
      </c>
      <c r="F324" s="53">
        <v>249653429</v>
      </c>
      <c r="G324" s="53">
        <v>750560040</v>
      </c>
      <c r="H324" s="53">
        <v>0</v>
      </c>
      <c r="I324" s="54">
        <f t="shared" si="6"/>
        <v>1259061185</v>
      </c>
      <c r="J324" s="52">
        <v>0</v>
      </c>
      <c r="K324" s="61"/>
      <c r="M324" s="38" t="str">
        <f>IF([1]totrevprm!O324="","",[1]totrevprm!O324)</f>
        <v/>
      </c>
    </row>
    <row r="325" spans="1:13">
      <c r="A325" s="45" t="s">
        <v>758</v>
      </c>
      <c r="B325" s="46" t="s">
        <v>759</v>
      </c>
      <c r="C325" s="50" t="s">
        <v>732</v>
      </c>
      <c r="D325" s="51">
        <v>2002</v>
      </c>
      <c r="E325" s="53">
        <v>276884688</v>
      </c>
      <c r="F325" s="53">
        <v>485283204</v>
      </c>
      <c r="G325" s="53">
        <v>877958136</v>
      </c>
      <c r="H325" s="53">
        <v>0</v>
      </c>
      <c r="I325" s="54">
        <f t="shared" si="6"/>
        <v>1640126028</v>
      </c>
      <c r="J325" s="52">
        <v>0</v>
      </c>
      <c r="K325" s="61"/>
      <c r="M325" s="38" t="str">
        <f>IF([1]totrevprm!O325="","",[1]totrevprm!O325)</f>
        <v/>
      </c>
    </row>
    <row r="326" spans="1:13">
      <c r="A326" s="45" t="s">
        <v>758</v>
      </c>
      <c r="B326" s="46" t="s">
        <v>759</v>
      </c>
      <c r="C326" s="50" t="s">
        <v>732</v>
      </c>
      <c r="D326" s="51">
        <v>2003</v>
      </c>
      <c r="E326" s="55">
        <v>311849706</v>
      </c>
      <c r="F326" s="55">
        <v>490061992</v>
      </c>
      <c r="G326" s="55">
        <v>901468918</v>
      </c>
      <c r="H326" s="53">
        <v>0</v>
      </c>
      <c r="I326" s="54">
        <f t="shared" si="6"/>
        <v>1703380616</v>
      </c>
      <c r="J326" s="52">
        <v>0</v>
      </c>
      <c r="K326" s="61"/>
      <c r="M326" s="38" t="str">
        <f>IF([1]totrevprm!O326="","",[1]totrevprm!O326)</f>
        <v/>
      </c>
    </row>
    <row r="327" spans="1:13">
      <c r="A327" s="45" t="s">
        <v>758</v>
      </c>
      <c r="B327" s="46" t="s">
        <v>759</v>
      </c>
      <c r="C327" s="50" t="s">
        <v>732</v>
      </c>
      <c r="D327" s="51">
        <v>2004</v>
      </c>
      <c r="E327" s="55">
        <v>305373489</v>
      </c>
      <c r="F327" s="55">
        <v>389560861</v>
      </c>
      <c r="G327" s="55">
        <v>930139944</v>
      </c>
      <c r="H327" s="53">
        <v>0</v>
      </c>
      <c r="I327" s="54">
        <f t="shared" si="6"/>
        <v>1625074294</v>
      </c>
      <c r="J327" s="52">
        <v>0</v>
      </c>
      <c r="K327" s="61"/>
      <c r="M327" s="38" t="str">
        <f>IF([1]totrevprm!O327="","",[1]totrevprm!O327)</f>
        <v/>
      </c>
    </row>
    <row r="328" spans="1:13">
      <c r="A328" s="45" t="s">
        <v>758</v>
      </c>
      <c r="B328" s="46" t="s">
        <v>759</v>
      </c>
      <c r="C328" s="50"/>
      <c r="D328" s="51">
        <v>2005</v>
      </c>
      <c r="E328" s="55">
        <v>357640743</v>
      </c>
      <c r="F328" s="55">
        <v>254186592</v>
      </c>
      <c r="G328" s="55">
        <v>963803577.01999903</v>
      </c>
      <c r="H328" s="53">
        <v>0</v>
      </c>
      <c r="I328" s="54">
        <f t="shared" si="6"/>
        <v>1575630912.019999</v>
      </c>
      <c r="J328" s="52">
        <v>0</v>
      </c>
      <c r="K328" s="61"/>
      <c r="M328" s="38" t="str">
        <f>IF([1]totrevprm!O328="","",[1]totrevprm!O328)</f>
        <v/>
      </c>
    </row>
    <row r="329" spans="1:13">
      <c r="A329" s="45" t="s">
        <v>758</v>
      </c>
      <c r="B329" s="46" t="s">
        <v>759</v>
      </c>
      <c r="C329" s="50"/>
      <c r="D329" s="51">
        <v>2006</v>
      </c>
      <c r="E329" s="56">
        <v>355321670</v>
      </c>
      <c r="F329" s="56">
        <v>273683351</v>
      </c>
      <c r="G329" s="56">
        <v>963082608</v>
      </c>
      <c r="H329" s="56">
        <v>0</v>
      </c>
      <c r="I329" s="54">
        <f t="shared" si="6"/>
        <v>1592087629</v>
      </c>
      <c r="J329" s="52">
        <v>0</v>
      </c>
      <c r="K329" s="61"/>
      <c r="M329" s="38" t="str">
        <f>IF([1]totrevprm!O329="","",[1]totrevprm!O329)</f>
        <v/>
      </c>
    </row>
    <row r="330" spans="1:13">
      <c r="A330" s="45" t="s">
        <v>758</v>
      </c>
      <c r="B330" s="46" t="s">
        <v>759</v>
      </c>
      <c r="C330" s="50"/>
      <c r="D330" s="51">
        <v>2007</v>
      </c>
      <c r="E330" s="56">
        <v>376219516</v>
      </c>
      <c r="F330" s="56">
        <v>454474562</v>
      </c>
      <c r="G330" s="56">
        <v>1166633067</v>
      </c>
      <c r="H330" s="56">
        <v>0</v>
      </c>
      <c r="I330" s="54">
        <f t="shared" si="6"/>
        <v>1997327145</v>
      </c>
      <c r="J330" s="52">
        <v>0</v>
      </c>
      <c r="K330" s="61"/>
      <c r="M330" s="38" t="str">
        <f>IF([1]totrevprm!O330="","",[1]totrevprm!O330)</f>
        <v/>
      </c>
    </row>
    <row r="331" spans="1:13">
      <c r="A331" s="45" t="s">
        <v>758</v>
      </c>
      <c r="B331" s="46" t="s">
        <v>759</v>
      </c>
      <c r="C331" s="50"/>
      <c r="D331" s="51">
        <v>2008</v>
      </c>
      <c r="E331" s="56">
        <v>367138554</v>
      </c>
      <c r="F331" s="56">
        <v>463223374</v>
      </c>
      <c r="G331" s="56">
        <v>1296792711</v>
      </c>
      <c r="H331" s="56">
        <v>0</v>
      </c>
      <c r="I331" s="54">
        <f t="shared" si="6"/>
        <v>2127154639</v>
      </c>
      <c r="J331" s="52">
        <v>0</v>
      </c>
      <c r="K331" s="61"/>
      <c r="M331" s="38" t="str">
        <f>IF([1]totrevprm!O331="","",[1]totrevprm!O331)</f>
        <v/>
      </c>
    </row>
    <row r="332" spans="1:13">
      <c r="A332" s="45" t="s">
        <v>758</v>
      </c>
      <c r="B332" s="46" t="s">
        <v>759</v>
      </c>
      <c r="C332" s="50"/>
      <c r="D332" s="51">
        <v>2009</v>
      </c>
      <c r="E332" s="56">
        <v>589760311</v>
      </c>
      <c r="F332" s="56">
        <v>402348019</v>
      </c>
      <c r="G332" s="56">
        <v>1340338177</v>
      </c>
      <c r="H332" s="56">
        <v>0</v>
      </c>
      <c r="I332" s="54">
        <f t="shared" si="6"/>
        <v>2332446507</v>
      </c>
      <c r="J332" s="52">
        <v>0</v>
      </c>
      <c r="K332" s="61"/>
      <c r="M332" s="38" t="str">
        <f>IF([1]totrevprm!O332="","",[1]totrevprm!O332)</f>
        <v/>
      </c>
    </row>
    <row r="333" spans="1:13">
      <c r="A333" s="45" t="s">
        <v>758</v>
      </c>
      <c r="B333" s="46" t="s">
        <v>759</v>
      </c>
      <c r="C333" s="50"/>
      <c r="D333" s="51">
        <v>2010</v>
      </c>
      <c r="E333" s="56">
        <v>582050124</v>
      </c>
      <c r="F333" s="56">
        <v>356639884</v>
      </c>
      <c r="G333" s="56">
        <v>1356062472</v>
      </c>
      <c r="H333" s="56">
        <v>0</v>
      </c>
      <c r="I333" s="54">
        <f t="shared" si="6"/>
        <v>2294752480</v>
      </c>
      <c r="J333" s="52">
        <v>0</v>
      </c>
      <c r="K333" s="61"/>
      <c r="M333" s="38" t="str">
        <f>IF([1]totrevprm!O333="","",[1]totrevprm!O333)</f>
        <v/>
      </c>
    </row>
    <row r="334" spans="1:13">
      <c r="A334" s="45" t="s">
        <v>758</v>
      </c>
      <c r="B334" s="46" t="s">
        <v>759</v>
      </c>
      <c r="C334" s="50"/>
      <c r="D334" s="51">
        <v>2011</v>
      </c>
      <c r="E334" s="56">
        <v>555448782</v>
      </c>
      <c r="F334" s="56">
        <v>322957063</v>
      </c>
      <c r="G334" s="56">
        <v>1478092695.6599998</v>
      </c>
      <c r="H334" s="56">
        <v>0</v>
      </c>
      <c r="I334" s="54">
        <f t="shared" si="6"/>
        <v>2356498540.6599998</v>
      </c>
      <c r="J334" s="52">
        <v>0</v>
      </c>
      <c r="K334" s="61"/>
      <c r="M334" s="38" t="str">
        <f>IF([1]totrevprm!O334="","",[1]totrevprm!O334)</f>
        <v/>
      </c>
    </row>
    <row r="335" spans="1:13">
      <c r="A335" s="45" t="s">
        <v>758</v>
      </c>
      <c r="B335" s="46" t="s">
        <v>759</v>
      </c>
      <c r="C335" s="50"/>
      <c r="D335" s="51">
        <v>2012</v>
      </c>
      <c r="E335" s="56">
        <v>569416328</v>
      </c>
      <c r="F335" s="56">
        <v>331727663</v>
      </c>
      <c r="G335" s="56">
        <v>1417656271</v>
      </c>
      <c r="H335" s="56">
        <v>0</v>
      </c>
      <c r="I335" s="54">
        <f t="shared" si="6"/>
        <v>2318800262</v>
      </c>
      <c r="J335" s="52">
        <v>0</v>
      </c>
      <c r="K335" s="61"/>
      <c r="M335" s="38" t="str">
        <f>IF([1]totrevprm!O335="","",[1]totrevprm!O335)</f>
        <v/>
      </c>
    </row>
    <row r="336" spans="1:13">
      <c r="A336" s="45" t="s">
        <v>758</v>
      </c>
      <c r="B336" s="46" t="s">
        <v>759</v>
      </c>
      <c r="C336" s="50"/>
      <c r="D336" s="51">
        <v>2013</v>
      </c>
      <c r="E336" s="56">
        <v>599092036</v>
      </c>
      <c r="F336" s="56">
        <v>344442817</v>
      </c>
      <c r="G336" s="56">
        <v>1546493942</v>
      </c>
      <c r="H336" s="56">
        <v>0</v>
      </c>
      <c r="I336" s="54">
        <f t="shared" si="6"/>
        <v>2490028795</v>
      </c>
      <c r="J336" s="52">
        <v>0</v>
      </c>
      <c r="K336" s="61"/>
      <c r="M336" s="38" t="str">
        <f>IF([1]totrevprm!O336="","",[1]totrevprm!O336)</f>
        <v/>
      </c>
    </row>
    <row r="337" spans="1:13">
      <c r="A337" s="45" t="s">
        <v>758</v>
      </c>
      <c r="B337" s="46" t="s">
        <v>759</v>
      </c>
      <c r="C337" s="50"/>
      <c r="D337" s="47">
        <v>2014</v>
      </c>
      <c r="E337" s="56">
        <v>608274115</v>
      </c>
      <c r="F337" s="56">
        <v>489914827</v>
      </c>
      <c r="G337" s="56">
        <v>1457442455.8199999</v>
      </c>
      <c r="H337" s="56">
        <v>0</v>
      </c>
      <c r="I337" s="54">
        <f t="shared" si="6"/>
        <v>2555631397.8199997</v>
      </c>
      <c r="J337" s="52">
        <v>0</v>
      </c>
      <c r="K337" s="61"/>
      <c r="M337" s="38" t="str">
        <f>IF([1]totrevprm!O337="","",[1]totrevprm!O337)</f>
        <v/>
      </c>
    </row>
    <row r="338" spans="1:13">
      <c r="A338" s="45" t="s">
        <v>758</v>
      </c>
      <c r="B338" s="46" t="s">
        <v>759</v>
      </c>
      <c r="C338" s="50"/>
      <c r="D338" s="47">
        <v>2015</v>
      </c>
      <c r="E338" s="56">
        <v>635801187</v>
      </c>
      <c r="F338" s="56">
        <v>396142039</v>
      </c>
      <c r="G338" s="56">
        <v>1498032963</v>
      </c>
      <c r="H338" s="56">
        <v>0</v>
      </c>
      <c r="I338" s="54">
        <f t="shared" si="6"/>
        <v>2529976189</v>
      </c>
      <c r="J338" s="52">
        <v>0</v>
      </c>
      <c r="K338" s="61"/>
      <c r="M338" s="38" t="str">
        <f>IF([1]totrevprm!O338="","",[1]totrevprm!O338)</f>
        <v/>
      </c>
    </row>
    <row r="339" spans="1:13">
      <c r="A339" s="45" t="s">
        <v>758</v>
      </c>
      <c r="B339" s="46" t="s">
        <v>759</v>
      </c>
      <c r="C339" s="50"/>
      <c r="D339" s="47">
        <v>2016</v>
      </c>
      <c r="E339" s="56">
        <v>694218698</v>
      </c>
      <c r="F339" s="56">
        <v>487935023</v>
      </c>
      <c r="G339" s="56">
        <v>1433172159</v>
      </c>
      <c r="H339" s="56">
        <v>0</v>
      </c>
      <c r="I339" s="54">
        <f t="shared" si="6"/>
        <v>2615325880</v>
      </c>
      <c r="J339" s="52">
        <v>0</v>
      </c>
      <c r="K339" s="61"/>
      <c r="M339" s="38" t="str">
        <f>IF([1]totrevprm!O339="","",[1]totrevprm!O339)</f>
        <v/>
      </c>
    </row>
    <row r="340" spans="1:13">
      <c r="A340" s="45" t="s">
        <v>758</v>
      </c>
      <c r="B340" s="46" t="s">
        <v>759</v>
      </c>
      <c r="C340" s="50"/>
      <c r="D340" s="47">
        <v>2017</v>
      </c>
      <c r="E340" s="56">
        <v>694587613</v>
      </c>
      <c r="F340" s="56">
        <v>470558762</v>
      </c>
      <c r="G340" s="56">
        <v>1345269877.9000001</v>
      </c>
      <c r="H340" s="56">
        <v>0</v>
      </c>
      <c r="I340" s="54">
        <f t="shared" si="6"/>
        <v>2510416252.9000001</v>
      </c>
      <c r="J340" s="52">
        <v>0</v>
      </c>
      <c r="K340" s="61"/>
      <c r="M340" s="38" t="str">
        <f>IF([1]totrevprm!O340="","",[1]totrevprm!O340)</f>
        <v/>
      </c>
    </row>
    <row r="341" spans="1:13">
      <c r="A341" s="45" t="s">
        <v>758</v>
      </c>
      <c r="B341" s="46" t="s">
        <v>759</v>
      </c>
      <c r="C341" s="50"/>
      <c r="D341" s="47">
        <v>2018</v>
      </c>
      <c r="E341" s="56">
        <v>670445833</v>
      </c>
      <c r="F341" s="56">
        <v>493423681</v>
      </c>
      <c r="G341" s="56">
        <v>1412820301</v>
      </c>
      <c r="H341" s="56">
        <v>0</v>
      </c>
      <c r="I341" s="54">
        <f t="shared" si="6"/>
        <v>2576689815</v>
      </c>
      <c r="J341" s="56">
        <v>0</v>
      </c>
      <c r="K341" s="61"/>
      <c r="M341" s="38" t="str">
        <f>IF([1]totrevprm!O341="","",[1]totrevprm!O341)</f>
        <v/>
      </c>
    </row>
    <row r="342" spans="1:13">
      <c r="A342" s="45" t="s">
        <v>758</v>
      </c>
      <c r="B342" s="46" t="s">
        <v>759</v>
      </c>
      <c r="C342" s="50"/>
      <c r="D342" s="47">
        <v>2019</v>
      </c>
      <c r="E342" s="56">
        <v>653119970</v>
      </c>
      <c r="F342" s="56">
        <v>525600101</v>
      </c>
      <c r="G342" s="56">
        <v>1725703642.9925001</v>
      </c>
      <c r="H342" s="56">
        <v>0</v>
      </c>
      <c r="I342" s="54">
        <f t="shared" si="6"/>
        <v>2904423713.9925003</v>
      </c>
      <c r="J342" s="56">
        <v>0</v>
      </c>
      <c r="K342" s="61"/>
      <c r="M342" s="38" t="str">
        <f>IF([1]totrevprm!O342="","",[1]totrevprm!O342)</f>
        <v/>
      </c>
    </row>
    <row r="343" spans="1:13">
      <c r="A343" s="45" t="s">
        <v>758</v>
      </c>
      <c r="B343" s="46" t="s">
        <v>759</v>
      </c>
      <c r="C343" s="50"/>
      <c r="D343" s="47">
        <v>2020</v>
      </c>
      <c r="E343" s="56">
        <v>657339610</v>
      </c>
      <c r="F343" s="56">
        <v>583133211</v>
      </c>
      <c r="G343" s="56">
        <v>1777954388</v>
      </c>
      <c r="H343" s="56">
        <v>0</v>
      </c>
      <c r="I343" s="54">
        <f t="shared" si="6"/>
        <v>3018427209</v>
      </c>
      <c r="J343" s="56">
        <v>0</v>
      </c>
      <c r="K343" s="61"/>
      <c r="M343" s="38" t="str">
        <f>IF([1]totrevprm!O343="","",[1]totrevprm!O343)</f>
        <v/>
      </c>
    </row>
    <row r="344" spans="1:13">
      <c r="A344" s="45" t="s">
        <v>758</v>
      </c>
      <c r="B344" s="46" t="s">
        <v>759</v>
      </c>
      <c r="C344" s="50"/>
      <c r="D344" s="47">
        <v>2021</v>
      </c>
      <c r="E344" s="56">
        <v>732028479</v>
      </c>
      <c r="F344" s="56">
        <v>678292734</v>
      </c>
      <c r="G344" s="56">
        <v>1843346478</v>
      </c>
      <c r="H344" s="56">
        <v>0</v>
      </c>
      <c r="I344" s="54">
        <f t="shared" si="6"/>
        <v>3253667691</v>
      </c>
      <c r="J344" s="56">
        <v>0</v>
      </c>
      <c r="K344" s="61"/>
      <c r="M344" s="38"/>
    </row>
    <row r="345" spans="1:13">
      <c r="A345" s="45" t="s">
        <v>758</v>
      </c>
      <c r="B345" s="46" t="s">
        <v>759</v>
      </c>
      <c r="C345" s="50"/>
      <c r="D345" s="47">
        <v>2022</v>
      </c>
      <c r="E345" s="56">
        <v>781738365</v>
      </c>
      <c r="F345" s="56">
        <v>733062094</v>
      </c>
      <c r="G345" s="56">
        <v>1884180942</v>
      </c>
      <c r="H345" s="56">
        <v>0</v>
      </c>
      <c r="I345" s="54">
        <f t="shared" si="6"/>
        <v>3398981401</v>
      </c>
      <c r="J345" s="56">
        <v>0</v>
      </c>
      <c r="K345" s="61"/>
      <c r="M345" s="38"/>
    </row>
    <row r="346" spans="1:13">
      <c r="A346" s="45" t="s">
        <v>758</v>
      </c>
      <c r="B346" s="46" t="s">
        <v>759</v>
      </c>
      <c r="C346" s="50"/>
      <c r="D346" s="51">
        <v>2023</v>
      </c>
      <c r="E346" s="56">
        <v>768799041</v>
      </c>
      <c r="F346" s="56">
        <v>712252747.80739999</v>
      </c>
      <c r="G346" s="56">
        <v>1959730971.4397001</v>
      </c>
      <c r="H346" s="56">
        <v>0</v>
      </c>
      <c r="I346" s="54">
        <f t="shared" si="6"/>
        <v>3440782760.2470999</v>
      </c>
      <c r="J346" s="52">
        <v>0</v>
      </c>
      <c r="K346" s="61"/>
      <c r="M346" s="38"/>
    </row>
    <row r="347" spans="1:13">
      <c r="A347" s="45" t="s">
        <v>758</v>
      </c>
      <c r="B347" s="46" t="s">
        <v>759</v>
      </c>
      <c r="C347" s="50"/>
      <c r="D347" s="57">
        <v>2024</v>
      </c>
      <c r="E347" s="52">
        <v>754796665.46000004</v>
      </c>
      <c r="F347" s="52">
        <v>850339424.57000005</v>
      </c>
      <c r="G347" s="52">
        <v>3502577689.8943</v>
      </c>
      <c r="H347" s="52">
        <v>0</v>
      </c>
      <c r="I347" s="54">
        <f t="shared" si="6"/>
        <v>5107713779.9243002</v>
      </c>
      <c r="J347" s="56">
        <v>0</v>
      </c>
      <c r="K347" s="60" t="s">
        <v>760</v>
      </c>
      <c r="M347" s="38"/>
    </row>
    <row r="348" spans="1:13">
      <c r="A348" s="49"/>
      <c r="B348" s="50"/>
      <c r="C348" s="50"/>
      <c r="E348" s="53"/>
      <c r="F348" s="53"/>
      <c r="G348" s="53"/>
      <c r="H348" s="53"/>
      <c r="I348" s="54"/>
      <c r="J348" s="52"/>
      <c r="K348" s="61"/>
      <c r="M348" s="38" t="str">
        <f>IF([1]totrevprm!O348="","",[1]totrevprm!O348)</f>
        <v/>
      </c>
    </row>
    <row r="349" spans="1:13">
      <c r="A349" s="49" t="s">
        <v>25</v>
      </c>
      <c r="B349" s="46" t="s">
        <v>343</v>
      </c>
      <c r="C349" s="50" t="s">
        <v>731</v>
      </c>
      <c r="D349" s="51">
        <v>1988</v>
      </c>
      <c r="E349" s="53">
        <v>2904264606</v>
      </c>
      <c r="F349" s="53">
        <v>2766315166</v>
      </c>
      <c r="G349" s="53">
        <v>4016774828</v>
      </c>
      <c r="H349" s="53">
        <v>0</v>
      </c>
      <c r="I349" s="54">
        <f t="shared" si="6"/>
        <v>9687354600</v>
      </c>
      <c r="J349" s="52">
        <v>0</v>
      </c>
      <c r="K349" s="61"/>
      <c r="M349" s="38" t="str">
        <f>IF([1]totrevprm!O349="","",[1]totrevprm!O349)</f>
        <v/>
      </c>
    </row>
    <row r="350" spans="1:13">
      <c r="A350" s="49" t="s">
        <v>25</v>
      </c>
      <c r="B350" s="46" t="s">
        <v>343</v>
      </c>
      <c r="C350" s="50" t="s">
        <v>732</v>
      </c>
      <c r="D350" s="51">
        <v>1989</v>
      </c>
      <c r="E350" s="53">
        <v>2622317118</v>
      </c>
      <c r="F350" s="53">
        <v>3090286175</v>
      </c>
      <c r="G350" s="53">
        <v>4566724561</v>
      </c>
      <c r="H350" s="53">
        <v>0</v>
      </c>
      <c r="I350" s="54">
        <f t="shared" si="6"/>
        <v>10279327854</v>
      </c>
      <c r="J350" s="52">
        <v>0</v>
      </c>
      <c r="K350" s="61"/>
      <c r="M350" s="38" t="str">
        <f>IF([1]totrevprm!O350="","",[1]totrevprm!O350)</f>
        <v/>
      </c>
    </row>
    <row r="351" spans="1:13">
      <c r="A351" s="49" t="s">
        <v>25</v>
      </c>
      <c r="B351" s="46" t="s">
        <v>343</v>
      </c>
      <c r="C351" s="50" t="s">
        <v>732</v>
      </c>
      <c r="D351" s="51">
        <v>1990</v>
      </c>
      <c r="E351" s="53">
        <v>2785056749</v>
      </c>
      <c r="F351" s="53">
        <v>3399675776.1599998</v>
      </c>
      <c r="G351" s="53">
        <v>4910814104</v>
      </c>
      <c r="H351" s="53">
        <v>0</v>
      </c>
      <c r="I351" s="54">
        <f t="shared" si="6"/>
        <v>11095546629.16</v>
      </c>
      <c r="J351" s="52">
        <v>0</v>
      </c>
      <c r="K351" s="61"/>
      <c r="M351" s="38" t="str">
        <f>IF([1]totrevprm!O351="","",[1]totrevprm!O351)</f>
        <v/>
      </c>
    </row>
    <row r="352" spans="1:13">
      <c r="A352" s="49" t="s">
        <v>25</v>
      </c>
      <c r="B352" s="46" t="s">
        <v>343</v>
      </c>
      <c r="C352" s="50" t="s">
        <v>732</v>
      </c>
      <c r="D352" s="51">
        <v>1991</v>
      </c>
      <c r="E352" s="53">
        <v>3018214798</v>
      </c>
      <c r="F352" s="53">
        <v>3260602915</v>
      </c>
      <c r="G352" s="53">
        <v>4824686085</v>
      </c>
      <c r="H352" s="53">
        <v>0</v>
      </c>
      <c r="I352" s="54">
        <f t="shared" si="6"/>
        <v>11103503798</v>
      </c>
      <c r="J352" s="52">
        <v>0</v>
      </c>
      <c r="K352" s="61"/>
      <c r="M352" s="38" t="str">
        <f>IF([1]totrevprm!O352="","",[1]totrevprm!O352)</f>
        <v/>
      </c>
    </row>
    <row r="353" spans="1:13">
      <c r="A353" s="49" t="s">
        <v>25</v>
      </c>
      <c r="B353" s="46" t="s">
        <v>343</v>
      </c>
      <c r="C353" s="50" t="s">
        <v>732</v>
      </c>
      <c r="D353" s="51">
        <v>1992</v>
      </c>
      <c r="E353" s="53">
        <v>3162112541</v>
      </c>
      <c r="F353" s="53">
        <v>3336448588.6399999</v>
      </c>
      <c r="G353" s="53">
        <v>5037561670</v>
      </c>
      <c r="H353" s="53">
        <v>0</v>
      </c>
      <c r="I353" s="54">
        <f t="shared" si="6"/>
        <v>11536122799.639999</v>
      </c>
      <c r="J353" s="52">
        <v>0</v>
      </c>
      <c r="K353" s="61"/>
      <c r="M353" s="38" t="str">
        <f>IF([1]totrevprm!O353="","",[1]totrevprm!O353)</f>
        <v/>
      </c>
    </row>
    <row r="354" spans="1:13">
      <c r="A354" s="49" t="s">
        <v>25</v>
      </c>
      <c r="B354" s="46" t="s">
        <v>343</v>
      </c>
      <c r="C354" s="50" t="s">
        <v>732</v>
      </c>
      <c r="D354" s="51">
        <v>1993</v>
      </c>
      <c r="E354" s="53">
        <v>3409968139</v>
      </c>
      <c r="F354" s="53">
        <v>2977923343</v>
      </c>
      <c r="G354" s="53">
        <v>5262005332</v>
      </c>
      <c r="H354" s="53">
        <v>0</v>
      </c>
      <c r="I354" s="54">
        <f t="shared" si="6"/>
        <v>11649896814</v>
      </c>
      <c r="J354" s="52">
        <v>0</v>
      </c>
      <c r="K354" s="61"/>
      <c r="M354" s="38" t="str">
        <f>IF([1]totrevprm!O354="","",[1]totrevprm!O354)</f>
        <v/>
      </c>
    </row>
    <row r="355" spans="1:13">
      <c r="A355" s="49" t="s">
        <v>25</v>
      </c>
      <c r="B355" s="46" t="s">
        <v>343</v>
      </c>
      <c r="C355" s="50" t="s">
        <v>732</v>
      </c>
      <c r="D355" s="51">
        <v>1994</v>
      </c>
      <c r="E355" s="53">
        <v>3715944861</v>
      </c>
      <c r="F355" s="53">
        <v>3650195195</v>
      </c>
      <c r="G355" s="53">
        <v>5365881056</v>
      </c>
      <c r="H355" s="53">
        <v>0</v>
      </c>
      <c r="I355" s="54">
        <f t="shared" si="6"/>
        <v>12732021112</v>
      </c>
      <c r="J355" s="52">
        <v>0</v>
      </c>
      <c r="K355" s="61"/>
      <c r="M355" s="38" t="str">
        <f>IF([1]totrevprm!O355="","",[1]totrevprm!O355)</f>
        <v/>
      </c>
    </row>
    <row r="356" spans="1:13">
      <c r="A356" s="49" t="s">
        <v>25</v>
      </c>
      <c r="B356" s="46" t="s">
        <v>343</v>
      </c>
      <c r="C356" s="50" t="s">
        <v>732</v>
      </c>
      <c r="D356" s="51">
        <v>1995</v>
      </c>
      <c r="E356" s="53">
        <v>4287121478</v>
      </c>
      <c r="F356" s="53">
        <v>3533068915</v>
      </c>
      <c r="G356" s="53">
        <v>5524451760</v>
      </c>
      <c r="H356" s="53">
        <v>0</v>
      </c>
      <c r="I356" s="54">
        <f t="shared" si="6"/>
        <v>13344642153</v>
      </c>
      <c r="J356" s="52">
        <v>0</v>
      </c>
      <c r="K356" s="61"/>
      <c r="M356" s="38" t="str">
        <f>IF([1]totrevprm!O356="","",[1]totrevprm!O356)</f>
        <v/>
      </c>
    </row>
    <row r="357" spans="1:13">
      <c r="A357" s="49" t="s">
        <v>25</v>
      </c>
      <c r="B357" s="46" t="s">
        <v>343</v>
      </c>
      <c r="C357" s="50" t="s">
        <v>732</v>
      </c>
      <c r="D357" s="51">
        <v>1996</v>
      </c>
      <c r="E357" s="53">
        <v>4054776472</v>
      </c>
      <c r="F357" s="53">
        <v>3336938386</v>
      </c>
      <c r="G357" s="53">
        <v>5511083411</v>
      </c>
      <c r="H357" s="53">
        <v>0</v>
      </c>
      <c r="I357" s="54">
        <f t="shared" si="6"/>
        <v>12902798269</v>
      </c>
      <c r="J357" s="52">
        <v>0</v>
      </c>
      <c r="K357" s="61"/>
      <c r="M357" s="38" t="str">
        <f>IF([1]totrevprm!O357="","",[1]totrevprm!O357)</f>
        <v/>
      </c>
    </row>
    <row r="358" spans="1:13">
      <c r="A358" s="49" t="s">
        <v>25</v>
      </c>
      <c r="B358" s="46" t="s">
        <v>343</v>
      </c>
      <c r="C358" s="50" t="s">
        <v>732</v>
      </c>
      <c r="D358" s="51">
        <v>1997</v>
      </c>
      <c r="E358" s="53">
        <v>4280528455</v>
      </c>
      <c r="F358" s="53">
        <v>3709224961</v>
      </c>
      <c r="G358" s="53">
        <v>5430501418</v>
      </c>
      <c r="H358" s="53">
        <v>0</v>
      </c>
      <c r="I358" s="54">
        <f t="shared" si="6"/>
        <v>13420254834</v>
      </c>
      <c r="J358" s="52">
        <v>0</v>
      </c>
      <c r="K358" s="61"/>
      <c r="M358" s="38" t="str">
        <f>IF([1]totrevprm!O358="","",[1]totrevprm!O358)</f>
        <v/>
      </c>
    </row>
    <row r="359" spans="1:13">
      <c r="A359" s="49" t="s">
        <v>25</v>
      </c>
      <c r="B359" s="46" t="s">
        <v>343</v>
      </c>
      <c r="C359" s="50" t="s">
        <v>732</v>
      </c>
      <c r="D359" s="51">
        <v>1998</v>
      </c>
      <c r="E359" s="53">
        <v>4277963293</v>
      </c>
      <c r="F359" s="53">
        <v>3707410535</v>
      </c>
      <c r="G359" s="53">
        <v>5537143929</v>
      </c>
      <c r="H359" s="53">
        <v>0</v>
      </c>
      <c r="I359" s="54">
        <f t="shared" si="6"/>
        <v>13522517757</v>
      </c>
      <c r="J359" s="52">
        <v>0</v>
      </c>
      <c r="K359" s="61"/>
      <c r="M359" s="38" t="str">
        <f>IF([1]totrevprm!O359="","",[1]totrevprm!O359)</f>
        <v/>
      </c>
    </row>
    <row r="360" spans="1:13">
      <c r="A360" s="49" t="s">
        <v>25</v>
      </c>
      <c r="B360" s="46" t="s">
        <v>343</v>
      </c>
      <c r="C360" s="50" t="s">
        <v>732</v>
      </c>
      <c r="D360" s="51">
        <v>1999</v>
      </c>
      <c r="E360" s="53">
        <v>4145941046</v>
      </c>
      <c r="F360" s="53">
        <v>5013620199</v>
      </c>
      <c r="G360" s="53">
        <v>5741068706</v>
      </c>
      <c r="H360" s="53">
        <v>0</v>
      </c>
      <c r="I360" s="54">
        <f t="shared" si="6"/>
        <v>14900629951</v>
      </c>
      <c r="J360" s="52">
        <v>0</v>
      </c>
      <c r="K360" s="61"/>
      <c r="M360" s="38" t="str">
        <f>IF([1]totrevprm!O360="","",[1]totrevprm!O360)</f>
        <v/>
      </c>
    </row>
    <row r="361" spans="1:13">
      <c r="A361" s="49" t="s">
        <v>25</v>
      </c>
      <c r="B361" s="46" t="s">
        <v>343</v>
      </c>
      <c r="C361" s="50" t="s">
        <v>732</v>
      </c>
      <c r="D361" s="51">
        <v>2000</v>
      </c>
      <c r="E361" s="53">
        <v>4328405879</v>
      </c>
      <c r="F361" s="53">
        <v>5902011296</v>
      </c>
      <c r="G361" s="53">
        <v>6043302610</v>
      </c>
      <c r="H361" s="53">
        <v>0</v>
      </c>
      <c r="I361" s="54">
        <f t="shared" si="6"/>
        <v>16273719785</v>
      </c>
      <c r="J361" s="52">
        <v>0</v>
      </c>
      <c r="K361" s="61"/>
      <c r="M361" s="38" t="str">
        <f>IF([1]totrevprm!O361="","",[1]totrevprm!O361)</f>
        <v/>
      </c>
    </row>
    <row r="362" spans="1:13">
      <c r="A362" s="49" t="s">
        <v>25</v>
      </c>
      <c r="B362" s="46" t="s">
        <v>343</v>
      </c>
      <c r="C362" s="50" t="s">
        <v>732</v>
      </c>
      <c r="D362" s="51">
        <v>2001</v>
      </c>
      <c r="E362" s="53">
        <v>4556230821</v>
      </c>
      <c r="F362" s="53">
        <v>8535906409</v>
      </c>
      <c r="G362" s="53">
        <v>6691943712</v>
      </c>
      <c r="H362" s="53">
        <v>0</v>
      </c>
      <c r="I362" s="54">
        <f t="shared" si="6"/>
        <v>19784080942</v>
      </c>
      <c r="J362" s="52">
        <v>0</v>
      </c>
      <c r="K362" s="61"/>
      <c r="M362" s="38" t="str">
        <f>IF([1]totrevprm!O362="","",[1]totrevprm!O362)</f>
        <v/>
      </c>
    </row>
    <row r="363" spans="1:13">
      <c r="A363" s="49" t="s">
        <v>25</v>
      </c>
      <c r="B363" s="46" t="s">
        <v>343</v>
      </c>
      <c r="C363" s="50" t="s">
        <v>732</v>
      </c>
      <c r="D363" s="51">
        <v>2002</v>
      </c>
      <c r="E363" s="53">
        <v>4722240139</v>
      </c>
      <c r="F363" s="53">
        <v>12062139569</v>
      </c>
      <c r="G363" s="53">
        <v>7128916882</v>
      </c>
      <c r="H363" s="53">
        <v>0</v>
      </c>
      <c r="I363" s="54">
        <f t="shared" si="6"/>
        <v>23913296590</v>
      </c>
      <c r="J363" s="52">
        <v>0</v>
      </c>
      <c r="K363" s="61"/>
      <c r="M363" s="38" t="str">
        <f>IF([1]totrevprm!O363="","",[1]totrevprm!O363)</f>
        <v/>
      </c>
    </row>
    <row r="364" spans="1:13">
      <c r="A364" s="49" t="s">
        <v>25</v>
      </c>
      <c r="B364" s="46" t="s">
        <v>343</v>
      </c>
      <c r="C364" s="50" t="s">
        <v>732</v>
      </c>
      <c r="D364" s="51">
        <v>2003</v>
      </c>
      <c r="E364" s="55">
        <v>5134646920</v>
      </c>
      <c r="F364" s="55">
        <v>11338322377</v>
      </c>
      <c r="G364" s="55">
        <v>7680083229</v>
      </c>
      <c r="H364" s="53">
        <v>0</v>
      </c>
      <c r="I364" s="54">
        <f t="shared" si="6"/>
        <v>24153052526</v>
      </c>
      <c r="J364" s="52">
        <v>0</v>
      </c>
      <c r="K364" s="61"/>
      <c r="M364" s="38" t="str">
        <f>IF([1]totrevprm!O364="","",[1]totrevprm!O364)</f>
        <v/>
      </c>
    </row>
    <row r="365" spans="1:13">
      <c r="A365" s="49" t="s">
        <v>25</v>
      </c>
      <c r="B365" s="46" t="s">
        <v>343</v>
      </c>
      <c r="C365" s="50" t="s">
        <v>732</v>
      </c>
      <c r="D365" s="51">
        <v>2004</v>
      </c>
      <c r="E365" s="55">
        <v>5619245870</v>
      </c>
      <c r="F365" s="55">
        <v>8878815674</v>
      </c>
      <c r="G365" s="55">
        <v>8589728379</v>
      </c>
      <c r="H365" s="53">
        <v>0</v>
      </c>
      <c r="I365" s="54">
        <f t="shared" si="6"/>
        <v>23087789923</v>
      </c>
      <c r="J365" s="52">
        <v>0</v>
      </c>
      <c r="K365" s="61"/>
      <c r="M365" s="38" t="str">
        <f>IF([1]totrevprm!O365="","",[1]totrevprm!O365)</f>
        <v/>
      </c>
    </row>
    <row r="366" spans="1:13">
      <c r="A366" s="49" t="s">
        <v>25</v>
      </c>
      <c r="B366" s="46" t="s">
        <v>343</v>
      </c>
      <c r="C366" s="50"/>
      <c r="D366" s="51">
        <v>2005</v>
      </c>
      <c r="E366" s="55">
        <v>5896022804</v>
      </c>
      <c r="F366" s="55">
        <v>7607281653</v>
      </c>
      <c r="G366" s="55">
        <v>9941072388.2799892</v>
      </c>
      <c r="H366" s="53">
        <v>0</v>
      </c>
      <c r="I366" s="54">
        <f t="shared" si="6"/>
        <v>23444376845.279991</v>
      </c>
      <c r="J366" s="52">
        <v>0</v>
      </c>
      <c r="K366" s="61"/>
      <c r="M366" s="38" t="str">
        <f>IF([1]totrevprm!O366="","",[1]totrevprm!O366)</f>
        <v/>
      </c>
    </row>
    <row r="367" spans="1:13">
      <c r="A367" s="49" t="s">
        <v>25</v>
      </c>
      <c r="B367" s="46" t="s">
        <v>343</v>
      </c>
      <c r="C367" s="50"/>
      <c r="D367" s="51">
        <v>2006</v>
      </c>
      <c r="E367" s="56">
        <v>6477413628</v>
      </c>
      <c r="F367" s="56">
        <v>8236527265</v>
      </c>
      <c r="G367" s="56">
        <v>10959160794</v>
      </c>
      <c r="H367" s="53">
        <v>0</v>
      </c>
      <c r="I367" s="54">
        <f t="shared" si="6"/>
        <v>25673101687</v>
      </c>
      <c r="J367" s="52">
        <v>0</v>
      </c>
      <c r="K367" s="61"/>
      <c r="M367" s="38" t="str">
        <f>IF([1]totrevprm!O367="","",[1]totrevprm!O367)</f>
        <v/>
      </c>
    </row>
    <row r="368" spans="1:13">
      <c r="A368" s="49" t="s">
        <v>25</v>
      </c>
      <c r="B368" s="46" t="s">
        <v>343</v>
      </c>
      <c r="C368" s="50"/>
      <c r="D368" s="51">
        <v>2007</v>
      </c>
      <c r="E368" s="56">
        <v>6737841562</v>
      </c>
      <c r="F368" s="56">
        <v>9503241605</v>
      </c>
      <c r="G368" s="56">
        <v>14723125905</v>
      </c>
      <c r="H368" s="53">
        <v>0</v>
      </c>
      <c r="I368" s="54">
        <f t="shared" si="6"/>
        <v>30964209072</v>
      </c>
      <c r="J368" s="52">
        <v>0</v>
      </c>
      <c r="K368" s="61"/>
      <c r="M368" s="38" t="str">
        <f>IF([1]totrevprm!O368="","",[1]totrevprm!O368)</f>
        <v/>
      </c>
    </row>
    <row r="369" spans="1:13">
      <c r="A369" s="49" t="s">
        <v>25</v>
      </c>
      <c r="B369" s="46" t="s">
        <v>343</v>
      </c>
      <c r="C369" s="50"/>
      <c r="D369" s="51">
        <v>2008</v>
      </c>
      <c r="E369" s="56">
        <v>6902676520</v>
      </c>
      <c r="F369" s="56">
        <v>13498259765</v>
      </c>
      <c r="G369" s="56">
        <v>15399410273</v>
      </c>
      <c r="H369" s="53">
        <v>0</v>
      </c>
      <c r="I369" s="54">
        <f t="shared" si="6"/>
        <v>35800346558</v>
      </c>
      <c r="J369" s="52">
        <v>0</v>
      </c>
      <c r="K369" s="61"/>
      <c r="M369" s="38" t="str">
        <f>IF([1]totrevprm!O369="","",[1]totrevprm!O369)</f>
        <v/>
      </c>
    </row>
    <row r="370" spans="1:13">
      <c r="A370" s="49" t="s">
        <v>25</v>
      </c>
      <c r="B370" s="46" t="s">
        <v>343</v>
      </c>
      <c r="C370" s="50"/>
      <c r="D370" s="51">
        <v>2009</v>
      </c>
      <c r="E370" s="56">
        <v>6999870075</v>
      </c>
      <c r="F370" s="56">
        <v>13125370809</v>
      </c>
      <c r="G370" s="56">
        <v>15565154033</v>
      </c>
      <c r="H370" s="53">
        <v>0</v>
      </c>
      <c r="I370" s="54">
        <f t="shared" si="6"/>
        <v>35690394917</v>
      </c>
      <c r="J370" s="52">
        <v>0</v>
      </c>
      <c r="K370" s="61"/>
      <c r="M370" s="38" t="str">
        <f>IF([1]totrevprm!O370="","",[1]totrevprm!O370)</f>
        <v/>
      </c>
    </row>
    <row r="371" spans="1:13">
      <c r="A371" s="49" t="s">
        <v>25</v>
      </c>
      <c r="B371" s="46" t="s">
        <v>343</v>
      </c>
      <c r="C371" s="50"/>
      <c r="D371" s="51">
        <v>2010</v>
      </c>
      <c r="E371" s="56">
        <v>7258349178</v>
      </c>
      <c r="F371" s="56">
        <v>11073309892</v>
      </c>
      <c r="G371" s="56">
        <v>16019974112</v>
      </c>
      <c r="H371" s="53">
        <v>0</v>
      </c>
      <c r="I371" s="54">
        <f t="shared" si="6"/>
        <v>34351633182</v>
      </c>
      <c r="J371" s="52">
        <v>0</v>
      </c>
      <c r="K371" s="61"/>
      <c r="M371" s="38" t="str">
        <f>IF([1]totrevprm!O371="","",[1]totrevprm!O371)</f>
        <v/>
      </c>
    </row>
    <row r="372" spans="1:13">
      <c r="A372" s="49" t="s">
        <v>25</v>
      </c>
      <c r="B372" s="46" t="s">
        <v>343</v>
      </c>
      <c r="C372" s="50"/>
      <c r="D372" s="51">
        <v>2011</v>
      </c>
      <c r="E372" s="56">
        <v>7532542724</v>
      </c>
      <c r="F372" s="56">
        <v>10744644453</v>
      </c>
      <c r="G372" s="56">
        <v>16012672883.950001</v>
      </c>
      <c r="H372" s="53">
        <v>0</v>
      </c>
      <c r="I372" s="54">
        <f t="shared" ref="I372:I437" si="7">SUM(E372:H372)</f>
        <v>34289860060.950001</v>
      </c>
      <c r="J372" s="52">
        <v>0</v>
      </c>
      <c r="K372" s="61"/>
      <c r="M372" s="38" t="str">
        <f>IF([1]totrevprm!O372="","",[1]totrevprm!O372)</f>
        <v/>
      </c>
    </row>
    <row r="373" spans="1:13">
      <c r="A373" s="49" t="s">
        <v>25</v>
      </c>
      <c r="B373" s="46" t="s">
        <v>343</v>
      </c>
      <c r="C373" s="50"/>
      <c r="D373" s="51">
        <v>2012</v>
      </c>
      <c r="E373" s="56">
        <v>7825022377</v>
      </c>
      <c r="F373" s="56">
        <v>13111423767</v>
      </c>
      <c r="G373" s="56">
        <v>14295540155</v>
      </c>
      <c r="H373" s="53">
        <v>0</v>
      </c>
      <c r="I373" s="54">
        <f t="shared" si="7"/>
        <v>35231986299</v>
      </c>
      <c r="J373" s="52">
        <v>0</v>
      </c>
      <c r="K373" s="61"/>
      <c r="M373" s="38" t="str">
        <f>IF([1]totrevprm!O373="","",[1]totrevprm!O373)</f>
        <v/>
      </c>
    </row>
    <row r="374" spans="1:13">
      <c r="A374" s="49" t="s">
        <v>25</v>
      </c>
      <c r="B374" s="46" t="s">
        <v>343</v>
      </c>
      <c r="C374" s="50"/>
      <c r="D374" s="51">
        <v>2013</v>
      </c>
      <c r="E374" s="56">
        <v>7908130067</v>
      </c>
      <c r="F374" s="56">
        <v>11167755761</v>
      </c>
      <c r="G374" s="56">
        <v>13725596130</v>
      </c>
      <c r="H374" s="53">
        <v>0</v>
      </c>
      <c r="I374" s="54">
        <f t="shared" si="7"/>
        <v>32801481958</v>
      </c>
      <c r="J374" s="52">
        <v>0</v>
      </c>
      <c r="K374" s="61"/>
      <c r="M374" s="38" t="str">
        <f>IF([1]totrevprm!O374="","",[1]totrevprm!O374)</f>
        <v/>
      </c>
    </row>
    <row r="375" spans="1:13">
      <c r="A375" s="49" t="s">
        <v>25</v>
      </c>
      <c r="B375" s="46" t="s">
        <v>343</v>
      </c>
      <c r="C375" s="50"/>
      <c r="D375" s="47">
        <v>2014</v>
      </c>
      <c r="E375" s="56">
        <v>8148702937</v>
      </c>
      <c r="F375" s="56">
        <v>12262895711</v>
      </c>
      <c r="G375" s="56">
        <v>15280959381.98</v>
      </c>
      <c r="H375" s="56">
        <v>0</v>
      </c>
      <c r="I375" s="54">
        <f t="shared" si="7"/>
        <v>35692558029.979996</v>
      </c>
      <c r="J375" s="52">
        <v>0</v>
      </c>
      <c r="K375" s="61"/>
      <c r="M375" s="38" t="str">
        <f>IF([1]totrevprm!O375="","",[1]totrevprm!O375)</f>
        <v/>
      </c>
    </row>
    <row r="376" spans="1:13">
      <c r="A376" s="49" t="s">
        <v>25</v>
      </c>
      <c r="B376" s="46" t="s">
        <v>343</v>
      </c>
      <c r="C376" s="50"/>
      <c r="D376" s="47">
        <v>2015</v>
      </c>
      <c r="E376" s="56">
        <v>8605260060</v>
      </c>
      <c r="F376" s="56">
        <v>13676689759</v>
      </c>
      <c r="G376" s="56">
        <v>16086129162</v>
      </c>
      <c r="H376" s="56">
        <v>0</v>
      </c>
      <c r="I376" s="54">
        <f t="shared" si="7"/>
        <v>38368078981</v>
      </c>
      <c r="J376" s="52">
        <v>0</v>
      </c>
      <c r="K376" s="61"/>
      <c r="M376" s="38" t="str">
        <f>IF([1]totrevprm!O376="","",[1]totrevprm!O376)</f>
        <v/>
      </c>
    </row>
    <row r="377" spans="1:13">
      <c r="A377" s="49" t="s">
        <v>25</v>
      </c>
      <c r="B377" s="46" t="s">
        <v>343</v>
      </c>
      <c r="C377" s="50"/>
      <c r="D377" s="47">
        <v>2016</v>
      </c>
      <c r="E377" s="56">
        <v>9063076811</v>
      </c>
      <c r="F377" s="56">
        <v>14836143334</v>
      </c>
      <c r="G377" s="52">
        <v>16576886331</v>
      </c>
      <c r="H377" s="56">
        <v>0</v>
      </c>
      <c r="I377" s="54">
        <f t="shared" si="7"/>
        <v>40476106476</v>
      </c>
      <c r="J377" s="52">
        <v>0</v>
      </c>
      <c r="K377" s="61"/>
      <c r="M377" s="38" t="str">
        <f>IF([1]totrevprm!O377="","",[1]totrevprm!O377)</f>
        <v/>
      </c>
    </row>
    <row r="378" spans="1:13">
      <c r="A378" s="49" t="s">
        <v>25</v>
      </c>
      <c r="B378" s="46" t="s">
        <v>343</v>
      </c>
      <c r="C378" s="50"/>
      <c r="D378" s="47">
        <v>2017</v>
      </c>
      <c r="E378" s="56">
        <v>9426316098</v>
      </c>
      <c r="F378" s="56">
        <v>14556727092</v>
      </c>
      <c r="G378" s="52">
        <v>18105143020.93</v>
      </c>
      <c r="H378" s="56">
        <v>0</v>
      </c>
      <c r="I378" s="54">
        <f t="shared" si="7"/>
        <v>42088186210.93</v>
      </c>
      <c r="J378" s="52">
        <v>0</v>
      </c>
      <c r="K378" s="61"/>
      <c r="M378" s="38" t="str">
        <f>IF([1]totrevprm!O378="","",[1]totrevprm!O378)</f>
        <v/>
      </c>
    </row>
    <row r="379" spans="1:13">
      <c r="A379" s="49" t="s">
        <v>25</v>
      </c>
      <c r="B379" s="46" t="s">
        <v>343</v>
      </c>
      <c r="C379" s="50"/>
      <c r="D379" s="47">
        <v>2018</v>
      </c>
      <c r="E379" s="56">
        <v>9482791750</v>
      </c>
      <c r="F379" s="56">
        <v>16822865202</v>
      </c>
      <c r="G379" s="52">
        <v>20800801687</v>
      </c>
      <c r="H379" s="56">
        <v>0</v>
      </c>
      <c r="I379" s="54">
        <f t="shared" si="7"/>
        <v>47106458639</v>
      </c>
      <c r="J379" s="56">
        <v>0</v>
      </c>
      <c r="K379" s="61"/>
      <c r="M379" s="38" t="str">
        <f>IF([1]totrevprm!O379="","",[1]totrevprm!O379)</f>
        <v/>
      </c>
    </row>
    <row r="380" spans="1:13">
      <c r="A380" s="49" t="s">
        <v>25</v>
      </c>
      <c r="B380" s="46" t="s">
        <v>343</v>
      </c>
      <c r="C380" s="50"/>
      <c r="D380" s="47">
        <v>2019</v>
      </c>
      <c r="E380" s="56">
        <v>10294840353</v>
      </c>
      <c r="F380" s="56">
        <v>17671506776</v>
      </c>
      <c r="G380" s="52">
        <v>22416945054.3563</v>
      </c>
      <c r="H380" s="56">
        <v>0</v>
      </c>
      <c r="I380" s="54">
        <f t="shared" si="7"/>
        <v>50383292183.3563</v>
      </c>
      <c r="J380" s="56">
        <v>0</v>
      </c>
      <c r="K380" s="70" t="s">
        <v>761</v>
      </c>
      <c r="M380" s="38" t="str">
        <f>IF([1]totrevprm!O380="","",[1]totrevprm!O380)</f>
        <v>Yes</v>
      </c>
    </row>
    <row r="381" spans="1:13">
      <c r="A381" s="49" t="s">
        <v>25</v>
      </c>
      <c r="B381" s="46" t="s">
        <v>343</v>
      </c>
      <c r="C381" s="50"/>
      <c r="D381" s="47">
        <v>2020</v>
      </c>
      <c r="E381" s="56">
        <v>10293063086</v>
      </c>
      <c r="F381" s="56">
        <v>17821254549</v>
      </c>
      <c r="G381" s="52">
        <v>23465780320</v>
      </c>
      <c r="H381" s="56">
        <v>0</v>
      </c>
      <c r="I381" s="54">
        <f t="shared" si="7"/>
        <v>51580097955</v>
      </c>
      <c r="J381" s="56">
        <v>0</v>
      </c>
      <c r="K381" s="70" t="s">
        <v>761</v>
      </c>
      <c r="M381" s="38" t="s">
        <v>720</v>
      </c>
    </row>
    <row r="382" spans="1:13">
      <c r="A382" s="49" t="s">
        <v>25</v>
      </c>
      <c r="B382" s="46" t="s">
        <v>343</v>
      </c>
      <c r="C382" s="50"/>
      <c r="D382" s="47">
        <v>2021</v>
      </c>
      <c r="E382" s="56">
        <v>11703427453</v>
      </c>
      <c r="F382" s="56">
        <v>20459107193</v>
      </c>
      <c r="G382" s="52">
        <v>23725167927.919998</v>
      </c>
      <c r="H382" s="56">
        <v>0</v>
      </c>
      <c r="I382" s="54">
        <f t="shared" si="7"/>
        <v>55887702573.919998</v>
      </c>
      <c r="J382" s="56">
        <v>0</v>
      </c>
      <c r="K382" s="70" t="s">
        <v>761</v>
      </c>
      <c r="M382" s="38" t="s">
        <v>720</v>
      </c>
    </row>
    <row r="383" spans="1:13">
      <c r="A383" s="49" t="s">
        <v>25</v>
      </c>
      <c r="B383" s="46" t="s">
        <v>343</v>
      </c>
      <c r="C383" s="50"/>
      <c r="D383" s="47">
        <v>2022</v>
      </c>
      <c r="E383" s="56">
        <v>11910851062</v>
      </c>
      <c r="F383" s="56">
        <v>27760215066</v>
      </c>
      <c r="G383" s="52">
        <v>24190872729</v>
      </c>
      <c r="H383" s="56">
        <v>0</v>
      </c>
      <c r="I383" s="54">
        <f t="shared" si="7"/>
        <v>63861938857</v>
      </c>
      <c r="J383" s="56">
        <v>0</v>
      </c>
      <c r="K383" s="70" t="s">
        <v>761</v>
      </c>
      <c r="M383" s="38" t="s">
        <v>720</v>
      </c>
    </row>
    <row r="384" spans="1:13">
      <c r="A384" s="49" t="s">
        <v>25</v>
      </c>
      <c r="B384" s="46" t="s">
        <v>343</v>
      </c>
      <c r="C384" s="50"/>
      <c r="D384" s="51">
        <v>2023</v>
      </c>
      <c r="E384" s="56">
        <v>12130849528</v>
      </c>
      <c r="F384" s="56">
        <v>33325785172.201199</v>
      </c>
      <c r="G384" s="52">
        <v>26765122329</v>
      </c>
      <c r="H384" s="56">
        <v>0</v>
      </c>
      <c r="I384" s="54">
        <f t="shared" si="7"/>
        <v>72221757029.201202</v>
      </c>
      <c r="J384" s="52">
        <v>0</v>
      </c>
      <c r="K384" s="70" t="s">
        <v>761</v>
      </c>
      <c r="M384" s="38"/>
    </row>
    <row r="385" spans="1:13">
      <c r="A385" s="49" t="s">
        <v>25</v>
      </c>
      <c r="B385" s="46" t="s">
        <v>343</v>
      </c>
      <c r="C385" s="50"/>
      <c r="D385" s="57">
        <v>2024</v>
      </c>
      <c r="E385" s="52">
        <v>12510957385.26</v>
      </c>
      <c r="F385" s="52">
        <v>39292275113.520004</v>
      </c>
      <c r="G385" s="52">
        <v>31544688643.087502</v>
      </c>
      <c r="H385" s="52">
        <v>0</v>
      </c>
      <c r="I385" s="54">
        <f t="shared" si="7"/>
        <v>83347921141.867508</v>
      </c>
      <c r="J385" s="56">
        <v>0</v>
      </c>
      <c r="K385" s="70" t="s">
        <v>761</v>
      </c>
      <c r="M385" s="38"/>
    </row>
    <row r="386" spans="1:13">
      <c r="A386" s="49"/>
      <c r="B386" s="50"/>
      <c r="C386" s="50"/>
      <c r="E386" s="53"/>
      <c r="F386" s="53"/>
      <c r="G386" s="53"/>
      <c r="H386" s="53"/>
      <c r="I386" s="54"/>
      <c r="J386" s="52"/>
      <c r="K386" s="61"/>
      <c r="M386" s="38"/>
    </row>
    <row r="387" spans="1:13">
      <c r="A387" s="49" t="s">
        <v>27</v>
      </c>
      <c r="B387" s="46" t="s">
        <v>424</v>
      </c>
      <c r="C387" s="50" t="s">
        <v>762</v>
      </c>
      <c r="D387" s="51">
        <v>1988</v>
      </c>
      <c r="E387" s="53">
        <v>1651853622</v>
      </c>
      <c r="F387" s="53">
        <v>637077492</v>
      </c>
      <c r="G387" s="53">
        <v>1539502266</v>
      </c>
      <c r="H387" s="53">
        <v>590976969</v>
      </c>
      <c r="I387" s="54">
        <f t="shared" si="7"/>
        <v>4419410349</v>
      </c>
      <c r="J387" s="52">
        <v>0</v>
      </c>
      <c r="K387" s="61"/>
      <c r="M387" s="38" t="str">
        <f>IF([1]totrevprm!O387="","",[1]totrevprm!O387)</f>
        <v/>
      </c>
    </row>
    <row r="388" spans="1:13">
      <c r="A388" s="49" t="s">
        <v>27</v>
      </c>
      <c r="B388" s="46" t="s">
        <v>424</v>
      </c>
      <c r="C388" s="50" t="s">
        <v>732</v>
      </c>
      <c r="D388" s="51">
        <v>1989</v>
      </c>
      <c r="E388" s="53">
        <v>1746241815</v>
      </c>
      <c r="F388" s="53">
        <v>628533462</v>
      </c>
      <c r="G388" s="53">
        <v>1693237863</v>
      </c>
      <c r="H388" s="53">
        <v>596919974</v>
      </c>
      <c r="I388" s="54">
        <f t="shared" si="7"/>
        <v>4664933114</v>
      </c>
      <c r="J388" s="52">
        <v>0</v>
      </c>
      <c r="K388" s="61"/>
      <c r="M388" s="38" t="str">
        <f>IF([1]totrevprm!O388="","",[1]totrevprm!O388)</f>
        <v/>
      </c>
    </row>
    <row r="389" spans="1:13">
      <c r="A389" s="49" t="s">
        <v>27</v>
      </c>
      <c r="B389" s="46" t="s">
        <v>424</v>
      </c>
      <c r="C389" s="50" t="s">
        <v>732</v>
      </c>
      <c r="D389" s="51">
        <v>1990</v>
      </c>
      <c r="E389" s="53">
        <v>2309173087</v>
      </c>
      <c r="F389" s="53">
        <v>760124195.79999995</v>
      </c>
      <c r="G389" s="53">
        <v>1824468127</v>
      </c>
      <c r="H389" s="53">
        <v>551210647</v>
      </c>
      <c r="I389" s="54">
        <f t="shared" si="7"/>
        <v>5444976056.8000002</v>
      </c>
      <c r="J389" s="52">
        <v>0</v>
      </c>
      <c r="K389" s="61"/>
      <c r="M389" s="38" t="str">
        <f>IF([1]totrevprm!O389="","",[1]totrevprm!O389)</f>
        <v/>
      </c>
    </row>
    <row r="390" spans="1:13">
      <c r="A390" s="49" t="s">
        <v>27</v>
      </c>
      <c r="B390" s="46" t="s">
        <v>424</v>
      </c>
      <c r="C390" s="50" t="s">
        <v>732</v>
      </c>
      <c r="D390" s="51">
        <v>1991</v>
      </c>
      <c r="E390" s="53">
        <v>1841069807</v>
      </c>
      <c r="F390" s="53">
        <v>605465260</v>
      </c>
      <c r="G390" s="53">
        <v>1912591664</v>
      </c>
      <c r="H390" s="53">
        <v>689638415</v>
      </c>
      <c r="I390" s="54">
        <f t="shared" si="7"/>
        <v>5048765146</v>
      </c>
      <c r="J390" s="52">
        <v>0</v>
      </c>
      <c r="K390" s="61"/>
      <c r="M390" s="38" t="str">
        <f>IF([1]totrevprm!O390="","",[1]totrevprm!O390)</f>
        <v/>
      </c>
    </row>
    <row r="391" spans="1:13">
      <c r="A391" s="49" t="s">
        <v>27</v>
      </c>
      <c r="B391" s="46" t="s">
        <v>424</v>
      </c>
      <c r="C391" s="50" t="s">
        <v>732</v>
      </c>
      <c r="D391" s="51">
        <v>1992</v>
      </c>
      <c r="E391" s="53">
        <v>1970694356</v>
      </c>
      <c r="F391" s="53">
        <v>803565372.88</v>
      </c>
      <c r="G391" s="53">
        <v>2000369427</v>
      </c>
      <c r="H391" s="53">
        <v>526747407</v>
      </c>
      <c r="I391" s="54">
        <f t="shared" si="7"/>
        <v>5301376562.8800001</v>
      </c>
      <c r="J391" s="52">
        <v>0</v>
      </c>
      <c r="K391" s="61"/>
      <c r="M391" s="38" t="str">
        <f>IF([1]totrevprm!O391="","",[1]totrevprm!O391)</f>
        <v/>
      </c>
    </row>
    <row r="392" spans="1:13">
      <c r="A392" s="49" t="s">
        <v>27</v>
      </c>
      <c r="B392" s="46" t="s">
        <v>424</v>
      </c>
      <c r="C392" s="50" t="s">
        <v>732</v>
      </c>
      <c r="D392" s="51">
        <v>1993</v>
      </c>
      <c r="E392" s="53">
        <v>2098423104</v>
      </c>
      <c r="F392" s="53">
        <v>531702558</v>
      </c>
      <c r="G392" s="53">
        <v>2146166805</v>
      </c>
      <c r="H392" s="53">
        <v>522014082</v>
      </c>
      <c r="I392" s="54">
        <f t="shared" si="7"/>
        <v>5298306549</v>
      </c>
      <c r="J392" s="52">
        <v>0</v>
      </c>
      <c r="K392" s="61"/>
      <c r="M392" s="38" t="str">
        <f>IF([1]totrevprm!O392="","",[1]totrevprm!O392)</f>
        <v/>
      </c>
    </row>
    <row r="393" spans="1:13">
      <c r="A393" s="49" t="s">
        <v>27</v>
      </c>
      <c r="B393" s="46" t="s">
        <v>424</v>
      </c>
      <c r="C393" s="50" t="s">
        <v>732</v>
      </c>
      <c r="D393" s="51">
        <v>1994</v>
      </c>
      <c r="E393" s="53">
        <v>2282019202</v>
      </c>
      <c r="F393" s="53">
        <v>705403547</v>
      </c>
      <c r="G393" s="53">
        <v>2282243817</v>
      </c>
      <c r="H393" s="53">
        <v>487037622</v>
      </c>
      <c r="I393" s="54">
        <f t="shared" si="7"/>
        <v>5756704188</v>
      </c>
      <c r="J393" s="52">
        <v>0</v>
      </c>
      <c r="K393" s="61"/>
      <c r="M393" s="38" t="str">
        <f>IF([1]totrevprm!O393="","",[1]totrevprm!O393)</f>
        <v/>
      </c>
    </row>
    <row r="394" spans="1:13">
      <c r="A394" s="49" t="s">
        <v>27</v>
      </c>
      <c r="B394" s="46" t="s">
        <v>424</v>
      </c>
      <c r="C394" s="50" t="s">
        <v>732</v>
      </c>
      <c r="D394" s="51">
        <v>1995</v>
      </c>
      <c r="E394" s="53">
        <v>2567907585</v>
      </c>
      <c r="F394" s="53">
        <v>716891479</v>
      </c>
      <c r="G394" s="53">
        <v>2380262718</v>
      </c>
      <c r="H394" s="53">
        <v>531272701</v>
      </c>
      <c r="I394" s="54">
        <f t="shared" si="7"/>
        <v>6196334483</v>
      </c>
      <c r="J394" s="52">
        <v>0</v>
      </c>
      <c r="K394" s="61"/>
      <c r="M394" s="38" t="str">
        <f>IF([1]totrevprm!O394="","",[1]totrevprm!O394)</f>
        <v/>
      </c>
    </row>
    <row r="395" spans="1:13">
      <c r="A395" s="49" t="s">
        <v>27</v>
      </c>
      <c r="B395" s="46" t="s">
        <v>424</v>
      </c>
      <c r="C395" s="50" t="s">
        <v>732</v>
      </c>
      <c r="D395" s="51">
        <v>1996</v>
      </c>
      <c r="E395" s="53">
        <v>2369005513</v>
      </c>
      <c r="F395" s="53">
        <v>764306413</v>
      </c>
      <c r="G395" s="53">
        <v>2449589248</v>
      </c>
      <c r="H395" s="53">
        <v>441261624</v>
      </c>
      <c r="I395" s="54">
        <f t="shared" si="7"/>
        <v>6024162798</v>
      </c>
      <c r="J395" s="52">
        <v>0</v>
      </c>
      <c r="K395" s="61"/>
      <c r="M395" s="38" t="str">
        <f>IF([1]totrevprm!O395="","",[1]totrevprm!O395)</f>
        <v/>
      </c>
    </row>
    <row r="396" spans="1:13">
      <c r="A396" s="49" t="s">
        <v>27</v>
      </c>
      <c r="B396" s="46" t="s">
        <v>424</v>
      </c>
      <c r="C396" s="50" t="s">
        <v>732</v>
      </c>
      <c r="D396" s="51">
        <v>1997</v>
      </c>
      <c r="E396" s="53">
        <v>2428324567</v>
      </c>
      <c r="F396" s="53">
        <v>768673675</v>
      </c>
      <c r="G396" s="53">
        <v>2434033051</v>
      </c>
      <c r="H396" s="53">
        <v>447223192</v>
      </c>
      <c r="I396" s="54">
        <f t="shared" si="7"/>
        <v>6078254485</v>
      </c>
      <c r="J396" s="52">
        <v>0</v>
      </c>
      <c r="K396" s="61"/>
      <c r="M396" s="38" t="str">
        <f>IF([1]totrevprm!O396="","",[1]totrevprm!O396)</f>
        <v/>
      </c>
    </row>
    <row r="397" spans="1:13">
      <c r="A397" s="49" t="s">
        <v>27</v>
      </c>
      <c r="B397" s="46" t="s">
        <v>424</v>
      </c>
      <c r="C397" s="50" t="s">
        <v>732</v>
      </c>
      <c r="D397" s="51">
        <v>1998</v>
      </c>
      <c r="E397" s="53">
        <v>2622036548</v>
      </c>
      <c r="F397" s="53">
        <v>747830907</v>
      </c>
      <c r="G397" s="53">
        <v>2510294567</v>
      </c>
      <c r="H397" s="53">
        <v>420309326</v>
      </c>
      <c r="I397" s="54">
        <f t="shared" si="7"/>
        <v>6300471348</v>
      </c>
      <c r="J397" s="52">
        <v>0</v>
      </c>
      <c r="K397" s="61"/>
      <c r="M397" s="38" t="str">
        <f>IF([1]totrevprm!O397="","",[1]totrevprm!O397)</f>
        <v/>
      </c>
    </row>
    <row r="398" spans="1:13">
      <c r="A398" s="49" t="s">
        <v>27</v>
      </c>
      <c r="B398" s="46" t="s">
        <v>424</v>
      </c>
      <c r="C398" s="50" t="s">
        <v>732</v>
      </c>
      <c r="D398" s="51">
        <v>1999</v>
      </c>
      <c r="E398" s="53">
        <v>2768837267</v>
      </c>
      <c r="F398" s="53">
        <v>1144539525</v>
      </c>
      <c r="G398" s="53">
        <v>2687358073</v>
      </c>
      <c r="H398" s="53">
        <v>368226950</v>
      </c>
      <c r="I398" s="54">
        <f t="shared" si="7"/>
        <v>6968961815</v>
      </c>
      <c r="J398" s="52">
        <v>0</v>
      </c>
      <c r="K398" s="61"/>
      <c r="M398" s="38" t="str">
        <f>IF([1]totrevprm!O398="","",[1]totrevprm!O398)</f>
        <v/>
      </c>
    </row>
    <row r="399" spans="1:13">
      <c r="A399" s="49" t="s">
        <v>27</v>
      </c>
      <c r="B399" s="46" t="s">
        <v>424</v>
      </c>
      <c r="C399" s="50" t="s">
        <v>732</v>
      </c>
      <c r="D399" s="51">
        <v>2000</v>
      </c>
      <c r="E399" s="53">
        <v>2705365144</v>
      </c>
      <c r="F399" s="53">
        <v>1188060986</v>
      </c>
      <c r="G399" s="53">
        <v>2792966214</v>
      </c>
      <c r="H399" s="53">
        <v>441152243</v>
      </c>
      <c r="I399" s="54">
        <f t="shared" si="7"/>
        <v>7127544587</v>
      </c>
      <c r="J399" s="52">
        <v>0</v>
      </c>
      <c r="K399" s="61"/>
      <c r="M399" s="38" t="str">
        <f>IF([1]totrevprm!O399="","",[1]totrevprm!O399)</f>
        <v/>
      </c>
    </row>
    <row r="400" spans="1:13">
      <c r="A400" s="49" t="s">
        <v>27</v>
      </c>
      <c r="B400" s="46" t="s">
        <v>424</v>
      </c>
      <c r="C400" s="50" t="s">
        <v>732</v>
      </c>
      <c r="D400" s="51">
        <v>2001</v>
      </c>
      <c r="E400" s="53">
        <v>2809156234</v>
      </c>
      <c r="F400" s="53">
        <v>1740072374</v>
      </c>
      <c r="G400" s="53">
        <v>2884712920</v>
      </c>
      <c r="H400" s="53">
        <v>408108249</v>
      </c>
      <c r="I400" s="54">
        <f t="shared" si="7"/>
        <v>7842049777</v>
      </c>
      <c r="J400" s="52">
        <v>0</v>
      </c>
      <c r="K400" s="61"/>
      <c r="M400" s="38" t="str">
        <f>IF([1]totrevprm!O400="","",[1]totrevprm!O400)</f>
        <v/>
      </c>
    </row>
    <row r="401" spans="1:13">
      <c r="A401" s="49" t="s">
        <v>27</v>
      </c>
      <c r="B401" s="46" t="s">
        <v>424</v>
      </c>
      <c r="C401" s="50" t="s">
        <v>732</v>
      </c>
      <c r="D401" s="51">
        <v>2002</v>
      </c>
      <c r="E401" s="53">
        <v>2920365305</v>
      </c>
      <c r="F401" s="53">
        <v>2492103815</v>
      </c>
      <c r="G401" s="53">
        <v>2847086261</v>
      </c>
      <c r="H401" s="53">
        <v>529180604</v>
      </c>
      <c r="I401" s="54">
        <f t="shared" si="7"/>
        <v>8788735985</v>
      </c>
      <c r="J401" s="52">
        <v>0</v>
      </c>
      <c r="K401" s="61"/>
      <c r="M401" s="38" t="str">
        <f>IF([1]totrevprm!O401="","",[1]totrevprm!O401)</f>
        <v/>
      </c>
    </row>
    <row r="402" spans="1:13">
      <c r="A402" s="49" t="s">
        <v>27</v>
      </c>
      <c r="B402" s="46" t="s">
        <v>424</v>
      </c>
      <c r="C402" s="50" t="s">
        <v>732</v>
      </c>
      <c r="D402" s="51">
        <v>2003</v>
      </c>
      <c r="E402" s="55">
        <v>3000073998</v>
      </c>
      <c r="F402" s="55">
        <v>2506300505</v>
      </c>
      <c r="G402" s="55">
        <v>2844873479</v>
      </c>
      <c r="H402" s="55">
        <v>669389456</v>
      </c>
      <c r="I402" s="54">
        <f t="shared" si="7"/>
        <v>9020637438</v>
      </c>
      <c r="J402" s="52">
        <v>0</v>
      </c>
      <c r="K402" s="61"/>
      <c r="M402" s="38" t="str">
        <f>IF([1]totrevprm!O402="","",[1]totrevprm!O402)</f>
        <v/>
      </c>
    </row>
    <row r="403" spans="1:13">
      <c r="A403" s="49" t="s">
        <v>27</v>
      </c>
      <c r="B403" s="46" t="s">
        <v>424</v>
      </c>
      <c r="C403" s="50" t="s">
        <v>732</v>
      </c>
      <c r="D403" s="51">
        <v>2004</v>
      </c>
      <c r="E403" s="55">
        <v>3125411036</v>
      </c>
      <c r="F403" s="55">
        <v>1976527927</v>
      </c>
      <c r="G403" s="55">
        <v>2985047415</v>
      </c>
      <c r="H403" s="55">
        <v>611573059</v>
      </c>
      <c r="I403" s="54">
        <f t="shared" si="7"/>
        <v>8698559437</v>
      </c>
      <c r="J403" s="52">
        <v>0</v>
      </c>
      <c r="K403" s="61"/>
      <c r="M403" s="38" t="str">
        <f>IF([1]totrevprm!O403="","",[1]totrevprm!O403)</f>
        <v/>
      </c>
    </row>
    <row r="404" spans="1:13">
      <c r="A404" s="49" t="s">
        <v>27</v>
      </c>
      <c r="B404" s="46" t="s">
        <v>424</v>
      </c>
      <c r="C404" s="50"/>
      <c r="D404" s="51">
        <v>2005</v>
      </c>
      <c r="E404" s="55">
        <v>3263007134</v>
      </c>
      <c r="F404" s="55">
        <v>1960725744</v>
      </c>
      <c r="G404" s="55">
        <v>3209940916.6399899</v>
      </c>
      <c r="H404" s="55">
        <v>644182010</v>
      </c>
      <c r="I404" s="54">
        <f t="shared" si="7"/>
        <v>9077855804.6399899</v>
      </c>
      <c r="J404" s="52">
        <v>0</v>
      </c>
      <c r="K404" s="61"/>
      <c r="M404" s="38" t="str">
        <f>IF([1]totrevprm!O404="","",[1]totrevprm!O404)</f>
        <v/>
      </c>
    </row>
    <row r="405" spans="1:13">
      <c r="A405" s="49" t="s">
        <v>27</v>
      </c>
      <c r="B405" s="46" t="s">
        <v>424</v>
      </c>
      <c r="C405" s="50"/>
      <c r="D405" s="51">
        <v>2006</v>
      </c>
      <c r="E405" s="56">
        <v>3505771048</v>
      </c>
      <c r="F405" s="56">
        <v>2099956017</v>
      </c>
      <c r="G405" s="56">
        <v>3741417739</v>
      </c>
      <c r="H405" s="56">
        <v>647129014</v>
      </c>
      <c r="I405" s="54">
        <f t="shared" si="7"/>
        <v>9994273818</v>
      </c>
      <c r="J405" s="52">
        <v>0</v>
      </c>
      <c r="K405" s="61"/>
      <c r="M405" s="38" t="str">
        <f>IF([1]totrevprm!O405="","",[1]totrevprm!O405)</f>
        <v/>
      </c>
    </row>
    <row r="406" spans="1:13">
      <c r="A406" s="49" t="s">
        <v>27</v>
      </c>
      <c r="B406" s="46" t="s">
        <v>424</v>
      </c>
      <c r="C406" s="50"/>
      <c r="D406" s="51">
        <v>2007</v>
      </c>
      <c r="E406" s="56">
        <v>3582468504</v>
      </c>
      <c r="F406" s="56">
        <v>2129925976</v>
      </c>
      <c r="G406" s="56">
        <v>4402674249</v>
      </c>
      <c r="H406" s="56">
        <v>614422918</v>
      </c>
      <c r="I406" s="54">
        <f t="shared" si="7"/>
        <v>10729491647</v>
      </c>
      <c r="J406" s="52">
        <v>0</v>
      </c>
      <c r="K406" s="61"/>
      <c r="M406" s="38" t="str">
        <f>IF([1]totrevprm!O406="","",[1]totrevprm!O406)</f>
        <v/>
      </c>
    </row>
    <row r="407" spans="1:13">
      <c r="A407" s="49" t="s">
        <v>27</v>
      </c>
      <c r="B407" s="46" t="s">
        <v>424</v>
      </c>
      <c r="C407" s="50"/>
      <c r="D407" s="51">
        <v>2008</v>
      </c>
      <c r="E407" s="56">
        <v>3702644975</v>
      </c>
      <c r="F407" s="56">
        <v>3044225771</v>
      </c>
      <c r="G407" s="56">
        <v>4891949987</v>
      </c>
      <c r="H407" s="56">
        <v>809438239</v>
      </c>
      <c r="I407" s="54">
        <f t="shared" si="7"/>
        <v>12448258972</v>
      </c>
      <c r="J407" s="52">
        <v>0</v>
      </c>
      <c r="K407" s="61"/>
      <c r="M407" s="38" t="str">
        <f>IF([1]totrevprm!O407="","",[1]totrevprm!O407)</f>
        <v/>
      </c>
    </row>
    <row r="408" spans="1:13">
      <c r="A408" s="49" t="s">
        <v>27</v>
      </c>
      <c r="B408" s="46" t="s">
        <v>424</v>
      </c>
      <c r="C408" s="50"/>
      <c r="D408" s="51">
        <v>2009</v>
      </c>
      <c r="E408" s="56">
        <v>3820786015</v>
      </c>
      <c r="F408" s="56">
        <v>2985838083</v>
      </c>
      <c r="G408" s="56">
        <v>5335452434</v>
      </c>
      <c r="H408" s="56">
        <v>624736998</v>
      </c>
      <c r="I408" s="54">
        <f t="shared" si="7"/>
        <v>12766813530</v>
      </c>
      <c r="J408" s="52">
        <v>0</v>
      </c>
      <c r="K408" s="61"/>
      <c r="M408" s="38" t="str">
        <f>IF([1]totrevprm!O408="","",[1]totrevprm!O408)</f>
        <v/>
      </c>
    </row>
    <row r="409" spans="1:13">
      <c r="A409" s="49" t="s">
        <v>27</v>
      </c>
      <c r="B409" s="46" t="s">
        <v>424</v>
      </c>
      <c r="C409" s="50"/>
      <c r="D409" s="51">
        <v>2010</v>
      </c>
      <c r="E409" s="56">
        <v>3995546886</v>
      </c>
      <c r="F409" s="56">
        <v>2436414758</v>
      </c>
      <c r="G409" s="56">
        <v>6271861186</v>
      </c>
      <c r="H409" s="56">
        <v>708006189</v>
      </c>
      <c r="I409" s="54">
        <f t="shared" si="7"/>
        <v>13411829019</v>
      </c>
      <c r="J409" s="52">
        <v>0</v>
      </c>
      <c r="K409" s="61"/>
      <c r="M409" s="38" t="str">
        <f>IF([1]totrevprm!O409="","",[1]totrevprm!O409)</f>
        <v/>
      </c>
    </row>
    <row r="410" spans="1:13">
      <c r="A410" s="49" t="s">
        <v>27</v>
      </c>
      <c r="B410" s="46" t="s">
        <v>424</v>
      </c>
      <c r="C410" s="50"/>
      <c r="D410" s="51">
        <v>2011</v>
      </c>
      <c r="E410" s="56">
        <v>3983128965</v>
      </c>
      <c r="F410" s="56">
        <v>2572352693</v>
      </c>
      <c r="G410" s="56">
        <v>6426640876</v>
      </c>
      <c r="H410" s="56">
        <v>678456498</v>
      </c>
      <c r="I410" s="54">
        <f t="shared" si="7"/>
        <v>13660579032</v>
      </c>
      <c r="J410" s="52">
        <v>0</v>
      </c>
      <c r="K410" s="61"/>
      <c r="M410" s="38" t="str">
        <f>IF([1]totrevprm!O410="","",[1]totrevprm!O410)</f>
        <v/>
      </c>
    </row>
    <row r="411" spans="1:13">
      <c r="A411" s="49" t="s">
        <v>27</v>
      </c>
      <c r="B411" s="46" t="s">
        <v>424</v>
      </c>
      <c r="C411" s="50"/>
      <c r="D411" s="51">
        <v>2012</v>
      </c>
      <c r="E411" s="56">
        <v>4320375438</v>
      </c>
      <c r="F411" s="56">
        <v>3347688205</v>
      </c>
      <c r="G411" s="56">
        <v>5308193551</v>
      </c>
      <c r="H411" s="56">
        <v>619779629</v>
      </c>
      <c r="I411" s="54">
        <f t="shared" si="7"/>
        <v>13596036823</v>
      </c>
      <c r="J411" s="52">
        <v>0</v>
      </c>
      <c r="K411" s="61"/>
      <c r="M411" s="38" t="str">
        <f>IF([1]totrevprm!O411="","",[1]totrevprm!O411)</f>
        <v/>
      </c>
    </row>
    <row r="412" spans="1:13">
      <c r="A412" s="49" t="s">
        <v>27</v>
      </c>
      <c r="B412" s="46" t="s">
        <v>424</v>
      </c>
      <c r="C412" s="50"/>
      <c r="D412" s="51">
        <v>2013</v>
      </c>
      <c r="E412" s="56">
        <v>4338355798</v>
      </c>
      <c r="F412" s="56">
        <v>2565193385</v>
      </c>
      <c r="G412" s="56">
        <v>4630988577</v>
      </c>
      <c r="H412" s="56">
        <v>843683795</v>
      </c>
      <c r="I412" s="54">
        <f t="shared" si="7"/>
        <v>12378221555</v>
      </c>
      <c r="J412" s="52">
        <v>0</v>
      </c>
      <c r="K412" s="61"/>
      <c r="M412" s="38" t="str">
        <f>IF([1]totrevprm!O412="","",[1]totrevprm!O412)</f>
        <v/>
      </c>
    </row>
    <row r="413" spans="1:13">
      <c r="A413" s="49" t="s">
        <v>27</v>
      </c>
      <c r="B413" s="46" t="s">
        <v>424</v>
      </c>
      <c r="C413" s="50"/>
      <c r="D413" s="47">
        <v>2014</v>
      </c>
      <c r="E413" s="56">
        <v>4254780749</v>
      </c>
      <c r="F413" s="56">
        <v>3198786000</v>
      </c>
      <c r="G413" s="56">
        <v>4872373920.0900002</v>
      </c>
      <c r="H413" s="56">
        <v>732966381</v>
      </c>
      <c r="I413" s="54">
        <f t="shared" si="7"/>
        <v>13058907050.09</v>
      </c>
      <c r="J413" s="52">
        <v>0</v>
      </c>
      <c r="K413" s="61"/>
      <c r="M413" s="38" t="str">
        <f>IF([1]totrevprm!O413="","",[1]totrevprm!O413)</f>
        <v/>
      </c>
    </row>
    <row r="414" spans="1:13">
      <c r="A414" s="49" t="s">
        <v>27</v>
      </c>
      <c r="B414" s="46" t="s">
        <v>424</v>
      </c>
      <c r="C414" s="50"/>
      <c r="D414" s="47">
        <v>2015</v>
      </c>
      <c r="E414" s="56">
        <v>4599717888</v>
      </c>
      <c r="F414" s="56">
        <v>3626597863</v>
      </c>
      <c r="G414" s="56">
        <v>5000813660</v>
      </c>
      <c r="H414" s="56">
        <v>721901987</v>
      </c>
      <c r="I414" s="54">
        <f t="shared" si="7"/>
        <v>13949031398</v>
      </c>
      <c r="J414" s="52">
        <v>0</v>
      </c>
      <c r="K414" s="61"/>
      <c r="M414" s="38" t="str">
        <f>IF([1]totrevprm!O414="","",[1]totrevprm!O414)</f>
        <v/>
      </c>
    </row>
    <row r="415" spans="1:13">
      <c r="A415" s="49" t="s">
        <v>27</v>
      </c>
      <c r="B415" s="46" t="s">
        <v>424</v>
      </c>
      <c r="C415" s="50"/>
      <c r="D415" s="47">
        <v>2016</v>
      </c>
      <c r="E415" s="56">
        <v>4700024884</v>
      </c>
      <c r="F415" s="56">
        <v>4302951403</v>
      </c>
      <c r="G415" s="56">
        <v>5313730741</v>
      </c>
      <c r="H415" s="56">
        <v>670809579</v>
      </c>
      <c r="I415" s="54">
        <f t="shared" si="7"/>
        <v>14987516607</v>
      </c>
      <c r="J415" s="52">
        <v>0</v>
      </c>
      <c r="K415" s="61"/>
      <c r="M415" s="38" t="str">
        <f>IF([1]totrevprm!O415="","",[1]totrevprm!O415)</f>
        <v/>
      </c>
    </row>
    <row r="416" spans="1:13">
      <c r="A416" s="49" t="s">
        <v>27</v>
      </c>
      <c r="B416" s="46" t="s">
        <v>424</v>
      </c>
      <c r="C416" s="50"/>
      <c r="D416" s="47">
        <v>2017</v>
      </c>
      <c r="E416" s="56">
        <v>4956195887</v>
      </c>
      <c r="F416" s="56">
        <v>4256103473</v>
      </c>
      <c r="G416" s="56">
        <v>5362162347.8099995</v>
      </c>
      <c r="H416" s="56">
        <v>576491438</v>
      </c>
      <c r="I416" s="54">
        <f t="shared" si="7"/>
        <v>15150953145.809999</v>
      </c>
      <c r="J416" s="52">
        <v>0</v>
      </c>
      <c r="K416" s="61"/>
      <c r="M416" s="38" t="str">
        <f>IF([1]totrevprm!O416="","",[1]totrevprm!O416)</f>
        <v/>
      </c>
    </row>
    <row r="417" spans="1:13">
      <c r="A417" s="49" t="s">
        <v>27</v>
      </c>
      <c r="B417" s="46" t="s">
        <v>424</v>
      </c>
      <c r="C417" s="50"/>
      <c r="D417" s="47">
        <v>2018</v>
      </c>
      <c r="E417" s="56">
        <v>5003339940</v>
      </c>
      <c r="F417" s="56">
        <v>5252832446</v>
      </c>
      <c r="G417" s="56">
        <v>5658166599.3999996</v>
      </c>
      <c r="H417" s="56">
        <v>882158247</v>
      </c>
      <c r="I417" s="54">
        <f t="shared" si="7"/>
        <v>16796497232.4</v>
      </c>
      <c r="J417" s="56">
        <v>0</v>
      </c>
      <c r="K417" s="61"/>
      <c r="M417" s="38" t="str">
        <f>IF([1]totrevprm!O417="","",[1]totrevprm!O417)</f>
        <v/>
      </c>
    </row>
    <row r="418" spans="1:13">
      <c r="A418" s="49" t="s">
        <v>27</v>
      </c>
      <c r="B418" s="46" t="s">
        <v>424</v>
      </c>
      <c r="C418" s="50"/>
      <c r="D418" s="47">
        <v>2019</v>
      </c>
      <c r="E418" s="56">
        <v>5010563561</v>
      </c>
      <c r="F418" s="56">
        <v>5442622323</v>
      </c>
      <c r="G418" s="56">
        <v>5853509283.3761005</v>
      </c>
      <c r="H418" s="56">
        <v>671459968</v>
      </c>
      <c r="I418" s="54">
        <f t="shared" si="7"/>
        <v>16978155135.376101</v>
      </c>
      <c r="J418" s="56">
        <v>0</v>
      </c>
      <c r="K418" s="61"/>
      <c r="M418" s="38" t="str">
        <f>IF([1]totrevprm!O418="","",[1]totrevprm!O418)</f>
        <v/>
      </c>
    </row>
    <row r="419" spans="1:13" ht="12.6" customHeight="1">
      <c r="A419" s="49" t="s">
        <v>27</v>
      </c>
      <c r="B419" s="46" t="s">
        <v>424</v>
      </c>
      <c r="C419" s="50"/>
      <c r="D419" s="47">
        <v>2020</v>
      </c>
      <c r="E419" s="56">
        <v>5371228096</v>
      </c>
      <c r="F419" s="56">
        <v>5202453560</v>
      </c>
      <c r="G419" s="56">
        <v>13116483733</v>
      </c>
      <c r="H419" s="56">
        <v>637300402</v>
      </c>
      <c r="I419" s="54">
        <f t="shared" si="7"/>
        <v>24327465791</v>
      </c>
      <c r="J419" s="56">
        <v>0</v>
      </c>
      <c r="K419" s="61" t="s">
        <v>763</v>
      </c>
      <c r="L419" t="s">
        <v>720</v>
      </c>
      <c r="M419" s="38" t="str">
        <f>IF([1]totrevprm!O419="","",[1]totrevprm!O419)</f>
        <v>Yes</v>
      </c>
    </row>
    <row r="420" spans="1:13">
      <c r="A420" s="49" t="s">
        <v>27</v>
      </c>
      <c r="B420" s="46" t="s">
        <v>424</v>
      </c>
      <c r="C420" s="50"/>
      <c r="D420" s="47">
        <v>2021</v>
      </c>
      <c r="E420" s="56">
        <v>5703153016</v>
      </c>
      <c r="F420" s="56">
        <v>6431084866</v>
      </c>
      <c r="G420" s="56">
        <v>14078935003.639999</v>
      </c>
      <c r="H420" s="56">
        <v>115948729</v>
      </c>
      <c r="I420" s="54">
        <f t="shared" si="7"/>
        <v>26329121614.639999</v>
      </c>
      <c r="J420" s="56">
        <v>0</v>
      </c>
      <c r="K420" s="61" t="s">
        <v>739</v>
      </c>
      <c r="L420" t="s">
        <v>720</v>
      </c>
      <c r="M420" s="38"/>
    </row>
    <row r="421" spans="1:13">
      <c r="A421" s="49" t="s">
        <v>27</v>
      </c>
      <c r="B421" s="46" t="s">
        <v>424</v>
      </c>
      <c r="C421" s="50"/>
      <c r="D421" s="47">
        <v>2022</v>
      </c>
      <c r="E421" s="56">
        <v>5648308212</v>
      </c>
      <c r="F421" s="56">
        <v>8130853724</v>
      </c>
      <c r="G421" s="56">
        <v>14774362918</v>
      </c>
      <c r="H421" s="56">
        <v>141695982</v>
      </c>
      <c r="I421" s="54">
        <f t="shared" si="7"/>
        <v>28695220836</v>
      </c>
      <c r="J421" s="56">
        <v>0</v>
      </c>
      <c r="K421" s="61" t="s">
        <v>739</v>
      </c>
      <c r="L421" t="s">
        <v>720</v>
      </c>
      <c r="M421" s="38"/>
    </row>
    <row r="422" spans="1:13">
      <c r="A422" s="49" t="s">
        <v>27</v>
      </c>
      <c r="B422" s="46" t="s">
        <v>424</v>
      </c>
      <c r="C422" s="50"/>
      <c r="D422" s="51">
        <v>2023</v>
      </c>
      <c r="E422" s="56">
        <v>5845460401</v>
      </c>
      <c r="F422" s="56">
        <v>9260909116.1945</v>
      </c>
      <c r="G422" s="56">
        <v>16159636216.8929</v>
      </c>
      <c r="H422" s="56">
        <v>149185911</v>
      </c>
      <c r="I422" s="54">
        <f t="shared" si="7"/>
        <v>31415191645.087402</v>
      </c>
      <c r="J422" s="52">
        <v>0</v>
      </c>
      <c r="K422" s="61" t="s">
        <v>739</v>
      </c>
      <c r="M422" s="38"/>
    </row>
    <row r="423" spans="1:13">
      <c r="A423" s="49" t="s">
        <v>27</v>
      </c>
      <c r="B423" s="46" t="s">
        <v>424</v>
      </c>
      <c r="C423" s="50"/>
      <c r="D423" s="57">
        <v>2024</v>
      </c>
      <c r="E423" s="52">
        <v>6095613770.5100002</v>
      </c>
      <c r="F423" s="52">
        <v>10519567909.9</v>
      </c>
      <c r="G423" s="52">
        <v>19380569921.216</v>
      </c>
      <c r="H423" s="52">
        <v>232255750.69</v>
      </c>
      <c r="I423" s="54">
        <f t="shared" si="7"/>
        <v>36228007352.316002</v>
      </c>
      <c r="J423" s="56">
        <v>0</v>
      </c>
      <c r="K423" s="61" t="s">
        <v>739</v>
      </c>
      <c r="M423" s="38"/>
    </row>
    <row r="424" spans="1:13">
      <c r="A424" s="49"/>
      <c r="B424" s="50"/>
      <c r="C424" s="50"/>
      <c r="E424" s="53"/>
      <c r="F424" s="53"/>
      <c r="G424" s="53"/>
      <c r="H424" s="53"/>
      <c r="I424" s="54"/>
      <c r="J424" s="52"/>
      <c r="K424" s="61"/>
      <c r="M424" s="38"/>
    </row>
    <row r="425" spans="1:13">
      <c r="A425" s="49" t="s">
        <v>29</v>
      </c>
      <c r="B425" s="46" t="s">
        <v>532</v>
      </c>
      <c r="C425" s="50" t="s">
        <v>731</v>
      </c>
      <c r="D425" s="51">
        <v>1988</v>
      </c>
      <c r="E425" s="53">
        <v>292686064</v>
      </c>
      <c r="F425" s="53">
        <v>222200416</v>
      </c>
      <c r="G425" s="53">
        <v>119228811</v>
      </c>
      <c r="H425" s="53">
        <v>0</v>
      </c>
      <c r="I425" s="54">
        <f t="shared" si="7"/>
        <v>634115291</v>
      </c>
      <c r="J425" s="52">
        <v>0</v>
      </c>
      <c r="K425" s="61"/>
      <c r="M425" s="38" t="str">
        <f>IF([1]totrevprm!O425="","",[1]totrevprm!O425)</f>
        <v/>
      </c>
    </row>
    <row r="426" spans="1:13">
      <c r="A426" s="49" t="s">
        <v>29</v>
      </c>
      <c r="B426" s="46" t="s">
        <v>532</v>
      </c>
      <c r="C426" s="50" t="s">
        <v>732</v>
      </c>
      <c r="D426" s="51">
        <v>1989</v>
      </c>
      <c r="E426" s="53">
        <v>271467846</v>
      </c>
      <c r="F426" s="53">
        <v>293377869</v>
      </c>
      <c r="G426" s="53">
        <v>125767114</v>
      </c>
      <c r="H426" s="53">
        <v>0</v>
      </c>
      <c r="I426" s="54">
        <f t="shared" si="7"/>
        <v>690612829</v>
      </c>
      <c r="J426" s="52">
        <v>0</v>
      </c>
      <c r="K426" s="61"/>
      <c r="M426" s="38" t="str">
        <f>IF([1]totrevprm!O426="","",[1]totrevprm!O426)</f>
        <v/>
      </c>
    </row>
    <row r="427" spans="1:13">
      <c r="A427" s="49" t="s">
        <v>29</v>
      </c>
      <c r="B427" s="46" t="s">
        <v>532</v>
      </c>
      <c r="C427" s="50" t="s">
        <v>732</v>
      </c>
      <c r="D427" s="51">
        <v>1990</v>
      </c>
      <c r="E427" s="53">
        <v>307921019</v>
      </c>
      <c r="F427" s="53">
        <v>385024537.83999997</v>
      </c>
      <c r="G427" s="53">
        <v>130123595</v>
      </c>
      <c r="H427" s="53">
        <v>0</v>
      </c>
      <c r="I427" s="54">
        <f t="shared" si="7"/>
        <v>823069151.83999991</v>
      </c>
      <c r="J427" s="52">
        <v>0</v>
      </c>
      <c r="K427" s="61"/>
      <c r="M427" s="38" t="str">
        <f>IF([1]totrevprm!O427="","",[1]totrevprm!O427)</f>
        <v/>
      </c>
    </row>
    <row r="428" spans="1:13">
      <c r="A428" s="49" t="s">
        <v>29</v>
      </c>
      <c r="B428" s="46" t="s">
        <v>532</v>
      </c>
      <c r="C428" s="50" t="s">
        <v>732</v>
      </c>
      <c r="D428" s="51">
        <v>1991</v>
      </c>
      <c r="E428" s="53">
        <v>339685365</v>
      </c>
      <c r="F428" s="53">
        <v>291514770</v>
      </c>
      <c r="G428" s="53">
        <v>138284159</v>
      </c>
      <c r="H428" s="53">
        <v>0</v>
      </c>
      <c r="I428" s="54">
        <f t="shared" si="7"/>
        <v>769484294</v>
      </c>
      <c r="J428" s="52">
        <v>0</v>
      </c>
      <c r="K428" s="61"/>
      <c r="M428" s="38" t="str">
        <f>IF([1]totrevprm!O428="","",[1]totrevprm!O428)</f>
        <v/>
      </c>
    </row>
    <row r="429" spans="1:13">
      <c r="A429" s="49" t="s">
        <v>29</v>
      </c>
      <c r="B429" s="46" t="s">
        <v>532</v>
      </c>
      <c r="C429" s="50" t="s">
        <v>732</v>
      </c>
      <c r="D429" s="51">
        <v>1992</v>
      </c>
      <c r="E429" s="53">
        <v>350257420</v>
      </c>
      <c r="F429" s="53">
        <v>308282151.60000002</v>
      </c>
      <c r="G429" s="53">
        <v>148633372</v>
      </c>
      <c r="H429" s="53">
        <v>0</v>
      </c>
      <c r="I429" s="54">
        <f t="shared" si="7"/>
        <v>807172943.60000002</v>
      </c>
      <c r="J429" s="52">
        <v>0</v>
      </c>
      <c r="K429" s="61"/>
      <c r="M429" s="38" t="str">
        <f>IF([1]totrevprm!O429="","",[1]totrevprm!O429)</f>
        <v/>
      </c>
    </row>
    <row r="430" spans="1:13">
      <c r="A430" s="49" t="s">
        <v>29</v>
      </c>
      <c r="B430" s="46" t="s">
        <v>532</v>
      </c>
      <c r="C430" s="50" t="s">
        <v>732</v>
      </c>
      <c r="D430" s="51">
        <v>1993</v>
      </c>
      <c r="E430" s="53">
        <v>352932662</v>
      </c>
      <c r="F430" s="53">
        <v>256075180</v>
      </c>
      <c r="G430" s="53">
        <v>153389324</v>
      </c>
      <c r="H430" s="53">
        <v>0</v>
      </c>
      <c r="I430" s="54">
        <f t="shared" si="7"/>
        <v>762397166</v>
      </c>
      <c r="J430" s="52">
        <v>0</v>
      </c>
      <c r="K430" s="61"/>
      <c r="M430" s="38" t="str">
        <f>IF([1]totrevprm!O430="","",[1]totrevprm!O430)</f>
        <v/>
      </c>
    </row>
    <row r="431" spans="1:13">
      <c r="A431" s="49" t="s">
        <v>29</v>
      </c>
      <c r="B431" s="46" t="s">
        <v>532</v>
      </c>
      <c r="C431" s="50" t="s">
        <v>732</v>
      </c>
      <c r="D431" s="51">
        <v>1994</v>
      </c>
      <c r="E431" s="53">
        <v>376354138</v>
      </c>
      <c r="F431" s="53">
        <v>387647554</v>
      </c>
      <c r="G431" s="53">
        <v>157065300</v>
      </c>
      <c r="H431" s="53">
        <v>0</v>
      </c>
      <c r="I431" s="54">
        <f t="shared" si="7"/>
        <v>921066992</v>
      </c>
      <c r="J431" s="52">
        <v>0</v>
      </c>
      <c r="K431" s="61"/>
      <c r="M431" s="38" t="str">
        <f>IF([1]totrevprm!O431="","",[1]totrevprm!O431)</f>
        <v/>
      </c>
    </row>
    <row r="432" spans="1:13">
      <c r="A432" s="49" t="s">
        <v>29</v>
      </c>
      <c r="B432" s="46" t="s">
        <v>532</v>
      </c>
      <c r="C432" s="50" t="s">
        <v>732</v>
      </c>
      <c r="D432" s="51">
        <v>1995</v>
      </c>
      <c r="E432" s="53">
        <v>459545008</v>
      </c>
      <c r="F432" s="53">
        <v>384824639</v>
      </c>
      <c r="G432" s="53">
        <v>158199562</v>
      </c>
      <c r="H432" s="53">
        <v>0</v>
      </c>
      <c r="I432" s="54">
        <f t="shared" si="7"/>
        <v>1002569209</v>
      </c>
      <c r="J432" s="52">
        <v>0</v>
      </c>
      <c r="K432" s="61"/>
      <c r="M432" s="38" t="str">
        <f>IF([1]totrevprm!O432="","",[1]totrevprm!O432)</f>
        <v/>
      </c>
    </row>
    <row r="433" spans="1:13">
      <c r="A433" s="49" t="s">
        <v>29</v>
      </c>
      <c r="B433" s="46" t="s">
        <v>532</v>
      </c>
      <c r="C433" s="50" t="s">
        <v>732</v>
      </c>
      <c r="D433" s="51">
        <v>1996</v>
      </c>
      <c r="E433" s="53">
        <v>413233413</v>
      </c>
      <c r="F433" s="53">
        <v>489260313</v>
      </c>
      <c r="G433" s="53">
        <v>175717710</v>
      </c>
      <c r="H433" s="53">
        <v>0</v>
      </c>
      <c r="I433" s="54">
        <f t="shared" si="7"/>
        <v>1078211436</v>
      </c>
      <c r="J433" s="52">
        <v>0</v>
      </c>
      <c r="K433" s="61"/>
      <c r="M433" s="38" t="str">
        <f>IF([1]totrevprm!O433="","",[1]totrevprm!O433)</f>
        <v/>
      </c>
    </row>
    <row r="434" spans="1:13">
      <c r="A434" s="49" t="s">
        <v>29</v>
      </c>
      <c r="B434" s="46" t="s">
        <v>532</v>
      </c>
      <c r="C434" s="50" t="s">
        <v>732</v>
      </c>
      <c r="D434" s="51">
        <v>1997</v>
      </c>
      <c r="E434" s="53">
        <v>446611937</v>
      </c>
      <c r="F434" s="53">
        <v>357280503</v>
      </c>
      <c r="G434" s="53">
        <v>175447406</v>
      </c>
      <c r="H434" s="53">
        <v>0</v>
      </c>
      <c r="I434" s="54">
        <f t="shared" si="7"/>
        <v>979339846</v>
      </c>
      <c r="J434" s="52">
        <v>0</v>
      </c>
      <c r="K434" s="61"/>
      <c r="M434" s="38" t="str">
        <f>IF([1]totrevprm!O434="","",[1]totrevprm!O434)</f>
        <v/>
      </c>
    </row>
    <row r="435" spans="1:13">
      <c r="A435" s="49" t="s">
        <v>29</v>
      </c>
      <c r="B435" s="46" t="s">
        <v>532</v>
      </c>
      <c r="C435" s="50" t="s">
        <v>732</v>
      </c>
      <c r="D435" s="51">
        <v>1998</v>
      </c>
      <c r="E435" s="53">
        <v>413901881</v>
      </c>
      <c r="F435" s="53">
        <v>413338303</v>
      </c>
      <c r="G435" s="53">
        <v>170690538</v>
      </c>
      <c r="H435" s="53">
        <v>0</v>
      </c>
      <c r="I435" s="54">
        <f t="shared" si="7"/>
        <v>997930722</v>
      </c>
      <c r="J435" s="52">
        <v>0</v>
      </c>
      <c r="K435" s="61"/>
      <c r="M435" s="38" t="str">
        <f>IF([1]totrevprm!O435="","",[1]totrevprm!O435)</f>
        <v/>
      </c>
    </row>
    <row r="436" spans="1:13">
      <c r="A436" s="49" t="s">
        <v>29</v>
      </c>
      <c r="B436" s="46" t="s">
        <v>532</v>
      </c>
      <c r="C436" s="50" t="s">
        <v>732</v>
      </c>
      <c r="D436" s="51">
        <v>1999</v>
      </c>
      <c r="E436" s="53">
        <v>437280519</v>
      </c>
      <c r="F436" s="53">
        <v>438396889</v>
      </c>
      <c r="G436" s="53">
        <v>182601407</v>
      </c>
      <c r="H436" s="53">
        <v>0</v>
      </c>
      <c r="I436" s="54">
        <f t="shared" si="7"/>
        <v>1058278815</v>
      </c>
      <c r="J436" s="52">
        <v>0</v>
      </c>
      <c r="K436" s="61"/>
      <c r="M436" s="38" t="str">
        <f>IF([1]totrevprm!O436="","",[1]totrevprm!O436)</f>
        <v/>
      </c>
    </row>
    <row r="437" spans="1:13">
      <c r="A437" s="49" t="s">
        <v>29</v>
      </c>
      <c r="B437" s="46" t="s">
        <v>532</v>
      </c>
      <c r="C437" s="50" t="s">
        <v>732</v>
      </c>
      <c r="D437" s="51">
        <v>2000</v>
      </c>
      <c r="E437" s="53">
        <v>514076764</v>
      </c>
      <c r="F437" s="53">
        <v>567135516</v>
      </c>
      <c r="G437" s="53">
        <v>201211269</v>
      </c>
      <c r="H437" s="53">
        <v>0</v>
      </c>
      <c r="I437" s="54">
        <f t="shared" si="7"/>
        <v>1282423549</v>
      </c>
      <c r="J437" s="52">
        <v>0</v>
      </c>
      <c r="K437" s="61"/>
      <c r="M437" s="38" t="str">
        <f>IF([1]totrevprm!O437="","",[1]totrevprm!O437)</f>
        <v/>
      </c>
    </row>
    <row r="438" spans="1:13">
      <c r="A438" s="49" t="s">
        <v>29</v>
      </c>
      <c r="B438" s="46" t="s">
        <v>532</v>
      </c>
      <c r="C438" s="50" t="s">
        <v>732</v>
      </c>
      <c r="D438" s="51">
        <v>2001</v>
      </c>
      <c r="E438" s="53">
        <v>393712531</v>
      </c>
      <c r="F438" s="53">
        <v>624528133</v>
      </c>
      <c r="G438" s="53">
        <v>208532835</v>
      </c>
      <c r="H438" s="53">
        <v>0</v>
      </c>
      <c r="I438" s="54">
        <f t="shared" ref="I438:I502" si="8">SUM(E438:H438)</f>
        <v>1226773499</v>
      </c>
      <c r="J438" s="52">
        <v>0</v>
      </c>
      <c r="K438" s="61"/>
      <c r="M438" s="38" t="str">
        <f>IF([1]totrevprm!O438="","",[1]totrevprm!O438)</f>
        <v/>
      </c>
    </row>
    <row r="439" spans="1:13">
      <c r="A439" s="49" t="s">
        <v>29</v>
      </c>
      <c r="B439" s="46" t="s">
        <v>532</v>
      </c>
      <c r="C439" s="50" t="s">
        <v>732</v>
      </c>
      <c r="D439" s="51">
        <v>2002</v>
      </c>
      <c r="E439" s="53">
        <v>474929610</v>
      </c>
      <c r="F439" s="53">
        <v>829282949</v>
      </c>
      <c r="G439" s="53">
        <v>224955478</v>
      </c>
      <c r="H439" s="53">
        <v>0</v>
      </c>
      <c r="I439" s="54">
        <f t="shared" si="8"/>
        <v>1529168037</v>
      </c>
      <c r="J439" s="52">
        <v>0</v>
      </c>
      <c r="K439" s="61"/>
      <c r="M439" s="38" t="str">
        <f>IF([1]totrevprm!O439="","",[1]totrevprm!O439)</f>
        <v/>
      </c>
    </row>
    <row r="440" spans="1:13">
      <c r="A440" s="49" t="s">
        <v>29</v>
      </c>
      <c r="B440" s="46" t="s">
        <v>532</v>
      </c>
      <c r="C440" s="50" t="s">
        <v>732</v>
      </c>
      <c r="D440" s="51">
        <v>2003</v>
      </c>
      <c r="E440" s="55">
        <v>521909669</v>
      </c>
      <c r="F440" s="55">
        <v>797316118</v>
      </c>
      <c r="G440" s="55">
        <v>234767150</v>
      </c>
      <c r="H440" s="53">
        <v>0</v>
      </c>
      <c r="I440" s="54">
        <f t="shared" si="8"/>
        <v>1553992937</v>
      </c>
      <c r="J440" s="52">
        <v>0</v>
      </c>
      <c r="K440" s="61"/>
      <c r="M440" s="38" t="str">
        <f>IF([1]totrevprm!O440="","",[1]totrevprm!O440)</f>
        <v/>
      </c>
    </row>
    <row r="441" spans="1:13">
      <c r="A441" s="49" t="s">
        <v>29</v>
      </c>
      <c r="B441" s="46" t="s">
        <v>532</v>
      </c>
      <c r="C441" s="50" t="s">
        <v>732</v>
      </c>
      <c r="D441" s="51">
        <v>2004</v>
      </c>
      <c r="E441" s="55">
        <v>469416393</v>
      </c>
      <c r="F441" s="55">
        <v>704378484</v>
      </c>
      <c r="G441" s="55">
        <v>250783994</v>
      </c>
      <c r="H441" s="53">
        <v>0</v>
      </c>
      <c r="I441" s="54">
        <f t="shared" si="8"/>
        <v>1424578871</v>
      </c>
      <c r="J441" s="52">
        <v>0</v>
      </c>
      <c r="K441" s="61"/>
      <c r="M441" s="38" t="str">
        <f>IF([1]totrevprm!O441="","",[1]totrevprm!O441)</f>
        <v/>
      </c>
    </row>
    <row r="442" spans="1:13">
      <c r="A442" s="49" t="s">
        <v>29</v>
      </c>
      <c r="B442" s="46" t="s">
        <v>532</v>
      </c>
      <c r="C442" s="50"/>
      <c r="D442" s="51">
        <v>2005</v>
      </c>
      <c r="E442" s="55">
        <v>497219236</v>
      </c>
      <c r="F442" s="55">
        <v>692529159</v>
      </c>
      <c r="G442" s="55">
        <v>265357425.329999</v>
      </c>
      <c r="H442" s="53">
        <v>0</v>
      </c>
      <c r="I442" s="54">
        <f t="shared" si="8"/>
        <v>1455105820.329999</v>
      </c>
      <c r="J442" s="52">
        <v>0</v>
      </c>
      <c r="K442" s="61"/>
      <c r="M442" s="38" t="str">
        <f>IF([1]totrevprm!O442="","",[1]totrevprm!O442)</f>
        <v/>
      </c>
    </row>
    <row r="443" spans="1:13">
      <c r="A443" s="49" t="s">
        <v>29</v>
      </c>
      <c r="B443" s="46" t="s">
        <v>532</v>
      </c>
      <c r="C443" s="50"/>
      <c r="D443" s="51">
        <v>2006</v>
      </c>
      <c r="E443" s="56">
        <v>510463157</v>
      </c>
      <c r="F443" s="56">
        <v>838750531</v>
      </c>
      <c r="G443" s="56">
        <v>338469824</v>
      </c>
      <c r="H443" s="56">
        <v>0</v>
      </c>
      <c r="I443" s="54">
        <f t="shared" si="8"/>
        <v>1687683512</v>
      </c>
      <c r="J443" s="52">
        <v>0</v>
      </c>
      <c r="K443" s="61"/>
      <c r="M443" s="38" t="str">
        <f>IF([1]totrevprm!O443="","",[1]totrevprm!O443)</f>
        <v/>
      </c>
    </row>
    <row r="444" spans="1:13">
      <c r="A444" s="49" t="s">
        <v>29</v>
      </c>
      <c r="B444" s="46" t="s">
        <v>532</v>
      </c>
      <c r="C444" s="50"/>
      <c r="D444" s="51">
        <v>2007</v>
      </c>
      <c r="E444" s="56">
        <v>505107454</v>
      </c>
      <c r="F444" s="56">
        <v>842533842</v>
      </c>
      <c r="G444" s="56">
        <v>402081140</v>
      </c>
      <c r="H444" s="56">
        <v>0</v>
      </c>
      <c r="I444" s="54">
        <f t="shared" si="8"/>
        <v>1749722436</v>
      </c>
      <c r="J444" s="52">
        <v>0</v>
      </c>
      <c r="K444" s="61"/>
      <c r="M444" s="38" t="str">
        <f>IF([1]totrevprm!O444="","",[1]totrevprm!O444)</f>
        <v/>
      </c>
    </row>
    <row r="445" spans="1:13">
      <c r="A445" s="49" t="s">
        <v>29</v>
      </c>
      <c r="B445" s="46" t="s">
        <v>532</v>
      </c>
      <c r="C445" s="50"/>
      <c r="D445" s="51">
        <v>2008</v>
      </c>
      <c r="E445" s="56">
        <v>604155199</v>
      </c>
      <c r="F445" s="56">
        <v>1098537973</v>
      </c>
      <c r="G445" s="56">
        <v>454006775</v>
      </c>
      <c r="H445" s="56">
        <v>0</v>
      </c>
      <c r="I445" s="54">
        <f t="shared" si="8"/>
        <v>2156699947</v>
      </c>
      <c r="J445" s="52">
        <v>0</v>
      </c>
      <c r="K445" s="61"/>
      <c r="M445" s="38" t="str">
        <f>IF([1]totrevprm!O445="","",[1]totrevprm!O445)</f>
        <v/>
      </c>
    </row>
    <row r="446" spans="1:13">
      <c r="A446" s="49" t="s">
        <v>29</v>
      </c>
      <c r="B446" s="46" t="s">
        <v>532</v>
      </c>
      <c r="C446" s="50"/>
      <c r="D446" s="51">
        <v>2009</v>
      </c>
      <c r="E446" s="56">
        <v>612444475</v>
      </c>
      <c r="F446" s="56">
        <v>980409275</v>
      </c>
      <c r="G446" s="56">
        <v>977121609</v>
      </c>
      <c r="H446" s="56">
        <v>0</v>
      </c>
      <c r="I446" s="54">
        <f t="shared" si="8"/>
        <v>2569975359</v>
      </c>
      <c r="J446" s="52">
        <v>0</v>
      </c>
      <c r="K446" s="61"/>
      <c r="M446" s="38" t="str">
        <f>IF([1]totrevprm!O446="","",[1]totrevprm!O446)</f>
        <v/>
      </c>
    </row>
    <row r="447" spans="1:13">
      <c r="A447" s="49" t="s">
        <v>29</v>
      </c>
      <c r="B447" s="46" t="s">
        <v>532</v>
      </c>
      <c r="C447" s="50"/>
      <c r="D447" s="51">
        <v>2010</v>
      </c>
      <c r="E447" s="56">
        <v>633237335</v>
      </c>
      <c r="F447" s="56">
        <v>810659609</v>
      </c>
      <c r="G447" s="56">
        <v>1186022784</v>
      </c>
      <c r="H447" s="56">
        <v>0</v>
      </c>
      <c r="I447" s="54">
        <f t="shared" si="8"/>
        <v>2629919728</v>
      </c>
      <c r="J447" s="52">
        <v>0</v>
      </c>
      <c r="K447" s="61"/>
      <c r="M447" s="38" t="str">
        <f>IF([1]totrevprm!O447="","",[1]totrevprm!O447)</f>
        <v/>
      </c>
    </row>
    <row r="448" spans="1:13">
      <c r="A448" s="49" t="s">
        <v>29</v>
      </c>
      <c r="B448" s="46" t="s">
        <v>532</v>
      </c>
      <c r="C448" s="50"/>
      <c r="D448" s="51">
        <v>2011</v>
      </c>
      <c r="E448" s="56">
        <v>643574500</v>
      </c>
      <c r="F448" s="56">
        <v>883326217</v>
      </c>
      <c r="G448" s="56">
        <v>866175548.40999997</v>
      </c>
      <c r="H448" s="56">
        <v>0</v>
      </c>
      <c r="I448" s="54">
        <f t="shared" si="8"/>
        <v>2393076265.4099998</v>
      </c>
      <c r="J448" s="52">
        <v>0</v>
      </c>
      <c r="K448" s="61"/>
      <c r="M448" s="38" t="str">
        <f>IF([1]totrevprm!O448="","",[1]totrevprm!O448)</f>
        <v/>
      </c>
    </row>
    <row r="449" spans="1:13">
      <c r="A449" s="49" t="s">
        <v>29</v>
      </c>
      <c r="B449" s="46" t="s">
        <v>532</v>
      </c>
      <c r="C449" s="50"/>
      <c r="D449" s="51">
        <v>2012</v>
      </c>
      <c r="E449" s="56">
        <v>673101632</v>
      </c>
      <c r="F449" s="56">
        <v>873677574</v>
      </c>
      <c r="G449" s="56">
        <v>1132254241</v>
      </c>
      <c r="H449" s="56">
        <v>0</v>
      </c>
      <c r="I449" s="54">
        <f t="shared" si="8"/>
        <v>2679033447</v>
      </c>
      <c r="J449" s="52">
        <v>0</v>
      </c>
      <c r="K449" s="61"/>
      <c r="M449" s="38" t="str">
        <f>IF([1]totrevprm!O449="","",[1]totrevprm!O449)</f>
        <v/>
      </c>
    </row>
    <row r="450" spans="1:13">
      <c r="A450" s="49" t="s">
        <v>29</v>
      </c>
      <c r="B450" s="46" t="s">
        <v>532</v>
      </c>
      <c r="C450" s="50"/>
      <c r="D450" s="51">
        <v>2013</v>
      </c>
      <c r="E450" s="56">
        <v>764845153</v>
      </c>
      <c r="F450" s="56">
        <v>867994635</v>
      </c>
      <c r="G450" s="56">
        <v>356693857</v>
      </c>
      <c r="H450" s="56">
        <v>0</v>
      </c>
      <c r="I450" s="54">
        <f t="shared" si="8"/>
        <v>1989533645</v>
      </c>
      <c r="J450" s="52">
        <v>0</v>
      </c>
      <c r="K450" s="61"/>
      <c r="M450" s="38" t="str">
        <f>IF([1]totrevprm!O450="","",[1]totrevprm!O450)</f>
        <v/>
      </c>
    </row>
    <row r="451" spans="1:13">
      <c r="A451" s="49" t="s">
        <v>29</v>
      </c>
      <c r="B451" s="46" t="s">
        <v>532</v>
      </c>
      <c r="C451" s="50"/>
      <c r="D451" s="47">
        <v>2014</v>
      </c>
      <c r="E451" s="56">
        <v>710122339</v>
      </c>
      <c r="F451" s="56">
        <v>879583941</v>
      </c>
      <c r="G451" s="56">
        <v>761524166</v>
      </c>
      <c r="H451" s="56">
        <v>0</v>
      </c>
      <c r="I451" s="54">
        <f t="shared" si="8"/>
        <v>2351230446</v>
      </c>
      <c r="J451" s="52">
        <v>0</v>
      </c>
      <c r="K451" s="61"/>
      <c r="M451" s="38" t="str">
        <f>IF([1]totrevprm!O451="","",[1]totrevprm!O451)</f>
        <v/>
      </c>
    </row>
    <row r="452" spans="1:13">
      <c r="A452" s="49" t="s">
        <v>29</v>
      </c>
      <c r="B452" s="46" t="s">
        <v>532</v>
      </c>
      <c r="C452" s="50"/>
      <c r="D452" s="47">
        <v>2015</v>
      </c>
      <c r="E452" s="56">
        <v>738433143</v>
      </c>
      <c r="F452" s="56">
        <v>932362585</v>
      </c>
      <c r="G452" s="56">
        <v>796656759</v>
      </c>
      <c r="H452" s="56">
        <v>0</v>
      </c>
      <c r="I452" s="54">
        <f t="shared" si="8"/>
        <v>2467452487</v>
      </c>
      <c r="J452" s="52">
        <v>0</v>
      </c>
      <c r="K452" s="61"/>
      <c r="M452" s="38" t="str">
        <f>IF([1]totrevprm!O452="","",[1]totrevprm!O452)</f>
        <v/>
      </c>
    </row>
    <row r="453" spans="1:13">
      <c r="A453" s="49" t="s">
        <v>29</v>
      </c>
      <c r="B453" s="46" t="s">
        <v>532</v>
      </c>
      <c r="C453" s="50"/>
      <c r="D453" s="47">
        <v>2016</v>
      </c>
      <c r="E453" s="56">
        <v>758544807</v>
      </c>
      <c r="F453" s="56">
        <v>1004709940</v>
      </c>
      <c r="G453" s="56">
        <v>1302400685</v>
      </c>
      <c r="H453" s="56">
        <v>0</v>
      </c>
      <c r="I453" s="54">
        <f t="shared" si="8"/>
        <v>3065655432</v>
      </c>
      <c r="J453" s="52">
        <v>0</v>
      </c>
      <c r="K453" s="61"/>
      <c r="M453" s="38" t="str">
        <f>IF([1]totrevprm!O453="","",[1]totrevprm!O453)</f>
        <v/>
      </c>
    </row>
    <row r="454" spans="1:13">
      <c r="A454" s="49" t="s">
        <v>29</v>
      </c>
      <c r="B454" s="46" t="s">
        <v>532</v>
      </c>
      <c r="C454" s="50"/>
      <c r="D454" s="47">
        <v>2017</v>
      </c>
      <c r="E454" s="56">
        <v>813993595</v>
      </c>
      <c r="F454" s="56">
        <v>1149395029</v>
      </c>
      <c r="G454" s="56">
        <v>1386860854.3800001</v>
      </c>
      <c r="H454" s="56">
        <v>0</v>
      </c>
      <c r="I454" s="54">
        <f t="shared" si="8"/>
        <v>3350249478.3800001</v>
      </c>
      <c r="J454" s="52">
        <v>0</v>
      </c>
      <c r="K454" s="61"/>
      <c r="M454" s="38" t="str">
        <f>IF([1]totrevprm!O454="","",[1]totrevprm!O454)</f>
        <v/>
      </c>
    </row>
    <row r="455" spans="1:13">
      <c r="A455" s="49" t="s">
        <v>29</v>
      </c>
      <c r="B455" s="46" t="s">
        <v>532</v>
      </c>
      <c r="C455" s="50"/>
      <c r="D455" s="47">
        <v>2018</v>
      </c>
      <c r="E455" s="56">
        <v>877504905</v>
      </c>
      <c r="F455" s="56">
        <v>1290908774</v>
      </c>
      <c r="G455" s="56">
        <v>1332447860</v>
      </c>
      <c r="H455" s="56">
        <v>0</v>
      </c>
      <c r="I455" s="54">
        <f t="shared" si="8"/>
        <v>3500861539</v>
      </c>
      <c r="J455" s="56">
        <v>0</v>
      </c>
      <c r="K455" s="61"/>
      <c r="M455" s="38" t="str">
        <f>IF([1]totrevprm!O455="","",[1]totrevprm!O455)</f>
        <v/>
      </c>
    </row>
    <row r="456" spans="1:13">
      <c r="A456" s="49" t="s">
        <v>29</v>
      </c>
      <c r="B456" s="46" t="s">
        <v>532</v>
      </c>
      <c r="C456" s="50"/>
      <c r="D456" s="47">
        <v>2019</v>
      </c>
      <c r="E456" s="56">
        <v>888542571</v>
      </c>
      <c r="F456" s="56">
        <v>1269025088</v>
      </c>
      <c r="G456" s="56">
        <v>1271344345</v>
      </c>
      <c r="H456" s="56">
        <v>0</v>
      </c>
      <c r="I456" s="54">
        <f t="shared" si="8"/>
        <v>3428912004</v>
      </c>
      <c r="J456" s="56">
        <v>0</v>
      </c>
      <c r="K456" s="61"/>
      <c r="M456" s="38" t="str">
        <f>IF([1]totrevprm!O456="","",[1]totrevprm!O456)</f>
        <v/>
      </c>
    </row>
    <row r="457" spans="1:13">
      <c r="A457" s="49" t="s">
        <v>29</v>
      </c>
      <c r="B457" s="46" t="s">
        <v>532</v>
      </c>
      <c r="C457" s="50"/>
      <c r="D457" s="47">
        <v>2020</v>
      </c>
      <c r="E457" s="56">
        <v>871404521</v>
      </c>
      <c r="F457" s="56">
        <v>1132153896</v>
      </c>
      <c r="G457" s="56">
        <v>1375259869</v>
      </c>
      <c r="H457" s="56">
        <v>0</v>
      </c>
      <c r="I457" s="54">
        <f t="shared" si="8"/>
        <v>3378818286</v>
      </c>
      <c r="J457" s="56">
        <v>0</v>
      </c>
      <c r="K457" s="61"/>
      <c r="M457" s="38" t="str">
        <f>IF([1]totrevprm!O457="","",[1]totrevprm!O457)</f>
        <v/>
      </c>
    </row>
    <row r="458" spans="1:13">
      <c r="A458" s="49" t="s">
        <v>29</v>
      </c>
      <c r="B458" s="46" t="s">
        <v>532</v>
      </c>
      <c r="C458" s="50"/>
      <c r="D458" s="47">
        <v>2021</v>
      </c>
      <c r="E458" s="56">
        <v>903911321</v>
      </c>
      <c r="F458" s="56">
        <v>1246436793</v>
      </c>
      <c r="G458" s="56">
        <v>1351332738</v>
      </c>
      <c r="H458" s="56">
        <v>0</v>
      </c>
      <c r="I458" s="54">
        <f t="shared" si="8"/>
        <v>3501680852</v>
      </c>
      <c r="J458" s="56">
        <v>0</v>
      </c>
      <c r="K458" s="61"/>
      <c r="M458" s="38"/>
    </row>
    <row r="459" spans="1:13">
      <c r="A459" s="49" t="s">
        <v>29</v>
      </c>
      <c r="B459" s="46" t="s">
        <v>532</v>
      </c>
      <c r="C459" s="50"/>
      <c r="D459" s="47">
        <v>2022</v>
      </c>
      <c r="E459" s="56">
        <v>983357267</v>
      </c>
      <c r="F459" s="56">
        <v>1766929147</v>
      </c>
      <c r="G459" s="56">
        <v>1333303560</v>
      </c>
      <c r="H459" s="56">
        <v>0</v>
      </c>
      <c r="I459" s="54">
        <f t="shared" si="8"/>
        <v>4083589974</v>
      </c>
      <c r="J459" s="56">
        <v>0</v>
      </c>
      <c r="K459" s="61"/>
      <c r="M459" s="38"/>
    </row>
    <row r="460" spans="1:13">
      <c r="A460" s="49" t="s">
        <v>29</v>
      </c>
      <c r="B460" s="46" t="s">
        <v>532</v>
      </c>
      <c r="C460" s="50"/>
      <c r="D460" s="51">
        <v>2023</v>
      </c>
      <c r="E460" s="56">
        <v>872783575</v>
      </c>
      <c r="F460" s="56">
        <v>2058774040.6206999</v>
      </c>
      <c r="G460" s="56">
        <v>1201531127.5799999</v>
      </c>
      <c r="H460" s="56">
        <v>0</v>
      </c>
      <c r="I460" s="54">
        <f t="shared" si="8"/>
        <v>4133088743.2006998</v>
      </c>
      <c r="J460" s="52">
        <v>0</v>
      </c>
      <c r="K460" s="61"/>
      <c r="M460" s="38"/>
    </row>
    <row r="461" spans="1:13">
      <c r="A461" s="49" t="s">
        <v>29</v>
      </c>
      <c r="B461" s="46" t="s">
        <v>532</v>
      </c>
      <c r="C461" s="50"/>
      <c r="D461" s="57">
        <v>2024</v>
      </c>
      <c r="E461" s="52">
        <v>952768577.98000002</v>
      </c>
      <c r="F461" s="52">
        <v>2420627224.4700003</v>
      </c>
      <c r="G461" s="52">
        <v>1278950019.49</v>
      </c>
      <c r="H461" s="52">
        <v>0</v>
      </c>
      <c r="I461" s="54">
        <f t="shared" si="8"/>
        <v>4652345821.9400005</v>
      </c>
      <c r="J461" s="56">
        <v>0</v>
      </c>
      <c r="K461" s="60"/>
      <c r="M461" s="38"/>
    </row>
    <row r="462" spans="1:13">
      <c r="A462" s="49"/>
      <c r="B462" s="50"/>
      <c r="C462" s="50"/>
      <c r="E462" s="53"/>
      <c r="F462" s="53"/>
      <c r="G462" s="53"/>
      <c r="H462" s="53"/>
      <c r="I462" s="54"/>
      <c r="J462" s="52"/>
      <c r="K462" s="61"/>
      <c r="M462" s="38"/>
    </row>
    <row r="463" spans="1:13">
      <c r="A463" s="49" t="s">
        <v>30</v>
      </c>
      <c r="B463" s="46" t="s">
        <v>665</v>
      </c>
      <c r="C463" s="50" t="s">
        <v>731</v>
      </c>
      <c r="D463" s="51">
        <v>1988</v>
      </c>
      <c r="E463" s="53">
        <v>209218365</v>
      </c>
      <c r="F463" s="53">
        <v>202403417</v>
      </c>
      <c r="G463" s="53">
        <v>127835580</v>
      </c>
      <c r="H463" s="53">
        <v>0</v>
      </c>
      <c r="I463" s="54">
        <f t="shared" si="8"/>
        <v>539457362</v>
      </c>
      <c r="J463" s="52">
        <v>0</v>
      </c>
      <c r="K463" s="61"/>
      <c r="M463" s="38" t="str">
        <f>IF([1]totrevprm!O463="","",[1]totrevprm!O463)</f>
        <v/>
      </c>
    </row>
    <row r="464" spans="1:13">
      <c r="A464" s="49" t="s">
        <v>30</v>
      </c>
      <c r="B464" s="46" t="s">
        <v>665</v>
      </c>
      <c r="C464" s="50" t="s">
        <v>732</v>
      </c>
      <c r="D464" s="51">
        <v>1989</v>
      </c>
      <c r="E464" s="53">
        <v>188151307</v>
      </c>
      <c r="F464" s="53">
        <v>202928400</v>
      </c>
      <c r="G464" s="53">
        <v>131191153</v>
      </c>
      <c r="H464" s="53">
        <v>0</v>
      </c>
      <c r="I464" s="54">
        <f t="shared" si="8"/>
        <v>522270860</v>
      </c>
      <c r="J464" s="52">
        <v>0</v>
      </c>
      <c r="K464" s="61"/>
      <c r="M464" s="38" t="str">
        <f>IF([1]totrevprm!O464="","",[1]totrevprm!O464)</f>
        <v/>
      </c>
    </row>
    <row r="465" spans="1:13">
      <c r="A465" s="49" t="s">
        <v>30</v>
      </c>
      <c r="B465" s="46" t="s">
        <v>665</v>
      </c>
      <c r="C465" s="50" t="s">
        <v>732</v>
      </c>
      <c r="D465" s="51">
        <v>1990</v>
      </c>
      <c r="E465" s="53">
        <v>231237401</v>
      </c>
      <c r="F465" s="53">
        <v>209817898.59999999</v>
      </c>
      <c r="G465" s="53">
        <v>132075566</v>
      </c>
      <c r="H465" s="53">
        <v>0</v>
      </c>
      <c r="I465" s="54">
        <f t="shared" si="8"/>
        <v>573130865.60000002</v>
      </c>
      <c r="J465" s="52">
        <v>0</v>
      </c>
      <c r="K465" s="61"/>
      <c r="M465" s="38" t="str">
        <f>IF([1]totrevprm!O465="","",[1]totrevprm!O465)</f>
        <v/>
      </c>
    </row>
    <row r="466" spans="1:13">
      <c r="A466" s="49" t="s">
        <v>30</v>
      </c>
      <c r="B466" s="46" t="s">
        <v>665</v>
      </c>
      <c r="C466" s="50" t="s">
        <v>732</v>
      </c>
      <c r="D466" s="51">
        <v>1991</v>
      </c>
      <c r="E466" s="53">
        <v>227915285</v>
      </c>
      <c r="F466" s="53">
        <v>215609153</v>
      </c>
      <c r="G466" s="53">
        <v>134230766</v>
      </c>
      <c r="H466" s="53">
        <v>0</v>
      </c>
      <c r="I466" s="54">
        <f t="shared" si="8"/>
        <v>577755204</v>
      </c>
      <c r="J466" s="52">
        <v>0</v>
      </c>
      <c r="K466" s="61"/>
      <c r="M466" s="38" t="str">
        <f>IF([1]totrevprm!O466="","",[1]totrevprm!O466)</f>
        <v/>
      </c>
    </row>
    <row r="467" spans="1:13">
      <c r="A467" s="49" t="s">
        <v>30</v>
      </c>
      <c r="B467" s="46" t="s">
        <v>665</v>
      </c>
      <c r="C467" s="50" t="s">
        <v>732</v>
      </c>
      <c r="D467" s="51">
        <v>1992</v>
      </c>
      <c r="E467" s="53">
        <v>233551360</v>
      </c>
      <c r="F467" s="53">
        <v>221813746.91999999</v>
      </c>
      <c r="G467" s="53">
        <v>140162314</v>
      </c>
      <c r="H467" s="53">
        <v>0</v>
      </c>
      <c r="I467" s="54">
        <f t="shared" si="8"/>
        <v>595527420.91999996</v>
      </c>
      <c r="J467" s="52">
        <v>0</v>
      </c>
      <c r="K467" s="61"/>
      <c r="M467" s="38" t="str">
        <f>IF([1]totrevprm!O467="","",[1]totrevprm!O467)</f>
        <v/>
      </c>
    </row>
    <row r="468" spans="1:13">
      <c r="A468" s="49" t="s">
        <v>30</v>
      </c>
      <c r="B468" s="46" t="s">
        <v>665</v>
      </c>
      <c r="C468" s="50" t="s">
        <v>732</v>
      </c>
      <c r="D468" s="51">
        <v>1993</v>
      </c>
      <c r="E468" s="53">
        <v>249047127</v>
      </c>
      <c r="F468" s="53">
        <v>185562498</v>
      </c>
      <c r="G468" s="53">
        <v>161754102</v>
      </c>
      <c r="H468" s="53">
        <v>0</v>
      </c>
      <c r="I468" s="54">
        <f t="shared" si="8"/>
        <v>596363727</v>
      </c>
      <c r="J468" s="52">
        <v>0</v>
      </c>
      <c r="K468" s="61"/>
      <c r="M468" s="38" t="str">
        <f>IF([1]totrevprm!O468="","",[1]totrevprm!O468)</f>
        <v/>
      </c>
    </row>
    <row r="469" spans="1:13">
      <c r="A469" s="49" t="s">
        <v>30</v>
      </c>
      <c r="B469" s="46" t="s">
        <v>665</v>
      </c>
      <c r="C469" s="50" t="s">
        <v>732</v>
      </c>
      <c r="D469" s="51">
        <v>1994</v>
      </c>
      <c r="E469" s="53">
        <v>264160806</v>
      </c>
      <c r="F469" s="53">
        <v>217683968</v>
      </c>
      <c r="G469" s="53">
        <v>176895710</v>
      </c>
      <c r="H469" s="53">
        <v>0</v>
      </c>
      <c r="I469" s="54">
        <f t="shared" si="8"/>
        <v>658740484</v>
      </c>
      <c r="J469" s="52">
        <v>0</v>
      </c>
      <c r="K469" s="61"/>
      <c r="M469" s="38" t="str">
        <f>IF([1]totrevprm!O469="","",[1]totrevprm!O469)</f>
        <v/>
      </c>
    </row>
    <row r="470" spans="1:13">
      <c r="A470" s="49" t="s">
        <v>30</v>
      </c>
      <c r="B470" s="46" t="s">
        <v>665</v>
      </c>
      <c r="C470" s="50" t="s">
        <v>732</v>
      </c>
      <c r="D470" s="51">
        <v>1995</v>
      </c>
      <c r="E470" s="53">
        <v>280977226</v>
      </c>
      <c r="F470" s="53">
        <v>218531343</v>
      </c>
      <c r="G470" s="53">
        <v>413583394</v>
      </c>
      <c r="H470" s="53">
        <v>0</v>
      </c>
      <c r="I470" s="54">
        <f t="shared" si="8"/>
        <v>913091963</v>
      </c>
      <c r="J470" s="52">
        <v>0</v>
      </c>
      <c r="K470" s="61"/>
      <c r="M470" s="38" t="str">
        <f>IF([1]totrevprm!O470="","",[1]totrevprm!O470)</f>
        <v/>
      </c>
    </row>
    <row r="471" spans="1:13">
      <c r="A471" s="49" t="s">
        <v>30</v>
      </c>
      <c r="B471" s="46" t="s">
        <v>665</v>
      </c>
      <c r="C471" s="50" t="s">
        <v>732</v>
      </c>
      <c r="D471" s="51">
        <v>1996</v>
      </c>
      <c r="E471" s="53">
        <v>285850570</v>
      </c>
      <c r="F471" s="53">
        <v>209367847</v>
      </c>
      <c r="G471" s="53">
        <v>701148543</v>
      </c>
      <c r="H471" s="53">
        <v>0</v>
      </c>
      <c r="I471" s="54">
        <f t="shared" si="8"/>
        <v>1196366960</v>
      </c>
      <c r="J471" s="52">
        <v>0</v>
      </c>
      <c r="K471" s="61"/>
      <c r="M471" s="38" t="str">
        <f>IF([1]totrevprm!O471="","",[1]totrevprm!O471)</f>
        <v/>
      </c>
    </row>
    <row r="472" spans="1:13">
      <c r="A472" s="49" t="s">
        <v>30</v>
      </c>
      <c r="B472" s="46" t="s">
        <v>665</v>
      </c>
      <c r="C472" s="50" t="s">
        <v>732</v>
      </c>
      <c r="D472" s="51">
        <v>1997</v>
      </c>
      <c r="E472" s="53">
        <v>288442487</v>
      </c>
      <c r="F472" s="53">
        <v>214100988</v>
      </c>
      <c r="G472" s="53">
        <v>692479444</v>
      </c>
      <c r="H472" s="53">
        <v>0</v>
      </c>
      <c r="I472" s="54">
        <f t="shared" si="8"/>
        <v>1195022919</v>
      </c>
      <c r="J472" s="52">
        <v>0</v>
      </c>
      <c r="K472" s="61"/>
      <c r="M472" s="38" t="str">
        <f>IF([1]totrevprm!O472="","",[1]totrevprm!O472)</f>
        <v/>
      </c>
    </row>
    <row r="473" spans="1:13">
      <c r="A473" s="49" t="s">
        <v>30</v>
      </c>
      <c r="B473" s="46" t="s">
        <v>665</v>
      </c>
      <c r="C473" s="50" t="s">
        <v>732</v>
      </c>
      <c r="D473" s="51">
        <v>1998</v>
      </c>
      <c r="E473" s="53">
        <v>292525566</v>
      </c>
      <c r="F473" s="53">
        <v>234439692</v>
      </c>
      <c r="G473" s="53">
        <v>723378162</v>
      </c>
      <c r="H473" s="53">
        <v>0</v>
      </c>
      <c r="I473" s="54">
        <f t="shared" si="8"/>
        <v>1250343420</v>
      </c>
      <c r="J473" s="52">
        <v>0</v>
      </c>
      <c r="K473" s="61"/>
      <c r="M473" s="38" t="str">
        <f>IF([1]totrevprm!O473="","",[1]totrevprm!O473)</f>
        <v/>
      </c>
    </row>
    <row r="474" spans="1:13">
      <c r="A474" s="49" t="s">
        <v>30</v>
      </c>
      <c r="B474" s="46" t="s">
        <v>665</v>
      </c>
      <c r="C474" s="50" t="s">
        <v>732</v>
      </c>
      <c r="D474" s="51">
        <v>1999</v>
      </c>
      <c r="E474" s="53">
        <v>286845096</v>
      </c>
      <c r="F474" s="53">
        <v>278075266</v>
      </c>
      <c r="G474" s="53">
        <v>808352623</v>
      </c>
      <c r="H474" s="53">
        <v>0</v>
      </c>
      <c r="I474" s="54">
        <f t="shared" si="8"/>
        <v>1373272985</v>
      </c>
      <c r="J474" s="52">
        <v>0</v>
      </c>
      <c r="K474" s="61"/>
      <c r="M474" s="38" t="str">
        <f>IF([1]totrevprm!O474="","",[1]totrevprm!O474)</f>
        <v/>
      </c>
    </row>
    <row r="475" spans="1:13">
      <c r="A475" s="49" t="s">
        <v>30</v>
      </c>
      <c r="B475" s="46" t="s">
        <v>665</v>
      </c>
      <c r="C475" s="50" t="s">
        <v>764</v>
      </c>
      <c r="D475" s="51">
        <v>2000</v>
      </c>
      <c r="E475" s="53">
        <v>305108271</v>
      </c>
      <c r="F475" s="53">
        <v>317256120</v>
      </c>
      <c r="G475" s="53">
        <v>979520802</v>
      </c>
      <c r="H475" s="53">
        <v>0</v>
      </c>
      <c r="I475" s="54">
        <f t="shared" si="8"/>
        <v>1601885193</v>
      </c>
      <c r="J475" s="52">
        <v>0</v>
      </c>
      <c r="K475" s="61"/>
      <c r="M475" s="38" t="str">
        <f>IF([1]totrevprm!O475="","",[1]totrevprm!O475)</f>
        <v/>
      </c>
    </row>
    <row r="476" spans="1:13">
      <c r="A476" s="49" t="s">
        <v>30</v>
      </c>
      <c r="B476" s="46" t="s">
        <v>665</v>
      </c>
      <c r="C476" s="50" t="s">
        <v>732</v>
      </c>
      <c r="D476" s="51">
        <v>2001</v>
      </c>
      <c r="E476" s="53">
        <v>314931002</v>
      </c>
      <c r="F476" s="53">
        <v>369758027</v>
      </c>
      <c r="G476" s="53">
        <v>1045803684</v>
      </c>
      <c r="H476" s="53">
        <v>0</v>
      </c>
      <c r="I476" s="54">
        <f t="shared" si="8"/>
        <v>1730492713</v>
      </c>
      <c r="J476" s="52">
        <v>0</v>
      </c>
      <c r="K476" s="61"/>
      <c r="M476" s="38" t="str">
        <f>IF([1]totrevprm!O476="","",[1]totrevprm!O476)</f>
        <v/>
      </c>
    </row>
    <row r="477" spans="1:13">
      <c r="A477" s="49" t="s">
        <v>30</v>
      </c>
      <c r="B477" s="46" t="s">
        <v>665</v>
      </c>
      <c r="C477" s="50" t="s">
        <v>732</v>
      </c>
      <c r="D477" s="51">
        <v>2002</v>
      </c>
      <c r="E477" s="53">
        <v>316049014</v>
      </c>
      <c r="F477" s="53">
        <v>532399255</v>
      </c>
      <c r="G477" s="53">
        <v>1152783294</v>
      </c>
      <c r="H477" s="53">
        <v>0</v>
      </c>
      <c r="I477" s="54">
        <f t="shared" si="8"/>
        <v>2001231563</v>
      </c>
      <c r="J477" s="52">
        <v>0</v>
      </c>
      <c r="K477" s="61"/>
      <c r="M477" s="38" t="str">
        <f>IF([1]totrevprm!O477="","",[1]totrevprm!O477)</f>
        <v/>
      </c>
    </row>
    <row r="478" spans="1:13">
      <c r="A478" s="49" t="s">
        <v>30</v>
      </c>
      <c r="B478" s="46" t="s">
        <v>665</v>
      </c>
      <c r="C478" s="50" t="s">
        <v>732</v>
      </c>
      <c r="D478" s="51">
        <v>2003</v>
      </c>
      <c r="E478" s="55">
        <v>338447654</v>
      </c>
      <c r="F478" s="55">
        <v>493198114</v>
      </c>
      <c r="G478" s="55">
        <v>1275933536</v>
      </c>
      <c r="H478" s="53">
        <v>0</v>
      </c>
      <c r="I478" s="54">
        <f t="shared" si="8"/>
        <v>2107579304</v>
      </c>
      <c r="J478" s="52">
        <v>0</v>
      </c>
      <c r="K478" s="61"/>
      <c r="M478" s="38" t="str">
        <f>IF([1]totrevprm!O478="","",[1]totrevprm!O478)</f>
        <v/>
      </c>
    </row>
    <row r="479" spans="1:13">
      <c r="A479" s="49" t="s">
        <v>30</v>
      </c>
      <c r="B479" s="46" t="s">
        <v>665</v>
      </c>
      <c r="C479" s="50" t="s">
        <v>732</v>
      </c>
      <c r="D479" s="51">
        <v>2004</v>
      </c>
      <c r="E479" s="55">
        <v>346977476</v>
      </c>
      <c r="F479" s="55">
        <v>477691623</v>
      </c>
      <c r="G479" s="55">
        <v>1380118307</v>
      </c>
      <c r="H479" s="53">
        <v>0</v>
      </c>
      <c r="I479" s="54">
        <f t="shared" si="8"/>
        <v>2204787406</v>
      </c>
      <c r="J479" s="52">
        <v>0</v>
      </c>
      <c r="K479" s="61"/>
      <c r="M479" s="38" t="str">
        <f>IF([1]totrevprm!O479="","",[1]totrevprm!O479)</f>
        <v/>
      </c>
    </row>
    <row r="480" spans="1:13">
      <c r="A480" s="49" t="s">
        <v>30</v>
      </c>
      <c r="B480" s="46" t="s">
        <v>665</v>
      </c>
      <c r="C480" s="50"/>
      <c r="D480" s="51">
        <v>2005</v>
      </c>
      <c r="E480" s="55">
        <v>360890133</v>
      </c>
      <c r="F480" s="55">
        <v>519455789</v>
      </c>
      <c r="G480" s="55">
        <v>1410076974.27</v>
      </c>
      <c r="H480" s="53">
        <v>0</v>
      </c>
      <c r="I480" s="54">
        <f t="shared" si="8"/>
        <v>2290422896.27</v>
      </c>
      <c r="J480" s="52">
        <v>0</v>
      </c>
      <c r="K480" s="61"/>
      <c r="M480" s="38" t="str">
        <f>IF([1]totrevprm!O480="","",[1]totrevprm!O480)</f>
        <v/>
      </c>
    </row>
    <row r="481" spans="1:13">
      <c r="A481" s="49" t="s">
        <v>30</v>
      </c>
      <c r="B481" s="46" t="s">
        <v>665</v>
      </c>
      <c r="C481" s="50"/>
      <c r="D481" s="51">
        <v>2006</v>
      </c>
      <c r="E481" s="56">
        <v>393545884</v>
      </c>
      <c r="F481" s="56">
        <v>568866865</v>
      </c>
      <c r="G481" s="56">
        <v>1582104957</v>
      </c>
      <c r="H481" s="56">
        <v>0</v>
      </c>
      <c r="I481" s="54">
        <f t="shared" si="8"/>
        <v>2544517706</v>
      </c>
      <c r="J481" s="52">
        <v>0</v>
      </c>
      <c r="K481" s="61"/>
      <c r="M481" s="38" t="str">
        <f>IF([1]totrevprm!O481="","",[1]totrevprm!O481)</f>
        <v/>
      </c>
    </row>
    <row r="482" spans="1:13">
      <c r="A482" s="49" t="s">
        <v>30</v>
      </c>
      <c r="B482" s="46" t="s">
        <v>665</v>
      </c>
      <c r="C482" s="50"/>
      <c r="D482" s="51">
        <v>2007</v>
      </c>
      <c r="E482" s="56">
        <v>408458502</v>
      </c>
      <c r="F482" s="56">
        <v>458571123</v>
      </c>
      <c r="G482" s="56">
        <v>1758385374</v>
      </c>
      <c r="H482" s="56">
        <v>0</v>
      </c>
      <c r="I482" s="54">
        <f t="shared" si="8"/>
        <v>2625414999</v>
      </c>
      <c r="J482" s="52">
        <v>0</v>
      </c>
      <c r="K482" s="61"/>
      <c r="M482" s="38" t="str">
        <f>IF([1]totrevprm!O482="","",[1]totrevprm!O482)</f>
        <v/>
      </c>
    </row>
    <row r="483" spans="1:13">
      <c r="A483" s="49" t="s">
        <v>30</v>
      </c>
      <c r="B483" s="46" t="s">
        <v>665</v>
      </c>
      <c r="C483" s="50"/>
      <c r="D483" s="51">
        <v>2008</v>
      </c>
      <c r="E483" s="56">
        <v>417886894</v>
      </c>
      <c r="F483" s="56">
        <v>600625736</v>
      </c>
      <c r="G483" s="56">
        <v>1908888744</v>
      </c>
      <c r="H483" s="56">
        <v>0</v>
      </c>
      <c r="I483" s="54">
        <f t="shared" si="8"/>
        <v>2927401374</v>
      </c>
      <c r="J483" s="52">
        <v>0</v>
      </c>
      <c r="K483" s="61"/>
      <c r="M483" s="38" t="str">
        <f>IF([1]totrevprm!O483="","",[1]totrevprm!O483)</f>
        <v/>
      </c>
    </row>
    <row r="484" spans="1:13">
      <c r="A484" s="49" t="s">
        <v>30</v>
      </c>
      <c r="B484" s="46" t="s">
        <v>665</v>
      </c>
      <c r="C484" s="50"/>
      <c r="D484" s="51">
        <v>2009</v>
      </c>
      <c r="E484" s="56">
        <v>452639962</v>
      </c>
      <c r="F484" s="56">
        <v>632743888</v>
      </c>
      <c r="G484" s="56">
        <v>2109951242</v>
      </c>
      <c r="H484" s="56">
        <v>0</v>
      </c>
      <c r="I484" s="54">
        <f t="shared" si="8"/>
        <v>3195335092</v>
      </c>
      <c r="J484" s="52">
        <v>0</v>
      </c>
      <c r="K484" s="61"/>
      <c r="M484" s="38" t="str">
        <f>IF([1]totrevprm!O484="","",[1]totrevprm!O484)</f>
        <v/>
      </c>
    </row>
    <row r="485" spans="1:13">
      <c r="A485" s="49" t="s">
        <v>30</v>
      </c>
      <c r="B485" s="46" t="s">
        <v>665</v>
      </c>
      <c r="C485" s="50"/>
      <c r="D485" s="51">
        <v>2010</v>
      </c>
      <c r="E485" s="56">
        <v>471480159</v>
      </c>
      <c r="F485" s="56">
        <v>562603618</v>
      </c>
      <c r="G485" s="56">
        <v>1856258256</v>
      </c>
      <c r="H485" s="56">
        <v>0</v>
      </c>
      <c r="I485" s="54">
        <f t="shared" si="8"/>
        <v>2890342033</v>
      </c>
      <c r="J485" s="52">
        <v>0</v>
      </c>
      <c r="K485" s="61"/>
      <c r="M485" s="38" t="str">
        <f>IF([1]totrevprm!O485="","",[1]totrevprm!O485)</f>
        <v/>
      </c>
    </row>
    <row r="486" spans="1:13">
      <c r="A486" s="49" t="s">
        <v>30</v>
      </c>
      <c r="B486" s="46" t="s">
        <v>665</v>
      </c>
      <c r="C486" s="50"/>
      <c r="D486" s="51">
        <v>2011</v>
      </c>
      <c r="E486" s="56">
        <v>479146732</v>
      </c>
      <c r="F486" s="56">
        <v>619816840</v>
      </c>
      <c r="G486" s="56">
        <v>1885326272.6900001</v>
      </c>
      <c r="H486" s="56">
        <v>0</v>
      </c>
      <c r="I486" s="54">
        <f t="shared" si="8"/>
        <v>2984289844.6900001</v>
      </c>
      <c r="J486" s="52">
        <v>0</v>
      </c>
      <c r="K486" s="61"/>
      <c r="M486" s="38" t="str">
        <f>IF([1]totrevprm!O486="","",[1]totrevprm!O486)</f>
        <v/>
      </c>
    </row>
    <row r="487" spans="1:13">
      <c r="A487" s="49" t="s">
        <v>30</v>
      </c>
      <c r="B487" s="46" t="s">
        <v>665</v>
      </c>
      <c r="C487" s="50"/>
      <c r="D487" s="51">
        <v>2012</v>
      </c>
      <c r="E487" s="56">
        <v>485889296</v>
      </c>
      <c r="F487" s="56">
        <v>570440270</v>
      </c>
      <c r="G487" s="56">
        <v>1804463005</v>
      </c>
      <c r="H487" s="56">
        <v>0</v>
      </c>
      <c r="I487" s="54">
        <f t="shared" si="8"/>
        <v>2860792571</v>
      </c>
      <c r="J487" s="52">
        <v>0</v>
      </c>
      <c r="K487" s="61"/>
      <c r="M487" s="38" t="str">
        <f>IF([1]totrevprm!O487="","",[1]totrevprm!O487)</f>
        <v/>
      </c>
    </row>
    <row r="488" spans="1:13">
      <c r="A488" s="49" t="s">
        <v>30</v>
      </c>
      <c r="B488" s="46" t="s">
        <v>665</v>
      </c>
      <c r="C488" s="50"/>
      <c r="D488" s="51">
        <v>2013</v>
      </c>
      <c r="E488" s="56">
        <v>506674937</v>
      </c>
      <c r="F488" s="56">
        <v>590926716</v>
      </c>
      <c r="G488" s="56">
        <v>1998654032</v>
      </c>
      <c r="H488" s="56">
        <v>0</v>
      </c>
      <c r="I488" s="54">
        <f t="shared" si="8"/>
        <v>3096255685</v>
      </c>
      <c r="J488" s="52">
        <v>0</v>
      </c>
      <c r="K488" s="61"/>
      <c r="M488" s="38" t="str">
        <f>IF([1]totrevprm!O488="","",[1]totrevprm!O488)</f>
        <v/>
      </c>
    </row>
    <row r="489" spans="1:13">
      <c r="A489" s="49" t="s">
        <v>30</v>
      </c>
      <c r="B489" s="46" t="s">
        <v>665</v>
      </c>
      <c r="C489" s="50"/>
      <c r="D489" s="47">
        <v>2014</v>
      </c>
      <c r="E489" s="56">
        <v>531349729</v>
      </c>
      <c r="F489" s="56">
        <v>606405385</v>
      </c>
      <c r="G489" s="56">
        <v>2171330661.52</v>
      </c>
      <c r="H489" s="56">
        <v>0</v>
      </c>
      <c r="I489" s="54">
        <f t="shared" si="8"/>
        <v>3309085775.52</v>
      </c>
      <c r="J489" s="52">
        <v>0</v>
      </c>
      <c r="K489" s="61"/>
      <c r="M489" s="38" t="str">
        <f>IF([1]totrevprm!O489="","",[1]totrevprm!O489)</f>
        <v/>
      </c>
    </row>
    <row r="490" spans="1:13">
      <c r="A490" s="49" t="s">
        <v>30</v>
      </c>
      <c r="B490" s="46" t="s">
        <v>665</v>
      </c>
      <c r="C490" s="50"/>
      <c r="D490" s="47">
        <v>2015</v>
      </c>
      <c r="E490" s="56">
        <v>562722497</v>
      </c>
      <c r="F490" s="56">
        <v>689375290</v>
      </c>
      <c r="G490" s="56">
        <v>2221929429</v>
      </c>
      <c r="H490" s="56">
        <v>0</v>
      </c>
      <c r="I490" s="54">
        <f t="shared" si="8"/>
        <v>3474027216</v>
      </c>
      <c r="J490" s="52">
        <v>0</v>
      </c>
      <c r="K490" s="61"/>
      <c r="M490" s="38" t="str">
        <f>IF([1]totrevprm!O490="","",[1]totrevprm!O490)</f>
        <v/>
      </c>
    </row>
    <row r="491" spans="1:13">
      <c r="A491" s="49" t="s">
        <v>30</v>
      </c>
      <c r="B491" s="46" t="s">
        <v>665</v>
      </c>
      <c r="C491" s="50"/>
      <c r="D491" s="47">
        <v>2016</v>
      </c>
      <c r="E491" s="56">
        <v>568900218</v>
      </c>
      <c r="F491" s="56">
        <v>716351570</v>
      </c>
      <c r="G491" s="56">
        <v>2322207830</v>
      </c>
      <c r="H491" s="56">
        <v>0</v>
      </c>
      <c r="I491" s="54">
        <f t="shared" si="8"/>
        <v>3607459618</v>
      </c>
      <c r="J491" s="52">
        <v>0</v>
      </c>
      <c r="K491" s="61"/>
      <c r="M491" s="38" t="str">
        <f>IF([1]totrevprm!O491="","",[1]totrevprm!O491)</f>
        <v/>
      </c>
    </row>
    <row r="492" spans="1:13">
      <c r="A492" s="49" t="s">
        <v>30</v>
      </c>
      <c r="B492" s="46" t="s">
        <v>665</v>
      </c>
      <c r="C492" s="50"/>
      <c r="D492" s="47">
        <v>2017</v>
      </c>
      <c r="E492" s="56">
        <v>589493733</v>
      </c>
      <c r="F492" s="56">
        <v>741318983</v>
      </c>
      <c r="G492" s="56">
        <v>2225219412.1500001</v>
      </c>
      <c r="H492" s="56">
        <v>0</v>
      </c>
      <c r="I492" s="54">
        <f t="shared" si="8"/>
        <v>3556032128.1500001</v>
      </c>
      <c r="J492" s="52">
        <v>0</v>
      </c>
      <c r="K492" s="61"/>
      <c r="M492" s="38" t="str">
        <f>IF([1]totrevprm!O492="","",[1]totrevprm!O492)</f>
        <v/>
      </c>
    </row>
    <row r="493" spans="1:13">
      <c r="A493" s="49" t="s">
        <v>30</v>
      </c>
      <c r="B493" s="46" t="s">
        <v>665</v>
      </c>
      <c r="C493" s="50"/>
      <c r="D493" s="47">
        <v>2018</v>
      </c>
      <c r="E493" s="56">
        <v>609087865</v>
      </c>
      <c r="F493" s="56">
        <v>1056714197</v>
      </c>
      <c r="G493" s="56">
        <v>2373356031.6399999</v>
      </c>
      <c r="H493" s="56">
        <v>0</v>
      </c>
      <c r="I493" s="54">
        <f t="shared" si="8"/>
        <v>4039158093.6399999</v>
      </c>
      <c r="J493" s="56">
        <v>0</v>
      </c>
      <c r="K493" s="61" t="s">
        <v>740</v>
      </c>
      <c r="L493" t="s">
        <v>720</v>
      </c>
      <c r="M493" s="38" t="str">
        <f>IF([1]totrevprm!O493="","",[1]totrevprm!O493)</f>
        <v>Yes</v>
      </c>
    </row>
    <row r="494" spans="1:13">
      <c r="A494" s="49" t="s">
        <v>30</v>
      </c>
      <c r="B494" s="46" t="s">
        <v>665</v>
      </c>
      <c r="C494" s="50"/>
      <c r="D494" s="47">
        <v>2019</v>
      </c>
      <c r="E494" s="56">
        <v>617875009</v>
      </c>
      <c r="F494" s="56">
        <v>903603816</v>
      </c>
      <c r="G494" s="56">
        <v>2392515889.9882002</v>
      </c>
      <c r="H494" s="56">
        <v>0</v>
      </c>
      <c r="I494" s="54">
        <f t="shared" si="8"/>
        <v>3913994714.9882002</v>
      </c>
      <c r="J494" s="56">
        <v>0</v>
      </c>
      <c r="K494" s="61" t="s">
        <v>739</v>
      </c>
      <c r="L494" t="s">
        <v>720</v>
      </c>
      <c r="M494" s="38" t="str">
        <f>IF([1]totrevprm!O494="","",[1]totrevprm!O494)</f>
        <v/>
      </c>
    </row>
    <row r="495" spans="1:13">
      <c r="A495" s="49" t="s">
        <v>30</v>
      </c>
      <c r="B495" s="46" t="s">
        <v>665</v>
      </c>
      <c r="C495" s="50"/>
      <c r="D495" s="47">
        <v>2020</v>
      </c>
      <c r="E495" s="56">
        <v>645659404</v>
      </c>
      <c r="F495" s="56">
        <v>1047106025</v>
      </c>
      <c r="G495" s="56">
        <v>2560990087</v>
      </c>
      <c r="H495" s="56">
        <v>0</v>
      </c>
      <c r="I495" s="54">
        <f t="shared" si="8"/>
        <v>4253755516</v>
      </c>
      <c r="J495" s="56">
        <v>0</v>
      </c>
      <c r="K495" s="61" t="s">
        <v>739</v>
      </c>
      <c r="L495" t="s">
        <v>720</v>
      </c>
      <c r="M495" s="38" t="str">
        <f>IF([1]totrevprm!O495="","",[1]totrevprm!O495)</f>
        <v/>
      </c>
    </row>
    <row r="496" spans="1:13">
      <c r="A496" s="49" t="s">
        <v>30</v>
      </c>
      <c r="B496" s="46" t="s">
        <v>665</v>
      </c>
      <c r="C496" s="50"/>
      <c r="D496" s="47">
        <v>2021</v>
      </c>
      <c r="E496" s="56">
        <v>735196910</v>
      </c>
      <c r="F496" s="56">
        <v>1049647829</v>
      </c>
      <c r="G496" s="56">
        <v>2408266758.79</v>
      </c>
      <c r="H496" s="56">
        <v>0</v>
      </c>
      <c r="I496" s="54">
        <f t="shared" si="8"/>
        <v>4193111497.79</v>
      </c>
      <c r="J496" s="56">
        <v>0</v>
      </c>
      <c r="K496" s="61" t="s">
        <v>739</v>
      </c>
      <c r="L496" t="s">
        <v>720</v>
      </c>
      <c r="M496" s="38"/>
    </row>
    <row r="497" spans="1:13">
      <c r="A497" s="49" t="s">
        <v>30</v>
      </c>
      <c r="B497" s="46" t="s">
        <v>665</v>
      </c>
      <c r="C497" s="50"/>
      <c r="D497" s="47">
        <v>2022</v>
      </c>
      <c r="E497" s="56">
        <v>752858715</v>
      </c>
      <c r="F497" s="56">
        <v>1582357606</v>
      </c>
      <c r="G497" s="56">
        <v>2627661775</v>
      </c>
      <c r="H497" s="56">
        <v>0</v>
      </c>
      <c r="I497" s="54">
        <f t="shared" si="8"/>
        <v>4962878096</v>
      </c>
      <c r="J497" s="56">
        <v>0</v>
      </c>
      <c r="K497" s="61" t="s">
        <v>739</v>
      </c>
      <c r="L497" t="s">
        <v>720</v>
      </c>
      <c r="M497" s="38"/>
    </row>
    <row r="498" spans="1:13">
      <c r="A498" s="49" t="s">
        <v>30</v>
      </c>
      <c r="B498" s="46" t="s">
        <v>665</v>
      </c>
      <c r="C498" s="50"/>
      <c r="D498" s="51">
        <v>2023</v>
      </c>
      <c r="E498" s="56">
        <v>763176676</v>
      </c>
      <c r="F498" s="56">
        <v>1594007347.1215</v>
      </c>
      <c r="G498" s="56">
        <v>2780490758.54</v>
      </c>
      <c r="H498" s="56">
        <v>0</v>
      </c>
      <c r="I498" s="54">
        <f t="shared" si="8"/>
        <v>5137674781.6615</v>
      </c>
      <c r="J498" s="52">
        <v>0</v>
      </c>
      <c r="K498" s="61" t="s">
        <v>739</v>
      </c>
      <c r="M498" s="38"/>
    </row>
    <row r="499" spans="1:13">
      <c r="A499" s="49" t="s">
        <v>30</v>
      </c>
      <c r="B499" s="46" t="s">
        <v>665</v>
      </c>
      <c r="C499" s="50"/>
      <c r="D499" s="57">
        <v>2024</v>
      </c>
      <c r="E499" s="52">
        <v>790378466.26999998</v>
      </c>
      <c r="F499" s="52">
        <v>2008453737.1099999</v>
      </c>
      <c r="G499" s="52">
        <v>2991864223.1999998</v>
      </c>
      <c r="H499" s="52">
        <v>0</v>
      </c>
      <c r="I499" s="54">
        <f t="shared" si="8"/>
        <v>5790696426.5799999</v>
      </c>
      <c r="J499" s="56">
        <v>0</v>
      </c>
      <c r="K499" s="61" t="s">
        <v>739</v>
      </c>
      <c r="M499" s="38"/>
    </row>
    <row r="500" spans="1:13">
      <c r="A500" s="49"/>
      <c r="B500" s="50"/>
      <c r="C500" s="50"/>
      <c r="E500" s="53"/>
      <c r="F500" s="53"/>
      <c r="G500" s="53"/>
      <c r="H500" s="53"/>
      <c r="I500" s="54"/>
      <c r="J500" s="52"/>
      <c r="K500" s="61"/>
      <c r="M500" s="38"/>
    </row>
    <row r="501" spans="1:13">
      <c r="A501" s="49" t="s">
        <v>32</v>
      </c>
      <c r="B501" s="46" t="s">
        <v>302</v>
      </c>
      <c r="C501" s="50" t="s">
        <v>762</v>
      </c>
      <c r="D501" s="51">
        <v>1988</v>
      </c>
      <c r="E501" s="53">
        <v>2916560905</v>
      </c>
      <c r="F501" s="53">
        <v>2858069425</v>
      </c>
      <c r="G501" s="53">
        <v>4014954929</v>
      </c>
      <c r="H501" s="53">
        <v>2266160590</v>
      </c>
      <c r="I501" s="54">
        <f t="shared" si="8"/>
        <v>12055745849</v>
      </c>
      <c r="J501" s="52">
        <v>0</v>
      </c>
      <c r="K501" s="61"/>
      <c r="M501" s="38" t="str">
        <f>IF([1]totrevprm!O501="","",[1]totrevprm!O501)</f>
        <v/>
      </c>
    </row>
    <row r="502" spans="1:13">
      <c r="A502" s="49" t="s">
        <v>32</v>
      </c>
      <c r="B502" s="46" t="s">
        <v>302</v>
      </c>
      <c r="C502" s="50" t="s">
        <v>732</v>
      </c>
      <c r="D502" s="51">
        <v>1989</v>
      </c>
      <c r="E502" s="53">
        <v>2700553206</v>
      </c>
      <c r="F502" s="53">
        <v>2674346269</v>
      </c>
      <c r="G502" s="53">
        <v>4301382157</v>
      </c>
      <c r="H502" s="53">
        <v>2493039004</v>
      </c>
      <c r="I502" s="54">
        <f t="shared" si="8"/>
        <v>12169320636</v>
      </c>
      <c r="J502" s="52">
        <v>0</v>
      </c>
      <c r="K502" s="61"/>
      <c r="M502" s="38" t="str">
        <f>IF([1]totrevprm!O502="","",[1]totrevprm!O502)</f>
        <v/>
      </c>
    </row>
    <row r="503" spans="1:13">
      <c r="A503" s="49" t="s">
        <v>32</v>
      </c>
      <c r="B503" s="46" t="s">
        <v>302</v>
      </c>
      <c r="C503" s="50" t="s">
        <v>732</v>
      </c>
      <c r="D503" s="51">
        <v>1990</v>
      </c>
      <c r="E503" s="53">
        <v>3209665412</v>
      </c>
      <c r="F503" s="53">
        <v>3309153971.7600002</v>
      </c>
      <c r="G503" s="53">
        <v>4650013014</v>
      </c>
      <c r="H503" s="53">
        <v>2299751811</v>
      </c>
      <c r="I503" s="54">
        <f t="shared" ref="I503:I568" si="9">SUM(E503:H503)</f>
        <v>13468584208.76</v>
      </c>
      <c r="J503" s="52">
        <v>0</v>
      </c>
      <c r="K503" s="61"/>
      <c r="M503" s="38" t="str">
        <f>IF([1]totrevprm!O503="","",[1]totrevprm!O503)</f>
        <v/>
      </c>
    </row>
    <row r="504" spans="1:13">
      <c r="A504" s="49" t="s">
        <v>32</v>
      </c>
      <c r="B504" s="46" t="s">
        <v>302</v>
      </c>
      <c r="C504" s="50" t="s">
        <v>732</v>
      </c>
      <c r="D504" s="51">
        <v>1991</v>
      </c>
      <c r="E504" s="53">
        <v>3240873981</v>
      </c>
      <c r="F504" s="53">
        <v>2568263110</v>
      </c>
      <c r="G504" s="53">
        <v>4989068321</v>
      </c>
      <c r="H504" s="53">
        <v>2543478586</v>
      </c>
      <c r="I504" s="54">
        <f t="shared" si="9"/>
        <v>13341683998</v>
      </c>
      <c r="J504" s="52">
        <v>0</v>
      </c>
      <c r="K504" s="61"/>
      <c r="M504" s="38" t="str">
        <f>IF([1]totrevprm!O504="","",[1]totrevprm!O504)</f>
        <v/>
      </c>
    </row>
    <row r="505" spans="1:13">
      <c r="A505" s="49" t="s">
        <v>32</v>
      </c>
      <c r="B505" s="46" t="s">
        <v>302</v>
      </c>
      <c r="C505" s="50" t="s">
        <v>732</v>
      </c>
      <c r="D505" s="51">
        <v>1992</v>
      </c>
      <c r="E505" s="53">
        <v>3525611739</v>
      </c>
      <c r="F505" s="53">
        <v>3080341168.0799999</v>
      </c>
      <c r="G505" s="53">
        <v>5267388215</v>
      </c>
      <c r="H505" s="53">
        <v>1796618481</v>
      </c>
      <c r="I505" s="54">
        <f t="shared" si="9"/>
        <v>13669959603.08</v>
      </c>
      <c r="J505" s="52">
        <v>0</v>
      </c>
      <c r="K505" s="61"/>
      <c r="M505" s="38" t="str">
        <f>IF([1]totrevprm!O505="","",[1]totrevprm!O505)</f>
        <v/>
      </c>
    </row>
    <row r="506" spans="1:13">
      <c r="A506" s="49" t="s">
        <v>32</v>
      </c>
      <c r="B506" s="46" t="s">
        <v>302</v>
      </c>
      <c r="C506" s="50" t="s">
        <v>732</v>
      </c>
      <c r="D506" s="51">
        <v>1993</v>
      </c>
      <c r="E506" s="53">
        <v>3755748488</v>
      </c>
      <c r="F506" s="53">
        <v>2536677405</v>
      </c>
      <c r="G506" s="53">
        <v>5499260017</v>
      </c>
      <c r="H506" s="53">
        <v>1717591047</v>
      </c>
      <c r="I506" s="54">
        <f t="shared" si="9"/>
        <v>13509276957</v>
      </c>
      <c r="J506" s="52">
        <v>0</v>
      </c>
      <c r="K506" s="61"/>
      <c r="M506" s="38" t="str">
        <f>IF([1]totrevprm!O506="","",[1]totrevprm!O506)</f>
        <v/>
      </c>
    </row>
    <row r="507" spans="1:13">
      <c r="A507" s="49" t="s">
        <v>32</v>
      </c>
      <c r="B507" s="46" t="s">
        <v>302</v>
      </c>
      <c r="C507" s="50" t="s">
        <v>732</v>
      </c>
      <c r="D507" s="51">
        <v>1994</v>
      </c>
      <c r="E507" s="53">
        <v>3916038976</v>
      </c>
      <c r="F507" s="53">
        <v>3318561672</v>
      </c>
      <c r="G507" s="53">
        <v>5453615449</v>
      </c>
      <c r="H507" s="53">
        <v>1316602994</v>
      </c>
      <c r="I507" s="54">
        <f t="shared" si="9"/>
        <v>14004819091</v>
      </c>
      <c r="J507" s="52">
        <v>0</v>
      </c>
      <c r="K507" s="61"/>
      <c r="M507" s="38" t="str">
        <f>IF([1]totrevprm!O507="","",[1]totrevprm!O507)</f>
        <v/>
      </c>
    </row>
    <row r="508" spans="1:13">
      <c r="A508" s="49" t="s">
        <v>32</v>
      </c>
      <c r="B508" s="46" t="s">
        <v>302</v>
      </c>
      <c r="C508" s="50" t="s">
        <v>732</v>
      </c>
      <c r="D508" s="51">
        <v>1995</v>
      </c>
      <c r="E508" s="53">
        <v>4365262226</v>
      </c>
      <c r="F508" s="53">
        <v>3452409881</v>
      </c>
      <c r="G508" s="53">
        <v>5615584047</v>
      </c>
      <c r="H508" s="53">
        <v>1539192171</v>
      </c>
      <c r="I508" s="54">
        <f t="shared" si="9"/>
        <v>14972448325</v>
      </c>
      <c r="J508" s="52">
        <v>0</v>
      </c>
      <c r="K508" s="61"/>
      <c r="M508" s="38" t="str">
        <f>IF([1]totrevprm!O508="","",[1]totrevprm!O508)</f>
        <v/>
      </c>
    </row>
    <row r="509" spans="1:13">
      <c r="A509" s="49" t="s">
        <v>32</v>
      </c>
      <c r="B509" s="46" t="s">
        <v>302</v>
      </c>
      <c r="C509" s="50" t="s">
        <v>732</v>
      </c>
      <c r="D509" s="51">
        <v>1996</v>
      </c>
      <c r="E509" s="53">
        <v>4193919982</v>
      </c>
      <c r="F509" s="53">
        <v>3047390248</v>
      </c>
      <c r="G509" s="53">
        <v>8035409502</v>
      </c>
      <c r="H509" s="53">
        <v>1253094239</v>
      </c>
      <c r="I509" s="54">
        <f t="shared" si="9"/>
        <v>16529813971</v>
      </c>
      <c r="J509" s="52">
        <v>0</v>
      </c>
      <c r="K509" s="61"/>
      <c r="M509" s="38" t="str">
        <f>IF([1]totrevprm!O509="","",[1]totrevprm!O509)</f>
        <v/>
      </c>
    </row>
    <row r="510" spans="1:13">
      <c r="A510" s="49" t="s">
        <v>32</v>
      </c>
      <c r="B510" s="46" t="s">
        <v>302</v>
      </c>
      <c r="C510" s="50" t="s">
        <v>732</v>
      </c>
      <c r="D510" s="51">
        <v>1997</v>
      </c>
      <c r="E510" s="53">
        <v>4031393590</v>
      </c>
      <c r="F510" s="53">
        <v>3440298209</v>
      </c>
      <c r="G510" s="53">
        <v>8576360365</v>
      </c>
      <c r="H510" s="53">
        <v>1495483035</v>
      </c>
      <c r="I510" s="54">
        <f t="shared" si="9"/>
        <v>17543535199</v>
      </c>
      <c r="J510" s="52">
        <v>0</v>
      </c>
      <c r="K510" s="61"/>
      <c r="M510" s="38" t="str">
        <f>IF([1]totrevprm!O510="","",[1]totrevprm!O510)</f>
        <v/>
      </c>
    </row>
    <row r="511" spans="1:13">
      <c r="A511" s="49" t="s">
        <v>32</v>
      </c>
      <c r="B511" s="46" t="s">
        <v>302</v>
      </c>
      <c r="C511" s="50" t="s">
        <v>732</v>
      </c>
      <c r="D511" s="51">
        <v>1998</v>
      </c>
      <c r="E511" s="53">
        <v>4228395655</v>
      </c>
      <c r="F511" s="53">
        <v>2962927663</v>
      </c>
      <c r="G511" s="53">
        <v>9508753259</v>
      </c>
      <c r="H511" s="53">
        <v>1044210217</v>
      </c>
      <c r="I511" s="54">
        <f t="shared" si="9"/>
        <v>17744286794</v>
      </c>
      <c r="J511" s="52">
        <v>0</v>
      </c>
      <c r="K511" s="61"/>
      <c r="M511" s="38" t="str">
        <f>IF([1]totrevprm!O511="","",[1]totrevprm!O511)</f>
        <v/>
      </c>
    </row>
    <row r="512" spans="1:13">
      <c r="A512" s="49" t="s">
        <v>32</v>
      </c>
      <c r="B512" s="46" t="s">
        <v>302</v>
      </c>
      <c r="C512" s="50" t="s">
        <v>732</v>
      </c>
      <c r="D512" s="51">
        <v>1999</v>
      </c>
      <c r="E512" s="53">
        <v>4023964010</v>
      </c>
      <c r="F512" s="53">
        <v>4996875602</v>
      </c>
      <c r="G512" s="53">
        <v>10594243637</v>
      </c>
      <c r="H512" s="53">
        <v>1238480879</v>
      </c>
      <c r="I512" s="54">
        <f t="shared" si="9"/>
        <v>20853564128</v>
      </c>
      <c r="J512" s="52">
        <v>0</v>
      </c>
      <c r="K512" s="61"/>
      <c r="M512" s="38" t="str">
        <f>IF([1]totrevprm!O512="","",[1]totrevprm!O512)</f>
        <v/>
      </c>
    </row>
    <row r="513" spans="1:13">
      <c r="A513" s="49" t="s">
        <v>32</v>
      </c>
      <c r="B513" s="46" t="s">
        <v>302</v>
      </c>
      <c r="C513" s="50" t="s">
        <v>732</v>
      </c>
      <c r="D513" s="51">
        <v>2000</v>
      </c>
      <c r="E513" s="53">
        <v>4303930262</v>
      </c>
      <c r="F513" s="53">
        <v>4719150120</v>
      </c>
      <c r="G513" s="53">
        <v>12331631713</v>
      </c>
      <c r="H513" s="53">
        <v>873020430</v>
      </c>
      <c r="I513" s="54">
        <f t="shared" si="9"/>
        <v>22227732525</v>
      </c>
      <c r="J513" s="52">
        <v>0</v>
      </c>
      <c r="K513" s="61"/>
      <c r="M513" s="38" t="str">
        <f>IF([1]totrevprm!O513="","",[1]totrevprm!O513)</f>
        <v/>
      </c>
    </row>
    <row r="514" spans="1:13">
      <c r="A514" s="49" t="s">
        <v>32</v>
      </c>
      <c r="B514" s="46" t="s">
        <v>302</v>
      </c>
      <c r="C514" s="50" t="s">
        <v>732</v>
      </c>
      <c r="D514" s="51">
        <v>2001</v>
      </c>
      <c r="E514" s="53">
        <v>4259788621</v>
      </c>
      <c r="F514" s="53">
        <v>6623766294.5100002</v>
      </c>
      <c r="G514" s="53">
        <v>8446525377</v>
      </c>
      <c r="H514" s="53">
        <v>1124798276</v>
      </c>
      <c r="I514" s="54">
        <f t="shared" si="9"/>
        <v>20454878568.510002</v>
      </c>
      <c r="J514" s="52">
        <v>0</v>
      </c>
      <c r="K514" s="61"/>
      <c r="M514" s="38" t="str">
        <f>IF([1]totrevprm!O514="","",[1]totrevprm!O514)</f>
        <v/>
      </c>
    </row>
    <row r="515" spans="1:13">
      <c r="A515" s="49" t="s">
        <v>32</v>
      </c>
      <c r="B515" s="46" t="s">
        <v>302</v>
      </c>
      <c r="C515" s="50" t="s">
        <v>732</v>
      </c>
      <c r="D515" s="51">
        <v>2002</v>
      </c>
      <c r="E515" s="53">
        <v>4474638586</v>
      </c>
      <c r="F515" s="53">
        <v>6954435404</v>
      </c>
      <c r="G515" s="53">
        <v>9157386286</v>
      </c>
      <c r="H515" s="53">
        <v>1081899396</v>
      </c>
      <c r="I515" s="54">
        <f t="shared" si="9"/>
        <v>21668359672</v>
      </c>
      <c r="J515" s="52">
        <v>0</v>
      </c>
      <c r="K515" s="61"/>
      <c r="M515" s="38" t="str">
        <f>IF([1]totrevprm!O515="","",[1]totrevprm!O515)</f>
        <v/>
      </c>
    </row>
    <row r="516" spans="1:13">
      <c r="A516" s="49" t="s">
        <v>32</v>
      </c>
      <c r="B516" s="46" t="s">
        <v>302</v>
      </c>
      <c r="C516" s="50" t="s">
        <v>732</v>
      </c>
      <c r="D516" s="51">
        <v>2003</v>
      </c>
      <c r="E516" s="55">
        <v>4787263262</v>
      </c>
      <c r="F516" s="55">
        <v>5971977804</v>
      </c>
      <c r="G516" s="55">
        <v>9991773730</v>
      </c>
      <c r="H516" s="55">
        <v>1031390728</v>
      </c>
      <c r="I516" s="54">
        <f t="shared" si="9"/>
        <v>21782405524</v>
      </c>
      <c r="J516" s="52">
        <v>0</v>
      </c>
      <c r="K516" s="61"/>
      <c r="M516" s="38" t="str">
        <f>IF([1]totrevprm!O516="","",[1]totrevprm!O516)</f>
        <v/>
      </c>
    </row>
    <row r="517" spans="1:13">
      <c r="A517" s="49" t="s">
        <v>32</v>
      </c>
      <c r="B517" s="46" t="s">
        <v>302</v>
      </c>
      <c r="C517" s="50" t="s">
        <v>732</v>
      </c>
      <c r="D517" s="51">
        <v>2004</v>
      </c>
      <c r="E517" s="55">
        <v>4905589261</v>
      </c>
      <c r="F517" s="55">
        <v>5074168432</v>
      </c>
      <c r="G517" s="55">
        <v>10062257016</v>
      </c>
      <c r="H517" s="55">
        <v>964060683</v>
      </c>
      <c r="I517" s="54">
        <f t="shared" si="9"/>
        <v>21006075392</v>
      </c>
      <c r="J517" s="52">
        <v>0</v>
      </c>
      <c r="K517" s="61"/>
      <c r="M517" s="38" t="str">
        <f>IF([1]totrevprm!O517="","",[1]totrevprm!O517)</f>
        <v/>
      </c>
    </row>
    <row r="518" spans="1:13">
      <c r="A518" s="49" t="s">
        <v>32</v>
      </c>
      <c r="B518" s="46" t="s">
        <v>302</v>
      </c>
      <c r="C518" s="50"/>
      <c r="D518" s="51">
        <v>2005</v>
      </c>
      <c r="E518" s="55">
        <v>5005951330</v>
      </c>
      <c r="F518" s="55">
        <v>4504335031</v>
      </c>
      <c r="G518" s="55">
        <v>13031388654.58</v>
      </c>
      <c r="H518" s="55">
        <v>1117236715</v>
      </c>
      <c r="I518" s="54">
        <f t="shared" si="9"/>
        <v>23658911730.580002</v>
      </c>
      <c r="J518" s="52">
        <v>0</v>
      </c>
      <c r="K518" s="61"/>
      <c r="M518" s="38" t="str">
        <f>IF([1]totrevprm!O518="","",[1]totrevprm!O518)</f>
        <v/>
      </c>
    </row>
    <row r="519" spans="1:13">
      <c r="A519" s="49" t="s">
        <v>32</v>
      </c>
      <c r="B519" s="46" t="s">
        <v>302</v>
      </c>
      <c r="C519" s="50"/>
      <c r="D519" s="51">
        <v>2006</v>
      </c>
      <c r="E519" s="56">
        <v>5155599424</v>
      </c>
      <c r="F519" s="56">
        <v>5270569478</v>
      </c>
      <c r="G519" s="56">
        <v>14030574109</v>
      </c>
      <c r="H519" s="56">
        <v>1136037828</v>
      </c>
      <c r="I519" s="54">
        <f t="shared" si="9"/>
        <v>25592780839</v>
      </c>
      <c r="J519" s="52">
        <v>0</v>
      </c>
      <c r="K519" s="61"/>
      <c r="M519" s="38" t="str">
        <f>IF([1]totrevprm!O519="","",[1]totrevprm!O519)</f>
        <v/>
      </c>
    </row>
    <row r="520" spans="1:13">
      <c r="A520" s="49" t="s">
        <v>32</v>
      </c>
      <c r="B520" s="46" t="s">
        <v>302</v>
      </c>
      <c r="C520" s="50"/>
      <c r="D520" s="51">
        <v>2007</v>
      </c>
      <c r="E520" s="56">
        <v>5254987425</v>
      </c>
      <c r="F520" s="56">
        <v>4904298341</v>
      </c>
      <c r="G520" s="56">
        <v>15154486923</v>
      </c>
      <c r="H520" s="56">
        <v>973891717</v>
      </c>
      <c r="I520" s="54">
        <f t="shared" si="9"/>
        <v>26287664406</v>
      </c>
      <c r="J520" s="52">
        <v>0</v>
      </c>
      <c r="K520" s="61"/>
      <c r="M520" s="38" t="str">
        <f>IF([1]totrevprm!O520="","",[1]totrevprm!O520)</f>
        <v/>
      </c>
    </row>
    <row r="521" spans="1:13">
      <c r="A521" s="49" t="s">
        <v>32</v>
      </c>
      <c r="B521" s="46" t="s">
        <v>302</v>
      </c>
      <c r="C521" s="50"/>
      <c r="D521" s="51">
        <v>2008</v>
      </c>
      <c r="E521" s="56">
        <v>5313073725</v>
      </c>
      <c r="F521" s="56">
        <v>6343390548</v>
      </c>
      <c r="G521" s="56">
        <v>15801869753</v>
      </c>
      <c r="H521" s="56">
        <v>1219036294</v>
      </c>
      <c r="I521" s="54">
        <f t="shared" si="9"/>
        <v>28677370320</v>
      </c>
      <c r="J521" s="52">
        <v>0</v>
      </c>
      <c r="K521" s="61"/>
      <c r="M521" s="38" t="str">
        <f>IF([1]totrevprm!O521="","",[1]totrevprm!O521)</f>
        <v/>
      </c>
    </row>
    <row r="522" spans="1:13">
      <c r="A522" s="49" t="s">
        <v>32</v>
      </c>
      <c r="B522" s="46" t="s">
        <v>302</v>
      </c>
      <c r="C522" s="50"/>
      <c r="D522" s="51">
        <v>2009</v>
      </c>
      <c r="E522" s="56">
        <v>5484099027</v>
      </c>
      <c r="F522" s="56">
        <v>6296720471</v>
      </c>
      <c r="G522" s="56">
        <v>16489255645</v>
      </c>
      <c r="H522" s="56">
        <v>1053662996</v>
      </c>
      <c r="I522" s="54">
        <f t="shared" si="9"/>
        <v>29323738139</v>
      </c>
      <c r="J522" s="52">
        <v>0</v>
      </c>
      <c r="K522" s="61"/>
      <c r="M522" s="38" t="str">
        <f>IF([1]totrevprm!O522="","",[1]totrevprm!O522)</f>
        <v/>
      </c>
    </row>
    <row r="523" spans="1:13">
      <c r="A523" s="49" t="s">
        <v>32</v>
      </c>
      <c r="B523" s="46" t="s">
        <v>302</v>
      </c>
      <c r="C523" s="50"/>
      <c r="D523" s="51">
        <v>2010</v>
      </c>
      <c r="E523" s="56">
        <v>5726519796</v>
      </c>
      <c r="F523" s="56">
        <v>5652279187</v>
      </c>
      <c r="G523" s="56">
        <v>13645446481</v>
      </c>
      <c r="H523" s="56">
        <v>189789382</v>
      </c>
      <c r="I523" s="54">
        <f t="shared" si="9"/>
        <v>25214034846</v>
      </c>
      <c r="J523" s="52">
        <v>81202522</v>
      </c>
      <c r="K523" s="61" t="s">
        <v>736</v>
      </c>
      <c r="L523" t="s">
        <v>720</v>
      </c>
      <c r="M523" s="38" t="str">
        <f>IF([1]totrevprm!O523="","",[1]totrevprm!O523)</f>
        <v/>
      </c>
    </row>
    <row r="524" spans="1:13">
      <c r="A524" s="49" t="s">
        <v>32</v>
      </c>
      <c r="B524" s="46" t="s">
        <v>302</v>
      </c>
      <c r="C524" s="50"/>
      <c r="D524" s="51">
        <v>2011</v>
      </c>
      <c r="E524" s="56">
        <v>5747113843</v>
      </c>
      <c r="F524" s="56">
        <v>5672457385</v>
      </c>
      <c r="G524" s="56">
        <v>14094886109</v>
      </c>
      <c r="H524" s="56">
        <v>243715097</v>
      </c>
      <c r="I524" s="54">
        <f t="shared" si="9"/>
        <v>25758172434</v>
      </c>
      <c r="J524" s="52">
        <v>67640516</v>
      </c>
      <c r="K524" s="61" t="s">
        <v>736</v>
      </c>
      <c r="L524" t="s">
        <v>720</v>
      </c>
      <c r="M524" s="38" t="str">
        <f>IF([1]totrevprm!O524="","",[1]totrevprm!O524)</f>
        <v/>
      </c>
    </row>
    <row r="525" spans="1:13">
      <c r="A525" s="49" t="s">
        <v>32</v>
      </c>
      <c r="B525" s="46" t="s">
        <v>302</v>
      </c>
      <c r="C525" s="50"/>
      <c r="D525" s="51">
        <v>2012</v>
      </c>
      <c r="E525" s="56">
        <v>6042854505</v>
      </c>
      <c r="F525" s="56">
        <v>5979950953</v>
      </c>
      <c r="G525" s="56">
        <v>13455976512</v>
      </c>
      <c r="H525" s="56">
        <v>412561558</v>
      </c>
      <c r="I525" s="54">
        <f t="shared" si="9"/>
        <v>25891343528</v>
      </c>
      <c r="J525" s="52">
        <v>77834858</v>
      </c>
      <c r="K525" s="61" t="s">
        <v>736</v>
      </c>
      <c r="L525" t="s">
        <v>720</v>
      </c>
      <c r="M525" s="38" t="str">
        <f>IF([1]totrevprm!O525="","",[1]totrevprm!O525)</f>
        <v/>
      </c>
    </row>
    <row r="526" spans="1:13">
      <c r="A526" s="49" t="s">
        <v>32</v>
      </c>
      <c r="B526" s="46" t="s">
        <v>302</v>
      </c>
      <c r="C526" s="50"/>
      <c r="D526" s="51">
        <v>2013</v>
      </c>
      <c r="E526" s="56">
        <v>6146345573</v>
      </c>
      <c r="F526" s="56">
        <v>6488662049</v>
      </c>
      <c r="G526" s="56">
        <v>13583217538</v>
      </c>
      <c r="H526" s="56">
        <v>766353206</v>
      </c>
      <c r="I526" s="54">
        <f t="shared" si="9"/>
        <v>26984578366</v>
      </c>
      <c r="J526" s="52">
        <v>165833264</v>
      </c>
      <c r="K526" s="61" t="s">
        <v>736</v>
      </c>
      <c r="L526" t="s">
        <v>720</v>
      </c>
      <c r="M526" s="38" t="str">
        <f>IF([1]totrevprm!O526="","",[1]totrevprm!O526)</f>
        <v/>
      </c>
    </row>
    <row r="527" spans="1:13">
      <c r="A527" s="49" t="s">
        <v>32</v>
      </c>
      <c r="B527" s="46" t="s">
        <v>302</v>
      </c>
      <c r="C527" s="50"/>
      <c r="D527" s="47">
        <v>2014</v>
      </c>
      <c r="E527" s="56">
        <v>6121970505</v>
      </c>
      <c r="F527" s="56">
        <v>7158809775</v>
      </c>
      <c r="G527" s="56">
        <v>14914013358</v>
      </c>
      <c r="H527" s="56">
        <v>240962989</v>
      </c>
      <c r="I527" s="54">
        <f t="shared" si="9"/>
        <v>28435756627</v>
      </c>
      <c r="J527" s="52">
        <v>551934016</v>
      </c>
      <c r="K527" s="61" t="s">
        <v>736</v>
      </c>
      <c r="L527" t="s">
        <v>720</v>
      </c>
      <c r="M527" s="38" t="str">
        <f>IF([1]totrevprm!O527="","",[1]totrevprm!O527)</f>
        <v/>
      </c>
    </row>
    <row r="528" spans="1:13">
      <c r="A528" s="49" t="s">
        <v>32</v>
      </c>
      <c r="B528" s="46" t="s">
        <v>302</v>
      </c>
      <c r="C528" s="50"/>
      <c r="D528" s="47">
        <v>2015</v>
      </c>
      <c r="E528" s="56">
        <v>6300705529</v>
      </c>
      <c r="F528" s="56">
        <v>7029461236</v>
      </c>
      <c r="G528" s="56">
        <v>14785978415</v>
      </c>
      <c r="H528" s="56">
        <v>270633067</v>
      </c>
      <c r="I528" s="54">
        <f t="shared" si="9"/>
        <v>28386778247</v>
      </c>
      <c r="J528" s="52">
        <v>469922055</v>
      </c>
      <c r="K528" s="61" t="s">
        <v>736</v>
      </c>
      <c r="L528" t="s">
        <v>720</v>
      </c>
      <c r="M528" s="38" t="str">
        <f>IF([1]totrevprm!O528="","",[1]totrevprm!O528)</f>
        <v/>
      </c>
    </row>
    <row r="529" spans="1:13">
      <c r="A529" s="49" t="s">
        <v>32</v>
      </c>
      <c r="B529" s="46" t="s">
        <v>302</v>
      </c>
      <c r="C529" s="50"/>
      <c r="D529" s="47">
        <v>2016</v>
      </c>
      <c r="E529" s="56">
        <v>6431812139</v>
      </c>
      <c r="F529" s="56">
        <v>7737328993</v>
      </c>
      <c r="G529" s="56">
        <v>14286189148</v>
      </c>
      <c r="H529" s="56">
        <v>316310318</v>
      </c>
      <c r="I529" s="54">
        <f t="shared" si="9"/>
        <v>28771640598</v>
      </c>
      <c r="J529" s="52">
        <v>173789767</v>
      </c>
      <c r="K529" s="61" t="s">
        <v>736</v>
      </c>
      <c r="L529" t="s">
        <v>720</v>
      </c>
      <c r="M529" s="38" t="str">
        <f>IF([1]totrevprm!O529="","",[1]totrevprm!O529)</f>
        <v/>
      </c>
    </row>
    <row r="530" spans="1:13">
      <c r="A530" s="49" t="s">
        <v>32</v>
      </c>
      <c r="B530" s="46" t="s">
        <v>302</v>
      </c>
      <c r="C530" s="50"/>
      <c r="D530" s="47">
        <v>2017</v>
      </c>
      <c r="E530" s="56">
        <v>6478394243</v>
      </c>
      <c r="F530" s="56">
        <v>8352842426</v>
      </c>
      <c r="G530" s="56">
        <v>14798539216</v>
      </c>
      <c r="H530" s="56">
        <v>286967090</v>
      </c>
      <c r="I530" s="54">
        <f t="shared" si="9"/>
        <v>29916742975</v>
      </c>
      <c r="J530" s="56">
        <v>127439778</v>
      </c>
      <c r="K530" s="61" t="s">
        <v>736</v>
      </c>
      <c r="L530" t="s">
        <v>720</v>
      </c>
      <c r="M530" s="38" t="str">
        <f>IF([1]totrevprm!O530="","",[1]totrevprm!O530)</f>
        <v/>
      </c>
    </row>
    <row r="531" spans="1:13">
      <c r="A531" s="49" t="s">
        <v>32</v>
      </c>
      <c r="B531" s="46" t="s">
        <v>302</v>
      </c>
      <c r="C531" s="50"/>
      <c r="D531" s="47">
        <v>2018</v>
      </c>
      <c r="E531" s="56">
        <v>6674932605</v>
      </c>
      <c r="F531" s="56">
        <v>8446028028</v>
      </c>
      <c r="G531" s="56">
        <v>15732594491.889999</v>
      </c>
      <c r="H531" s="56">
        <v>331696688</v>
      </c>
      <c r="I531" s="54">
        <f t="shared" si="9"/>
        <v>31185251812.889999</v>
      </c>
      <c r="J531" s="56">
        <v>257584218</v>
      </c>
      <c r="K531" s="61" t="s">
        <v>737</v>
      </c>
      <c r="L531" t="s">
        <v>720</v>
      </c>
      <c r="M531" s="38" t="str">
        <f>IF([1]totrevprm!O531="","",[1]totrevprm!O531)</f>
        <v>Yes</v>
      </c>
    </row>
    <row r="532" spans="1:13">
      <c r="A532" s="49" t="s">
        <v>32</v>
      </c>
      <c r="B532" s="46" t="s">
        <v>302</v>
      </c>
      <c r="C532" s="50"/>
      <c r="D532" s="47">
        <v>2019</v>
      </c>
      <c r="E532" s="56">
        <v>7033626274</v>
      </c>
      <c r="F532" s="56">
        <v>9808947552</v>
      </c>
      <c r="G532" s="56">
        <v>20138274273.9622</v>
      </c>
      <c r="H532" s="56">
        <v>273227473</v>
      </c>
      <c r="I532" s="54">
        <f t="shared" si="9"/>
        <v>37254075572.962204</v>
      </c>
      <c r="J532" s="56">
        <v>556308692</v>
      </c>
      <c r="K532" s="61" t="s">
        <v>738</v>
      </c>
      <c r="L532" t="s">
        <v>720</v>
      </c>
      <c r="M532" s="38" t="str">
        <f>IF([1]totrevprm!O532="","",[1]totrevprm!O532)</f>
        <v/>
      </c>
    </row>
    <row r="533" spans="1:13">
      <c r="A533" s="49" t="s">
        <v>32</v>
      </c>
      <c r="B533" s="46" t="s">
        <v>302</v>
      </c>
      <c r="C533" s="50"/>
      <c r="D533" s="47">
        <v>2020</v>
      </c>
      <c r="E533" s="56">
        <v>6691934756</v>
      </c>
      <c r="F533" s="56">
        <v>9654901232</v>
      </c>
      <c r="G533" s="56">
        <v>20004193919</v>
      </c>
      <c r="H533" s="56">
        <v>511971958</v>
      </c>
      <c r="I533" s="54">
        <f t="shared" si="9"/>
        <v>36863001865</v>
      </c>
      <c r="J533" s="56">
        <v>342787409</v>
      </c>
      <c r="K533" s="61" t="s">
        <v>738</v>
      </c>
      <c r="L533" t="s">
        <v>720</v>
      </c>
      <c r="M533" s="38" t="str">
        <f>IF([1]totrevprm!O533="","",[1]totrevprm!O533)</f>
        <v/>
      </c>
    </row>
    <row r="534" spans="1:13">
      <c r="A534" s="49" t="s">
        <v>32</v>
      </c>
      <c r="B534" s="46" t="s">
        <v>302</v>
      </c>
      <c r="C534" s="50"/>
      <c r="D534" s="47">
        <v>2021</v>
      </c>
      <c r="E534" s="56">
        <v>7209796402</v>
      </c>
      <c r="F534" s="56">
        <v>10029446718</v>
      </c>
      <c r="G534" s="56">
        <v>20580190505.650002</v>
      </c>
      <c r="H534" s="56">
        <v>176930197</v>
      </c>
      <c r="I534" s="54">
        <f t="shared" si="9"/>
        <v>37996363822.650002</v>
      </c>
      <c r="J534" s="52">
        <v>0</v>
      </c>
      <c r="K534" s="61" t="s">
        <v>739</v>
      </c>
      <c r="L534" t="s">
        <v>720</v>
      </c>
      <c r="M534" s="38" t="s">
        <v>720</v>
      </c>
    </row>
    <row r="535" spans="1:13">
      <c r="A535" s="49" t="s">
        <v>32</v>
      </c>
      <c r="B535" s="46" t="s">
        <v>302</v>
      </c>
      <c r="C535" s="50"/>
      <c r="D535" s="47">
        <v>2022</v>
      </c>
      <c r="E535" s="56">
        <v>7275387630</v>
      </c>
      <c r="F535" s="56">
        <v>12002748711</v>
      </c>
      <c r="G535" s="56">
        <v>21534137304</v>
      </c>
      <c r="H535" s="56">
        <v>212380971</v>
      </c>
      <c r="I535" s="54">
        <f t="shared" si="9"/>
        <v>41024654616</v>
      </c>
      <c r="J535" s="52">
        <v>0</v>
      </c>
      <c r="K535" s="61" t="s">
        <v>739</v>
      </c>
      <c r="M535" s="38"/>
    </row>
    <row r="536" spans="1:13">
      <c r="A536" s="49" t="s">
        <v>32</v>
      </c>
      <c r="B536" s="46" t="s">
        <v>302</v>
      </c>
      <c r="C536" s="50"/>
      <c r="D536" s="51">
        <v>2023</v>
      </c>
      <c r="E536" s="56">
        <v>7181261769</v>
      </c>
      <c r="F536" s="56">
        <v>14661619645.7297</v>
      </c>
      <c r="G536" s="56">
        <v>22233629106.4548</v>
      </c>
      <c r="H536" s="56">
        <v>181664253</v>
      </c>
      <c r="I536" s="54">
        <f t="shared" si="9"/>
        <v>44258174774.184494</v>
      </c>
      <c r="J536" s="52">
        <v>0</v>
      </c>
      <c r="K536" s="61" t="s">
        <v>739</v>
      </c>
      <c r="M536" s="38"/>
    </row>
    <row r="537" spans="1:13">
      <c r="A537" s="49" t="s">
        <v>32</v>
      </c>
      <c r="B537" s="46" t="s">
        <v>302</v>
      </c>
      <c r="C537" s="50"/>
      <c r="D537" s="57">
        <v>2024</v>
      </c>
      <c r="E537" s="52">
        <v>7240758733.0299997</v>
      </c>
      <c r="F537" s="52">
        <v>17649458933.370003</v>
      </c>
      <c r="G537" s="52">
        <v>24060693706.444801</v>
      </c>
      <c r="H537" s="52">
        <v>237414610.96000001</v>
      </c>
      <c r="I537" s="54">
        <f t="shared" si="9"/>
        <v>49188325983.804802</v>
      </c>
      <c r="J537" s="56">
        <v>0</v>
      </c>
      <c r="K537" s="61" t="s">
        <v>739</v>
      </c>
      <c r="M537" s="38"/>
    </row>
    <row r="538" spans="1:13">
      <c r="A538" s="49"/>
      <c r="B538" s="50"/>
      <c r="C538" s="50"/>
      <c r="E538" s="53"/>
      <c r="F538" s="53"/>
      <c r="G538" s="53"/>
      <c r="H538" s="53"/>
      <c r="I538" s="54"/>
      <c r="J538" s="52"/>
      <c r="K538" s="61"/>
      <c r="M538" s="38"/>
    </row>
    <row r="539" spans="1:13">
      <c r="A539" s="49" t="s">
        <v>34</v>
      </c>
      <c r="B539" s="46" t="s">
        <v>332</v>
      </c>
      <c r="C539" s="50" t="s">
        <v>765</v>
      </c>
      <c r="D539" s="51">
        <v>1988</v>
      </c>
      <c r="E539" s="53">
        <v>1231294327</v>
      </c>
      <c r="F539" s="53">
        <v>999914339</v>
      </c>
      <c r="G539" s="53">
        <v>2348784694</v>
      </c>
      <c r="H539" s="53">
        <v>447992113</v>
      </c>
      <c r="I539" s="54">
        <f t="shared" si="9"/>
        <v>5027985473</v>
      </c>
      <c r="J539" s="52">
        <v>0</v>
      </c>
      <c r="K539" s="61"/>
      <c r="M539" s="38" t="str">
        <f>IF([1]totrevprm!O539="","",[1]totrevprm!O539)</f>
        <v/>
      </c>
    </row>
    <row r="540" spans="1:13">
      <c r="A540" s="49" t="s">
        <v>34</v>
      </c>
      <c r="B540" s="46" t="s">
        <v>332</v>
      </c>
      <c r="C540" s="50" t="s">
        <v>732</v>
      </c>
      <c r="D540" s="51">
        <v>1989</v>
      </c>
      <c r="E540" s="53">
        <v>1181374662</v>
      </c>
      <c r="F540" s="53">
        <v>1111333190</v>
      </c>
      <c r="G540" s="53">
        <v>2168983793</v>
      </c>
      <c r="H540" s="53">
        <v>497481224</v>
      </c>
      <c r="I540" s="54">
        <f t="shared" si="9"/>
        <v>4959172869</v>
      </c>
      <c r="J540" s="52">
        <v>0</v>
      </c>
      <c r="K540" s="61"/>
      <c r="M540" s="38" t="str">
        <f>IF([1]totrevprm!O540="","",[1]totrevprm!O540)</f>
        <v/>
      </c>
    </row>
    <row r="541" spans="1:13">
      <c r="A541" s="49" t="s">
        <v>34</v>
      </c>
      <c r="B541" s="46" t="s">
        <v>332</v>
      </c>
      <c r="C541" s="50" t="s">
        <v>732</v>
      </c>
      <c r="D541" s="51">
        <v>1990</v>
      </c>
      <c r="E541" s="53">
        <v>1396295793</v>
      </c>
      <c r="F541" s="53">
        <v>1042759123.04</v>
      </c>
      <c r="G541" s="53">
        <v>2311773993</v>
      </c>
      <c r="H541" s="53">
        <v>428237312</v>
      </c>
      <c r="I541" s="54">
        <f t="shared" si="9"/>
        <v>5179066221.04</v>
      </c>
      <c r="J541" s="52">
        <v>0</v>
      </c>
      <c r="K541" s="61"/>
      <c r="M541" s="38" t="str">
        <f>IF([1]totrevprm!O541="","",[1]totrevprm!O541)</f>
        <v/>
      </c>
    </row>
    <row r="542" spans="1:13">
      <c r="A542" s="49" t="s">
        <v>34</v>
      </c>
      <c r="B542" s="46" t="s">
        <v>332</v>
      </c>
      <c r="C542" s="50" t="s">
        <v>732</v>
      </c>
      <c r="D542" s="51">
        <v>1991</v>
      </c>
      <c r="E542" s="53">
        <v>1388097147</v>
      </c>
      <c r="F542" s="53">
        <v>986945655</v>
      </c>
      <c r="G542" s="53">
        <v>2331465830</v>
      </c>
      <c r="H542" s="53">
        <v>585284957</v>
      </c>
      <c r="I542" s="54">
        <f t="shared" si="9"/>
        <v>5291793589</v>
      </c>
      <c r="J542" s="52">
        <v>0</v>
      </c>
      <c r="K542" s="61"/>
      <c r="M542" s="38" t="str">
        <f>IF([1]totrevprm!O542="","",[1]totrevprm!O542)</f>
        <v/>
      </c>
    </row>
    <row r="543" spans="1:13">
      <c r="A543" s="49" t="s">
        <v>34</v>
      </c>
      <c r="B543" s="46" t="s">
        <v>332</v>
      </c>
      <c r="C543" s="50" t="s">
        <v>732</v>
      </c>
      <c r="D543" s="51">
        <v>1992</v>
      </c>
      <c r="E543" s="53">
        <v>1433697023</v>
      </c>
      <c r="F543" s="53">
        <v>1198789437.2</v>
      </c>
      <c r="G543" s="53">
        <v>2468301295</v>
      </c>
      <c r="H543" s="53">
        <v>612775366</v>
      </c>
      <c r="I543" s="54">
        <f t="shared" si="9"/>
        <v>5713563121.1999998</v>
      </c>
      <c r="J543" s="52">
        <v>0</v>
      </c>
      <c r="K543" s="61"/>
      <c r="M543" s="38" t="str">
        <f>IF([1]totrevprm!O543="","",[1]totrevprm!O543)</f>
        <v/>
      </c>
    </row>
    <row r="544" spans="1:13">
      <c r="A544" s="49" t="s">
        <v>34</v>
      </c>
      <c r="B544" s="46" t="s">
        <v>332</v>
      </c>
      <c r="C544" s="50" t="s">
        <v>732</v>
      </c>
      <c r="D544" s="51">
        <v>1993</v>
      </c>
      <c r="E544" s="53">
        <v>1715050080</v>
      </c>
      <c r="F544" s="53">
        <v>1116563807</v>
      </c>
      <c r="G544" s="53">
        <v>2510014270</v>
      </c>
      <c r="H544" s="53">
        <v>461657848</v>
      </c>
      <c r="I544" s="54">
        <f t="shared" si="9"/>
        <v>5803286005</v>
      </c>
      <c r="J544" s="52">
        <v>0</v>
      </c>
      <c r="K544" s="61"/>
      <c r="M544" s="38" t="str">
        <f>IF([1]totrevprm!O544="","",[1]totrevprm!O544)</f>
        <v/>
      </c>
    </row>
    <row r="545" spans="1:13">
      <c r="A545" s="49" t="s">
        <v>34</v>
      </c>
      <c r="B545" s="46" t="s">
        <v>332</v>
      </c>
      <c r="C545" s="50" t="s">
        <v>732</v>
      </c>
      <c r="D545" s="51">
        <v>1994</v>
      </c>
      <c r="E545" s="53">
        <v>1715383678</v>
      </c>
      <c r="F545" s="53">
        <v>1311306571</v>
      </c>
      <c r="G545" s="53">
        <v>2495742336</v>
      </c>
      <c r="H545" s="53">
        <v>389491884</v>
      </c>
      <c r="I545" s="54">
        <f t="shared" si="9"/>
        <v>5911924469</v>
      </c>
      <c r="J545" s="52">
        <v>0</v>
      </c>
      <c r="K545" s="61"/>
      <c r="M545" s="38" t="str">
        <f>IF([1]totrevprm!O545="","",[1]totrevprm!O545)</f>
        <v/>
      </c>
    </row>
    <row r="546" spans="1:13">
      <c r="A546" s="49" t="s">
        <v>34</v>
      </c>
      <c r="B546" s="46" t="s">
        <v>332</v>
      </c>
      <c r="C546" s="50" t="s">
        <v>766</v>
      </c>
      <c r="D546" s="51">
        <v>1995</v>
      </c>
      <c r="E546" s="53">
        <v>1813993181</v>
      </c>
      <c r="F546" s="53">
        <v>1512798957</v>
      </c>
      <c r="G546" s="53">
        <v>2542117119</v>
      </c>
      <c r="H546" s="53">
        <v>193611050</v>
      </c>
      <c r="I546" s="54">
        <f t="shared" si="9"/>
        <v>6062520307</v>
      </c>
      <c r="J546" s="52">
        <v>0</v>
      </c>
      <c r="K546" s="61"/>
      <c r="M546" s="38" t="str">
        <f>IF([1]totrevprm!O546="","",[1]totrevprm!O546)</f>
        <v/>
      </c>
    </row>
    <row r="547" spans="1:13">
      <c r="A547" s="49" t="s">
        <v>34</v>
      </c>
      <c r="B547" s="46" t="s">
        <v>332</v>
      </c>
      <c r="C547" s="50" t="s">
        <v>767</v>
      </c>
      <c r="D547" s="51">
        <v>1996</v>
      </c>
      <c r="E547" s="53">
        <v>1773426561</v>
      </c>
      <c r="F547" s="53">
        <v>1251211124</v>
      </c>
      <c r="G547" s="53">
        <v>2635099953</v>
      </c>
      <c r="H547" s="53">
        <v>123421523</v>
      </c>
      <c r="I547" s="54">
        <f t="shared" si="9"/>
        <v>5783159161</v>
      </c>
      <c r="J547" s="52">
        <v>0</v>
      </c>
      <c r="K547" s="61"/>
      <c r="M547" s="38" t="str">
        <f>IF([1]totrevprm!O547="","",[1]totrevprm!O547)</f>
        <v/>
      </c>
    </row>
    <row r="548" spans="1:13">
      <c r="A548" s="49" t="s">
        <v>34</v>
      </c>
      <c r="B548" s="46" t="s">
        <v>332</v>
      </c>
      <c r="C548" s="50" t="s">
        <v>732</v>
      </c>
      <c r="D548" s="51">
        <v>1997</v>
      </c>
      <c r="E548" s="53">
        <v>1830350893</v>
      </c>
      <c r="F548" s="53">
        <v>1317469268</v>
      </c>
      <c r="G548" s="53">
        <v>2832331407</v>
      </c>
      <c r="H548" s="53">
        <v>131511457</v>
      </c>
      <c r="I548" s="54">
        <f t="shared" si="9"/>
        <v>6111663025</v>
      </c>
      <c r="J548" s="52">
        <v>0</v>
      </c>
      <c r="K548" s="61"/>
      <c r="M548" s="38" t="str">
        <f>IF([1]totrevprm!O548="","",[1]totrevprm!O548)</f>
        <v/>
      </c>
    </row>
    <row r="549" spans="1:13">
      <c r="A549" s="49" t="s">
        <v>34</v>
      </c>
      <c r="B549" s="46" t="s">
        <v>332</v>
      </c>
      <c r="C549" s="50" t="s">
        <v>732</v>
      </c>
      <c r="D549" s="51">
        <v>1998</v>
      </c>
      <c r="E549" s="53">
        <v>1757241340</v>
      </c>
      <c r="F549" s="53">
        <v>1220705894</v>
      </c>
      <c r="G549" s="53">
        <v>2935832776</v>
      </c>
      <c r="H549" s="53">
        <v>120043488</v>
      </c>
      <c r="I549" s="54">
        <f t="shared" si="9"/>
        <v>6033823498</v>
      </c>
      <c r="J549" s="52">
        <v>0</v>
      </c>
      <c r="K549" s="61"/>
      <c r="M549" s="38" t="str">
        <f>IF([1]totrevprm!O549="","",[1]totrevprm!O549)</f>
        <v/>
      </c>
    </row>
    <row r="550" spans="1:13">
      <c r="A550" s="49" t="s">
        <v>34</v>
      </c>
      <c r="B550" s="46" t="s">
        <v>332</v>
      </c>
      <c r="C550" s="50" t="s">
        <v>732</v>
      </c>
      <c r="D550" s="51">
        <v>1999</v>
      </c>
      <c r="E550" s="53">
        <v>1778572036</v>
      </c>
      <c r="F550" s="53">
        <v>1590465827</v>
      </c>
      <c r="G550" s="53">
        <v>3126225781</v>
      </c>
      <c r="H550" s="53">
        <v>215832984</v>
      </c>
      <c r="I550" s="54">
        <f t="shared" si="9"/>
        <v>6711096628</v>
      </c>
      <c r="J550" s="52">
        <v>0</v>
      </c>
      <c r="K550" s="61"/>
      <c r="M550" s="38" t="str">
        <f>IF([1]totrevprm!O550="","",[1]totrevprm!O550)</f>
        <v/>
      </c>
    </row>
    <row r="551" spans="1:13">
      <c r="A551" s="49" t="s">
        <v>34</v>
      </c>
      <c r="B551" s="46" t="s">
        <v>332</v>
      </c>
      <c r="C551" s="50" t="s">
        <v>732</v>
      </c>
      <c r="D551" s="51">
        <v>2000</v>
      </c>
      <c r="E551" s="53">
        <v>2016183088</v>
      </c>
      <c r="F551" s="53">
        <v>1661089201</v>
      </c>
      <c r="G551" s="53">
        <v>3320183808</v>
      </c>
      <c r="H551" s="53">
        <v>280425402</v>
      </c>
      <c r="I551" s="54">
        <f t="shared" si="9"/>
        <v>7277881499</v>
      </c>
      <c r="J551" s="52">
        <v>0</v>
      </c>
      <c r="K551" s="61"/>
      <c r="M551" s="38" t="str">
        <f>IF([1]totrevprm!O551="","",[1]totrevprm!O551)</f>
        <v/>
      </c>
    </row>
    <row r="552" spans="1:13">
      <c r="A552" s="49" t="s">
        <v>34</v>
      </c>
      <c r="B552" s="46" t="s">
        <v>332</v>
      </c>
      <c r="C552" s="50" t="s">
        <v>732</v>
      </c>
      <c r="D552" s="51">
        <v>2001</v>
      </c>
      <c r="E552" s="53">
        <v>1754757434</v>
      </c>
      <c r="F552" s="53">
        <v>2404069919</v>
      </c>
      <c r="G552" s="53">
        <v>3594907640</v>
      </c>
      <c r="H552" s="53">
        <v>173930451</v>
      </c>
      <c r="I552" s="54">
        <f t="shared" si="9"/>
        <v>7927665444</v>
      </c>
      <c r="J552" s="52">
        <v>0</v>
      </c>
      <c r="K552" s="61"/>
      <c r="M552" s="38" t="str">
        <f>IF([1]totrevprm!O552="","",[1]totrevprm!O552)</f>
        <v/>
      </c>
    </row>
    <row r="553" spans="1:13">
      <c r="A553" s="49" t="s">
        <v>34</v>
      </c>
      <c r="B553" s="46" t="s">
        <v>332</v>
      </c>
      <c r="C553" s="50" t="s">
        <v>732</v>
      </c>
      <c r="D553" s="51">
        <v>2002</v>
      </c>
      <c r="E553" s="53">
        <v>1801940643</v>
      </c>
      <c r="F553" s="53">
        <v>3287734605</v>
      </c>
      <c r="G553" s="53">
        <v>3681040208</v>
      </c>
      <c r="H553" s="53">
        <v>193303773</v>
      </c>
      <c r="I553" s="54">
        <f t="shared" si="9"/>
        <v>8964019229</v>
      </c>
      <c r="J553" s="52">
        <v>0</v>
      </c>
      <c r="K553" s="61"/>
      <c r="M553" s="38" t="str">
        <f>IF([1]totrevprm!O553="","",[1]totrevprm!O553)</f>
        <v/>
      </c>
    </row>
    <row r="554" spans="1:13">
      <c r="A554" s="49" t="s">
        <v>34</v>
      </c>
      <c r="B554" s="46" t="s">
        <v>332</v>
      </c>
      <c r="C554" s="50" t="s">
        <v>732</v>
      </c>
      <c r="D554" s="51">
        <v>2003</v>
      </c>
      <c r="E554" s="55">
        <v>1883728661</v>
      </c>
      <c r="F554" s="55">
        <v>2814033507</v>
      </c>
      <c r="G554" s="55">
        <v>3870295263</v>
      </c>
      <c r="H554" s="55">
        <v>239331595</v>
      </c>
      <c r="I554" s="54">
        <f t="shared" si="9"/>
        <v>8807389026</v>
      </c>
      <c r="J554" s="52">
        <v>0</v>
      </c>
      <c r="K554" s="61"/>
      <c r="M554" s="38" t="str">
        <f>IF([1]totrevprm!O554="","",[1]totrevprm!O554)</f>
        <v/>
      </c>
    </row>
    <row r="555" spans="1:13">
      <c r="A555" s="49" t="s">
        <v>34</v>
      </c>
      <c r="B555" s="46" t="s">
        <v>332</v>
      </c>
      <c r="C555" s="50" t="s">
        <v>732</v>
      </c>
      <c r="D555" s="51">
        <v>2004</v>
      </c>
      <c r="E555" s="55">
        <v>1963177960</v>
      </c>
      <c r="F555" s="55">
        <v>2500584579</v>
      </c>
      <c r="G555" s="55">
        <v>4249515656</v>
      </c>
      <c r="H555" s="55">
        <v>239575706</v>
      </c>
      <c r="I555" s="54">
        <f t="shared" si="9"/>
        <v>8952853901</v>
      </c>
      <c r="J555" s="52">
        <v>0</v>
      </c>
      <c r="K555" s="61"/>
      <c r="M555" s="38" t="str">
        <f>IF([1]totrevprm!O555="","",[1]totrevprm!O555)</f>
        <v/>
      </c>
    </row>
    <row r="556" spans="1:13">
      <c r="A556" s="49" t="s">
        <v>34</v>
      </c>
      <c r="B556" s="46" t="s">
        <v>332</v>
      </c>
      <c r="C556" s="50"/>
      <c r="D556" s="51">
        <v>2005</v>
      </c>
      <c r="E556" s="55">
        <v>1920148953</v>
      </c>
      <c r="F556" s="55">
        <v>2337141661</v>
      </c>
      <c r="G556" s="55">
        <v>4553397486.8400002</v>
      </c>
      <c r="H556" s="55">
        <v>199230303</v>
      </c>
      <c r="I556" s="54">
        <f t="shared" si="9"/>
        <v>9009918403.8400002</v>
      </c>
      <c r="J556" s="52">
        <v>0</v>
      </c>
      <c r="K556" s="61"/>
      <c r="M556" s="38" t="str">
        <f>IF([1]totrevprm!O556="","",[1]totrevprm!O556)</f>
        <v/>
      </c>
    </row>
    <row r="557" spans="1:13">
      <c r="A557" s="49" t="s">
        <v>34</v>
      </c>
      <c r="B557" s="46" t="s">
        <v>332</v>
      </c>
      <c r="C557" s="50"/>
      <c r="D557" s="51">
        <v>2006</v>
      </c>
      <c r="E557" s="56">
        <v>2009212261</v>
      </c>
      <c r="F557" s="56">
        <v>2633277686</v>
      </c>
      <c r="G557" s="56">
        <v>4947029637</v>
      </c>
      <c r="H557" s="56">
        <v>131890852</v>
      </c>
      <c r="I557" s="54">
        <f t="shared" si="9"/>
        <v>9721410436</v>
      </c>
      <c r="J557" s="52">
        <v>27606670</v>
      </c>
      <c r="K557" s="61" t="s">
        <v>736</v>
      </c>
      <c r="L557" t="s">
        <v>720</v>
      </c>
      <c r="M557" s="38" t="str">
        <f>IF([1]totrevprm!O557="","",[1]totrevprm!O557)</f>
        <v/>
      </c>
    </row>
    <row r="558" spans="1:13">
      <c r="A558" s="49" t="s">
        <v>34</v>
      </c>
      <c r="B558" s="46" t="s">
        <v>332</v>
      </c>
      <c r="C558" s="50"/>
      <c r="D558" s="51">
        <v>2007</v>
      </c>
      <c r="E558" s="56">
        <v>2104611100</v>
      </c>
      <c r="F558" s="56">
        <v>2598017957</v>
      </c>
      <c r="G558" s="56">
        <v>5660181152</v>
      </c>
      <c r="H558" s="56">
        <v>559888433</v>
      </c>
      <c r="I558" s="54">
        <f t="shared" si="9"/>
        <v>10922698642</v>
      </c>
      <c r="J558" s="52">
        <v>27877189</v>
      </c>
      <c r="K558" s="61" t="s">
        <v>736</v>
      </c>
      <c r="L558" t="s">
        <v>720</v>
      </c>
      <c r="M558" s="38" t="str">
        <f>IF([1]totrevprm!O558="","",[1]totrevprm!O558)</f>
        <v/>
      </c>
    </row>
    <row r="559" spans="1:13">
      <c r="A559" s="49" t="s">
        <v>34</v>
      </c>
      <c r="B559" s="46" t="s">
        <v>332</v>
      </c>
      <c r="C559" s="50"/>
      <c r="D559" s="51">
        <v>2008</v>
      </c>
      <c r="E559" s="56">
        <v>2125588259</v>
      </c>
      <c r="F559" s="56">
        <v>3502348602</v>
      </c>
      <c r="G559" s="56">
        <v>6102928689</v>
      </c>
      <c r="H559" s="56">
        <v>113770397</v>
      </c>
      <c r="I559" s="54">
        <f t="shared" si="9"/>
        <v>11844635947</v>
      </c>
      <c r="J559" s="52">
        <v>27940784</v>
      </c>
      <c r="K559" s="61" t="s">
        <v>736</v>
      </c>
      <c r="L559" t="s">
        <v>720</v>
      </c>
      <c r="M559" s="38" t="str">
        <f>IF([1]totrevprm!O559="","",[1]totrevprm!O559)</f>
        <v/>
      </c>
    </row>
    <row r="560" spans="1:13">
      <c r="A560" s="49" t="s">
        <v>34</v>
      </c>
      <c r="B560" s="46" t="s">
        <v>332</v>
      </c>
      <c r="C560" s="50"/>
      <c r="D560" s="51">
        <v>2009</v>
      </c>
      <c r="E560" s="56">
        <v>2220021000</v>
      </c>
      <c r="F560" s="56">
        <v>3311124802</v>
      </c>
      <c r="G560" s="56">
        <v>5921107022</v>
      </c>
      <c r="H560" s="56">
        <v>136748969</v>
      </c>
      <c r="I560" s="54">
        <f t="shared" si="9"/>
        <v>11589001793</v>
      </c>
      <c r="J560" s="52">
        <v>27872973</v>
      </c>
      <c r="K560" s="61" t="s">
        <v>736</v>
      </c>
      <c r="L560" t="s">
        <v>720</v>
      </c>
      <c r="M560" s="38" t="str">
        <f>IF([1]totrevprm!O560="","",[1]totrevprm!O560)</f>
        <v/>
      </c>
    </row>
    <row r="561" spans="1:13">
      <c r="A561" s="49" t="s">
        <v>34</v>
      </c>
      <c r="B561" s="46" t="s">
        <v>332</v>
      </c>
      <c r="C561" s="50"/>
      <c r="D561" s="51">
        <v>2010</v>
      </c>
      <c r="E561" s="56">
        <v>2228429164</v>
      </c>
      <c r="F561" s="56">
        <v>2774889668</v>
      </c>
      <c r="G561" s="56">
        <v>6314520679</v>
      </c>
      <c r="H561" s="56">
        <v>281467985</v>
      </c>
      <c r="I561" s="54">
        <f t="shared" si="9"/>
        <v>11599307496</v>
      </c>
      <c r="J561" s="52">
        <v>18054994</v>
      </c>
      <c r="K561" s="61" t="s">
        <v>736</v>
      </c>
      <c r="L561" t="s">
        <v>720</v>
      </c>
      <c r="M561" s="38" t="str">
        <f>IF([1]totrevprm!O561="","",[1]totrevprm!O561)</f>
        <v/>
      </c>
    </row>
    <row r="562" spans="1:13">
      <c r="A562" s="49" t="s">
        <v>34</v>
      </c>
      <c r="B562" s="46" t="s">
        <v>332</v>
      </c>
      <c r="C562" s="50"/>
      <c r="D562" s="51">
        <v>2011</v>
      </c>
      <c r="E562" s="56">
        <v>2318050876</v>
      </c>
      <c r="F562" s="56">
        <v>2635774653</v>
      </c>
      <c r="G562" s="56">
        <v>5865937241.1700001</v>
      </c>
      <c r="H562" s="56">
        <v>271274044</v>
      </c>
      <c r="I562" s="54">
        <f t="shared" si="9"/>
        <v>11091036814.17</v>
      </c>
      <c r="J562" s="52">
        <v>14497421</v>
      </c>
      <c r="K562" s="61" t="s">
        <v>736</v>
      </c>
      <c r="L562" t="s">
        <v>720</v>
      </c>
      <c r="M562" s="38" t="str">
        <f>IF([1]totrevprm!O562="","",[1]totrevprm!O562)</f>
        <v/>
      </c>
    </row>
    <row r="563" spans="1:13">
      <c r="A563" s="49" t="s">
        <v>34</v>
      </c>
      <c r="B563" s="46" t="s">
        <v>332</v>
      </c>
      <c r="C563" s="50"/>
      <c r="D563" s="51">
        <v>2012</v>
      </c>
      <c r="E563" s="56">
        <v>2505999041</v>
      </c>
      <c r="F563" s="56">
        <v>4474179389</v>
      </c>
      <c r="G563" s="56">
        <v>6613392521</v>
      </c>
      <c r="H563" s="56">
        <v>189875052</v>
      </c>
      <c r="I563" s="54">
        <f t="shared" si="9"/>
        <v>13783446003</v>
      </c>
      <c r="J563" s="52">
        <v>18693357</v>
      </c>
      <c r="K563" s="61" t="s">
        <v>736</v>
      </c>
      <c r="L563" t="s">
        <v>720</v>
      </c>
      <c r="M563" s="38" t="str">
        <f>IF([1]totrevprm!O563="","",[1]totrevprm!O563)</f>
        <v/>
      </c>
    </row>
    <row r="564" spans="1:13">
      <c r="A564" s="49" t="s">
        <v>34</v>
      </c>
      <c r="B564" s="46" t="s">
        <v>332</v>
      </c>
      <c r="C564" s="50"/>
      <c r="D564" s="51">
        <v>2013</v>
      </c>
      <c r="E564" s="56">
        <v>2499393071</v>
      </c>
      <c r="F564" s="56">
        <v>2909753719</v>
      </c>
      <c r="G564" s="56">
        <v>5408125631</v>
      </c>
      <c r="H564" s="56">
        <v>320051927</v>
      </c>
      <c r="I564" s="54">
        <f t="shared" si="9"/>
        <v>11137324348</v>
      </c>
      <c r="J564" s="52">
        <v>20842043</v>
      </c>
      <c r="K564" s="61" t="s">
        <v>736</v>
      </c>
      <c r="L564" t="s">
        <v>720</v>
      </c>
      <c r="M564" s="38" t="str">
        <f>IF([1]totrevprm!O564="","",[1]totrevprm!O564)</f>
        <v/>
      </c>
    </row>
    <row r="565" spans="1:13">
      <c r="A565" s="49" t="s">
        <v>34</v>
      </c>
      <c r="B565" s="46" t="s">
        <v>332</v>
      </c>
      <c r="C565" s="50"/>
      <c r="D565" s="51">
        <v>2014</v>
      </c>
      <c r="E565" s="56">
        <v>2500426137</v>
      </c>
      <c r="F565" s="56">
        <v>3541964592</v>
      </c>
      <c r="G565" s="56">
        <v>5701182787.1900005</v>
      </c>
      <c r="H565" s="56">
        <v>153448749</v>
      </c>
      <c r="I565" s="54">
        <f t="shared" si="9"/>
        <v>11897022265.190001</v>
      </c>
      <c r="J565" s="52">
        <v>261994642</v>
      </c>
      <c r="K565" s="61" t="s">
        <v>736</v>
      </c>
      <c r="L565" t="s">
        <v>720</v>
      </c>
      <c r="M565" s="38" t="str">
        <f>IF([1]totrevprm!O565="","",[1]totrevprm!O565)</f>
        <v/>
      </c>
    </row>
    <row r="566" spans="1:13">
      <c r="A566" s="49" t="s">
        <v>34</v>
      </c>
      <c r="B566" s="46" t="s">
        <v>332</v>
      </c>
      <c r="C566" s="50"/>
      <c r="D566" s="51">
        <v>2015</v>
      </c>
      <c r="E566" s="56">
        <v>2547783314</v>
      </c>
      <c r="F566" s="56">
        <v>3716044788</v>
      </c>
      <c r="G566" s="52">
        <v>6264855729</v>
      </c>
      <c r="H566" s="56">
        <v>144901765</v>
      </c>
      <c r="I566" s="54">
        <f t="shared" si="9"/>
        <v>12673585596</v>
      </c>
      <c r="J566" s="52">
        <v>133788188</v>
      </c>
      <c r="K566" s="61" t="s">
        <v>736</v>
      </c>
      <c r="L566" t="s">
        <v>720</v>
      </c>
      <c r="M566" s="38" t="str">
        <f>IF([1]totrevprm!O566="","",[1]totrevprm!O566)</f>
        <v/>
      </c>
    </row>
    <row r="567" spans="1:13">
      <c r="A567" s="49" t="s">
        <v>34</v>
      </c>
      <c r="B567" s="46" t="s">
        <v>332</v>
      </c>
      <c r="C567" s="50"/>
      <c r="D567" s="51">
        <v>2016</v>
      </c>
      <c r="E567" s="56">
        <v>2683673552</v>
      </c>
      <c r="F567" s="56">
        <v>4510682398</v>
      </c>
      <c r="G567" s="52">
        <v>5152184943</v>
      </c>
      <c r="H567" s="56">
        <v>129572989</v>
      </c>
      <c r="I567" s="54">
        <f t="shared" si="9"/>
        <v>12476113882</v>
      </c>
      <c r="J567" s="52">
        <v>59964263</v>
      </c>
      <c r="K567" s="61" t="s">
        <v>736</v>
      </c>
      <c r="L567" t="s">
        <v>720</v>
      </c>
      <c r="M567" s="38" t="str">
        <f>IF([1]totrevprm!O567="","",[1]totrevprm!O567)</f>
        <v/>
      </c>
    </row>
    <row r="568" spans="1:13">
      <c r="A568" s="49" t="s">
        <v>34</v>
      </c>
      <c r="B568" s="46" t="s">
        <v>332</v>
      </c>
      <c r="C568" s="50"/>
      <c r="D568" s="51">
        <v>2017</v>
      </c>
      <c r="E568" s="56">
        <v>2691486684</v>
      </c>
      <c r="F568" s="56">
        <v>3891581066</v>
      </c>
      <c r="G568" s="52">
        <v>5013304004.5400009</v>
      </c>
      <c r="H568" s="56">
        <v>111063498</v>
      </c>
      <c r="I568" s="54">
        <f t="shared" si="9"/>
        <v>11707435252.540001</v>
      </c>
      <c r="J568" s="56">
        <v>65339657</v>
      </c>
      <c r="K568" s="61" t="s">
        <v>768</v>
      </c>
      <c r="L568" t="s">
        <v>720</v>
      </c>
      <c r="M568" s="38" t="str">
        <f>IF([1]totrevprm!O568="","",[1]totrevprm!O568)</f>
        <v/>
      </c>
    </row>
    <row r="569" spans="1:13">
      <c r="A569" s="49" t="s">
        <v>34</v>
      </c>
      <c r="B569" s="46" t="s">
        <v>332</v>
      </c>
      <c r="C569" s="50"/>
      <c r="D569" s="51">
        <v>2018</v>
      </c>
      <c r="E569" s="56">
        <v>2745526963</v>
      </c>
      <c r="F569" s="56">
        <v>4567271193</v>
      </c>
      <c r="G569" s="52">
        <v>6118564143.5</v>
      </c>
      <c r="H569" s="56">
        <v>104335432</v>
      </c>
      <c r="I569" s="54">
        <f t="shared" ref="I569:I634" si="10">SUM(E569:H569)</f>
        <v>13535697731.5</v>
      </c>
      <c r="J569" s="56">
        <v>218904999</v>
      </c>
      <c r="K569" s="61" t="s">
        <v>737</v>
      </c>
      <c r="L569" t="s">
        <v>720</v>
      </c>
      <c r="M569" s="38" t="str">
        <f>IF([1]totrevprm!O569="","",[1]totrevprm!O569)</f>
        <v>Yes</v>
      </c>
    </row>
    <row r="570" spans="1:13">
      <c r="A570" s="49" t="s">
        <v>34</v>
      </c>
      <c r="B570" s="46" t="s">
        <v>332</v>
      </c>
      <c r="C570" s="50"/>
      <c r="D570" s="51">
        <v>2019</v>
      </c>
      <c r="E570" s="56">
        <v>2836784072</v>
      </c>
      <c r="F570" s="56">
        <v>4789050513</v>
      </c>
      <c r="G570" s="56">
        <v>6138444880.8642006</v>
      </c>
      <c r="H570" s="56">
        <v>107777054</v>
      </c>
      <c r="I570" s="54">
        <f t="shared" si="10"/>
        <v>13872056519.864201</v>
      </c>
      <c r="J570" s="56">
        <v>76142996</v>
      </c>
      <c r="K570" s="61" t="s">
        <v>738</v>
      </c>
      <c r="L570" t="s">
        <v>720</v>
      </c>
      <c r="M570" s="38" t="str">
        <f>IF([1]totrevprm!O570="","",[1]totrevprm!O570)</f>
        <v/>
      </c>
    </row>
    <row r="571" spans="1:13">
      <c r="A571" s="49" t="s">
        <v>34</v>
      </c>
      <c r="B571" s="46" t="s">
        <v>332</v>
      </c>
      <c r="C571" s="50"/>
      <c r="D571" s="51">
        <v>2020</v>
      </c>
      <c r="E571" s="56">
        <v>2878257555</v>
      </c>
      <c r="F571" s="56">
        <v>4705169376</v>
      </c>
      <c r="G571" s="56">
        <v>6097875646</v>
      </c>
      <c r="H571" s="56">
        <v>194647341</v>
      </c>
      <c r="I571" s="54">
        <f t="shared" si="10"/>
        <v>13875949918</v>
      </c>
      <c r="J571" s="56">
        <v>95528635</v>
      </c>
      <c r="K571" s="61" t="s">
        <v>738</v>
      </c>
      <c r="L571" t="s">
        <v>720</v>
      </c>
      <c r="M571" s="38" t="str">
        <f>IF([1]totrevprm!O571="","",[1]totrevprm!O571)</f>
        <v/>
      </c>
    </row>
    <row r="572" spans="1:13">
      <c r="A572" s="49" t="s">
        <v>34</v>
      </c>
      <c r="B572" s="46" t="s">
        <v>332</v>
      </c>
      <c r="C572" s="50"/>
      <c r="D572" s="51">
        <v>2021</v>
      </c>
      <c r="E572" s="56">
        <v>3065280516</v>
      </c>
      <c r="F572" s="56">
        <v>5064663620</v>
      </c>
      <c r="G572" s="56">
        <v>6177468060</v>
      </c>
      <c r="H572" s="56">
        <v>103978928</v>
      </c>
      <c r="I572" s="54">
        <f t="shared" si="10"/>
        <v>14411391124</v>
      </c>
      <c r="J572" s="52">
        <v>0</v>
      </c>
      <c r="K572" s="61" t="s">
        <v>739</v>
      </c>
      <c r="L572" t="s">
        <v>720</v>
      </c>
      <c r="M572" s="38" t="s">
        <v>720</v>
      </c>
    </row>
    <row r="573" spans="1:13">
      <c r="A573" s="49" t="s">
        <v>34</v>
      </c>
      <c r="B573" s="46" t="s">
        <v>332</v>
      </c>
      <c r="C573" s="50"/>
      <c r="D573" s="51">
        <v>2022</v>
      </c>
      <c r="E573" s="56">
        <v>3267811868</v>
      </c>
      <c r="F573" s="56">
        <v>7046131315</v>
      </c>
      <c r="G573" s="56">
        <v>6293375266</v>
      </c>
      <c r="H573" s="56">
        <v>94848870</v>
      </c>
      <c r="I573" s="54">
        <f t="shared" si="10"/>
        <v>16702167319</v>
      </c>
      <c r="J573" s="52">
        <v>0</v>
      </c>
      <c r="K573" s="61" t="s">
        <v>739</v>
      </c>
      <c r="M573" s="38"/>
    </row>
    <row r="574" spans="1:13">
      <c r="A574" s="49" t="s">
        <v>34</v>
      </c>
      <c r="B574" s="46" t="s">
        <v>332</v>
      </c>
      <c r="C574" s="50"/>
      <c r="D574" s="51">
        <v>2023</v>
      </c>
      <c r="E574" s="56">
        <v>3307286621</v>
      </c>
      <c r="F574" s="56">
        <v>7503782168.1681995</v>
      </c>
      <c r="G574" s="56">
        <v>6808468007.3232002</v>
      </c>
      <c r="H574" s="56">
        <v>94752036</v>
      </c>
      <c r="I574" s="54">
        <f t="shared" si="10"/>
        <v>17714288832.491402</v>
      </c>
      <c r="J574" s="52">
        <v>0</v>
      </c>
      <c r="K574" s="61" t="s">
        <v>739</v>
      </c>
      <c r="M574" s="38"/>
    </row>
    <row r="575" spans="1:13">
      <c r="A575" s="49" t="s">
        <v>34</v>
      </c>
      <c r="B575" s="46" t="s">
        <v>332</v>
      </c>
      <c r="C575" s="50"/>
      <c r="D575" s="57">
        <v>2024</v>
      </c>
      <c r="E575" s="52">
        <v>3380133189.1599998</v>
      </c>
      <c r="F575" s="52">
        <v>8281988660.5900002</v>
      </c>
      <c r="G575" s="52">
        <v>7439301967.3633003</v>
      </c>
      <c r="H575" s="52">
        <v>207463291.41</v>
      </c>
      <c r="I575" s="54">
        <f t="shared" si="10"/>
        <v>19308887108.5233</v>
      </c>
      <c r="J575" s="56">
        <v>0</v>
      </c>
      <c r="K575" s="61" t="s">
        <v>739</v>
      </c>
      <c r="M575" s="38"/>
    </row>
    <row r="576" spans="1:13">
      <c r="A576" s="49"/>
      <c r="B576" s="50"/>
      <c r="C576" s="50"/>
      <c r="E576" s="53"/>
      <c r="F576" s="53"/>
      <c r="G576" s="53"/>
      <c r="H576" s="53"/>
      <c r="I576" s="54"/>
      <c r="J576" s="52"/>
      <c r="K576" s="61"/>
      <c r="M576" s="38"/>
    </row>
    <row r="577" spans="1:13">
      <c r="A577" s="49" t="s">
        <v>36</v>
      </c>
      <c r="B577" s="46" t="s">
        <v>266</v>
      </c>
      <c r="C577" s="50" t="s">
        <v>769</v>
      </c>
      <c r="D577" s="51">
        <v>1988</v>
      </c>
      <c r="E577" s="53">
        <v>785518841</v>
      </c>
      <c r="F577" s="53">
        <v>666373201</v>
      </c>
      <c r="G577" s="53">
        <v>1257600157</v>
      </c>
      <c r="H577" s="53">
        <v>251661721</v>
      </c>
      <c r="I577" s="54">
        <f t="shared" si="10"/>
        <v>2961153920</v>
      </c>
      <c r="J577" s="52">
        <v>0</v>
      </c>
      <c r="K577" s="61"/>
      <c r="M577" s="38" t="str">
        <f>IF([1]totrevprm!O577="","",[1]totrevprm!O577)</f>
        <v/>
      </c>
    </row>
    <row r="578" spans="1:13">
      <c r="A578" s="49" t="s">
        <v>36</v>
      </c>
      <c r="B578" s="46" t="s">
        <v>266</v>
      </c>
      <c r="C578" s="50" t="s">
        <v>742</v>
      </c>
      <c r="D578" s="51">
        <v>1989</v>
      </c>
      <c r="E578" s="53">
        <v>737400938</v>
      </c>
      <c r="F578" s="53">
        <v>713162245</v>
      </c>
      <c r="G578" s="53">
        <v>1385739261</v>
      </c>
      <c r="H578" s="53">
        <v>224539753</v>
      </c>
      <c r="I578" s="54">
        <f t="shared" si="10"/>
        <v>3060842197</v>
      </c>
      <c r="J578" s="52">
        <v>0</v>
      </c>
      <c r="K578" s="61"/>
      <c r="M578" s="38" t="str">
        <f>IF([1]totrevprm!O578="","",[1]totrevprm!O578)</f>
        <v/>
      </c>
    </row>
    <row r="579" spans="1:13">
      <c r="A579" s="49" t="s">
        <v>36</v>
      </c>
      <c r="B579" s="46" t="s">
        <v>266</v>
      </c>
      <c r="C579" s="50" t="s">
        <v>732</v>
      </c>
      <c r="D579" s="51">
        <v>1990</v>
      </c>
      <c r="E579" s="53">
        <v>756412872</v>
      </c>
      <c r="F579" s="53">
        <v>883066273.08000004</v>
      </c>
      <c r="G579" s="53">
        <v>1437593560</v>
      </c>
      <c r="H579" s="53">
        <v>174140010</v>
      </c>
      <c r="I579" s="54">
        <f t="shared" si="10"/>
        <v>3251212715.0799999</v>
      </c>
      <c r="J579" s="52">
        <v>0</v>
      </c>
      <c r="K579" s="61"/>
      <c r="M579" s="38" t="str">
        <f>IF([1]totrevprm!O579="","",[1]totrevprm!O579)</f>
        <v/>
      </c>
    </row>
    <row r="580" spans="1:13">
      <c r="A580" s="49" t="s">
        <v>36</v>
      </c>
      <c r="B580" s="46" t="s">
        <v>266</v>
      </c>
      <c r="C580" s="50" t="s">
        <v>732</v>
      </c>
      <c r="D580" s="51">
        <v>1991</v>
      </c>
      <c r="E580" s="53">
        <v>842900036</v>
      </c>
      <c r="F580" s="53">
        <v>886725305</v>
      </c>
      <c r="G580" s="53">
        <v>1391111493</v>
      </c>
      <c r="H580" s="53">
        <v>227822108</v>
      </c>
      <c r="I580" s="54">
        <f t="shared" si="10"/>
        <v>3348558942</v>
      </c>
      <c r="J580" s="52">
        <v>0</v>
      </c>
      <c r="K580" s="61"/>
      <c r="M580" s="38" t="str">
        <f>IF([1]totrevprm!O580="","",[1]totrevprm!O580)</f>
        <v/>
      </c>
    </row>
    <row r="581" spans="1:13">
      <c r="A581" s="49" t="s">
        <v>36</v>
      </c>
      <c r="B581" s="46" t="s">
        <v>266</v>
      </c>
      <c r="C581" s="50" t="s">
        <v>732</v>
      </c>
      <c r="D581" s="51">
        <v>1992</v>
      </c>
      <c r="E581" s="53">
        <v>842908152</v>
      </c>
      <c r="F581" s="53">
        <v>925692132.84000003</v>
      </c>
      <c r="G581" s="53">
        <v>1409401079</v>
      </c>
      <c r="H581" s="53">
        <v>128788808</v>
      </c>
      <c r="I581" s="54">
        <f t="shared" si="10"/>
        <v>3306790171.8400002</v>
      </c>
      <c r="J581" s="52">
        <v>0</v>
      </c>
      <c r="K581" s="61"/>
      <c r="M581" s="38" t="str">
        <f>IF([1]totrevprm!O581="","",[1]totrevprm!O581)</f>
        <v/>
      </c>
    </row>
    <row r="582" spans="1:13">
      <c r="A582" s="49" t="s">
        <v>36</v>
      </c>
      <c r="B582" s="46" t="s">
        <v>266</v>
      </c>
      <c r="C582" s="50" t="s">
        <v>732</v>
      </c>
      <c r="D582" s="51">
        <v>1993</v>
      </c>
      <c r="E582" s="53">
        <v>882251556</v>
      </c>
      <c r="F582" s="53">
        <v>904997269</v>
      </c>
      <c r="G582" s="53">
        <v>1626509806</v>
      </c>
      <c r="H582" s="53">
        <v>182073258</v>
      </c>
      <c r="I582" s="54">
        <f t="shared" si="10"/>
        <v>3595831889</v>
      </c>
      <c r="J582" s="52">
        <v>0</v>
      </c>
      <c r="K582" s="61"/>
      <c r="M582" s="38" t="str">
        <f>IF([1]totrevprm!O582="","",[1]totrevprm!O582)</f>
        <v/>
      </c>
    </row>
    <row r="583" spans="1:13">
      <c r="A583" s="49" t="s">
        <v>36</v>
      </c>
      <c r="B583" s="46" t="s">
        <v>266</v>
      </c>
      <c r="C583" s="50" t="s">
        <v>732</v>
      </c>
      <c r="D583" s="51">
        <v>1994</v>
      </c>
      <c r="E583" s="53">
        <v>942321717</v>
      </c>
      <c r="F583" s="53">
        <v>1008736756</v>
      </c>
      <c r="G583" s="53">
        <v>1637708558</v>
      </c>
      <c r="H583" s="53">
        <v>113476398</v>
      </c>
      <c r="I583" s="54">
        <f t="shared" si="10"/>
        <v>3702243429</v>
      </c>
      <c r="J583" s="52">
        <v>0</v>
      </c>
      <c r="K583" s="61"/>
      <c r="M583" s="38" t="str">
        <f>IF([1]totrevprm!O583="","",[1]totrevprm!O583)</f>
        <v/>
      </c>
    </row>
    <row r="584" spans="1:13">
      <c r="A584" s="49" t="s">
        <v>36</v>
      </c>
      <c r="B584" s="46" t="s">
        <v>266</v>
      </c>
      <c r="C584" s="50" t="s">
        <v>732</v>
      </c>
      <c r="D584" s="51">
        <v>1995</v>
      </c>
      <c r="E584" s="53">
        <v>997746336</v>
      </c>
      <c r="F584" s="53">
        <v>1016521518</v>
      </c>
      <c r="G584" s="53">
        <v>1737573975</v>
      </c>
      <c r="H584" s="53">
        <v>134059041</v>
      </c>
      <c r="I584" s="54">
        <f t="shared" si="10"/>
        <v>3885900870</v>
      </c>
      <c r="J584" s="52">
        <v>0</v>
      </c>
      <c r="K584" s="61"/>
      <c r="M584" s="38" t="str">
        <f>IF([1]totrevprm!O584="","",[1]totrevprm!O584)</f>
        <v/>
      </c>
    </row>
    <row r="585" spans="1:13">
      <c r="A585" s="49" t="s">
        <v>36</v>
      </c>
      <c r="B585" s="46" t="s">
        <v>266</v>
      </c>
      <c r="C585" s="50" t="s">
        <v>732</v>
      </c>
      <c r="D585" s="51">
        <v>1996</v>
      </c>
      <c r="E585" s="53">
        <v>955936583</v>
      </c>
      <c r="F585" s="53">
        <v>784021094</v>
      </c>
      <c r="G585" s="53">
        <v>1838043543</v>
      </c>
      <c r="H585" s="53">
        <v>109511547</v>
      </c>
      <c r="I585" s="54">
        <f t="shared" si="10"/>
        <v>3687512767</v>
      </c>
      <c r="J585" s="52">
        <v>0</v>
      </c>
      <c r="K585" s="61"/>
      <c r="M585" s="38" t="str">
        <f>IF([1]totrevprm!O585="","",[1]totrevprm!O585)</f>
        <v/>
      </c>
    </row>
    <row r="586" spans="1:13">
      <c r="A586" s="49" t="s">
        <v>36</v>
      </c>
      <c r="B586" s="46" t="s">
        <v>266</v>
      </c>
      <c r="C586" s="50" t="s">
        <v>732</v>
      </c>
      <c r="D586" s="51">
        <v>1997</v>
      </c>
      <c r="E586" s="53">
        <v>985559407</v>
      </c>
      <c r="F586" s="53">
        <v>894117143</v>
      </c>
      <c r="G586" s="53">
        <v>1849655839</v>
      </c>
      <c r="H586" s="53">
        <v>169015453</v>
      </c>
      <c r="I586" s="54">
        <f t="shared" si="10"/>
        <v>3898347842</v>
      </c>
      <c r="J586" s="52">
        <v>0</v>
      </c>
      <c r="K586" s="61"/>
      <c r="M586" s="38" t="str">
        <f>IF([1]totrevprm!O586="","",[1]totrevprm!O586)</f>
        <v/>
      </c>
    </row>
    <row r="587" spans="1:13">
      <c r="A587" s="49" t="s">
        <v>36</v>
      </c>
      <c r="B587" s="46" t="s">
        <v>266</v>
      </c>
      <c r="C587" s="50" t="s">
        <v>732</v>
      </c>
      <c r="D587" s="51">
        <v>1998</v>
      </c>
      <c r="E587" s="53">
        <v>1065757864</v>
      </c>
      <c r="F587" s="53">
        <v>849594940</v>
      </c>
      <c r="G587" s="53">
        <v>1952738002</v>
      </c>
      <c r="H587" s="53">
        <v>135269047</v>
      </c>
      <c r="I587" s="54">
        <f t="shared" si="10"/>
        <v>4003359853</v>
      </c>
      <c r="J587" s="52">
        <v>0</v>
      </c>
      <c r="K587" s="61"/>
      <c r="M587" s="38" t="str">
        <f>IF([1]totrevprm!O587="","",[1]totrevprm!O587)</f>
        <v/>
      </c>
    </row>
    <row r="588" spans="1:13">
      <c r="A588" s="49" t="s">
        <v>36</v>
      </c>
      <c r="B588" s="46" t="s">
        <v>266</v>
      </c>
      <c r="C588" s="50" t="s">
        <v>732</v>
      </c>
      <c r="D588" s="51">
        <v>1999</v>
      </c>
      <c r="E588" s="53">
        <v>953323879</v>
      </c>
      <c r="F588" s="53">
        <v>1171798999</v>
      </c>
      <c r="G588" s="53">
        <v>2082100004</v>
      </c>
      <c r="H588" s="53">
        <v>447435166</v>
      </c>
      <c r="I588" s="54">
        <f t="shared" si="10"/>
        <v>4654658048</v>
      </c>
      <c r="J588" s="52">
        <v>0</v>
      </c>
      <c r="K588" s="61"/>
      <c r="M588" s="38" t="str">
        <f>IF([1]totrevprm!O588="","",[1]totrevprm!O588)</f>
        <v/>
      </c>
    </row>
    <row r="589" spans="1:13">
      <c r="A589" s="49" t="s">
        <v>36</v>
      </c>
      <c r="B589" s="46" t="s">
        <v>266</v>
      </c>
      <c r="C589" s="50" t="s">
        <v>770</v>
      </c>
      <c r="D589" s="51">
        <v>2000</v>
      </c>
      <c r="E589" s="53">
        <v>977485907</v>
      </c>
      <c r="F589" s="53">
        <v>1130559841</v>
      </c>
      <c r="G589" s="53">
        <v>2170175367</v>
      </c>
      <c r="H589" s="53">
        <v>305994751</v>
      </c>
      <c r="I589" s="54">
        <f t="shared" si="10"/>
        <v>4584215866</v>
      </c>
      <c r="J589" s="52">
        <v>0</v>
      </c>
      <c r="K589" s="61"/>
      <c r="M589" s="38" t="str">
        <f>IF([1]totrevprm!O589="","",[1]totrevprm!O589)</f>
        <v/>
      </c>
    </row>
    <row r="590" spans="1:13">
      <c r="A590" s="49" t="s">
        <v>36</v>
      </c>
      <c r="B590" s="46" t="s">
        <v>266</v>
      </c>
      <c r="C590" s="50" t="s">
        <v>732</v>
      </c>
      <c r="D590" s="51">
        <v>2001</v>
      </c>
      <c r="E590" s="53">
        <v>1016548735</v>
      </c>
      <c r="F590" s="53">
        <v>1520979606</v>
      </c>
      <c r="G590" s="53">
        <v>2348107723</v>
      </c>
      <c r="H590" s="53">
        <v>209415591</v>
      </c>
      <c r="I590" s="54">
        <f t="shared" si="10"/>
        <v>5095051655</v>
      </c>
      <c r="J590" s="52">
        <v>0</v>
      </c>
      <c r="K590" s="61"/>
      <c r="M590" s="38" t="str">
        <f>IF([1]totrevprm!O590="","",[1]totrevprm!O590)</f>
        <v/>
      </c>
    </row>
    <row r="591" spans="1:13">
      <c r="A591" s="49" t="s">
        <v>36</v>
      </c>
      <c r="B591" s="46" t="s">
        <v>266</v>
      </c>
      <c r="C591" s="50" t="s">
        <v>732</v>
      </c>
      <c r="D591" s="51">
        <v>2002</v>
      </c>
      <c r="E591" s="53">
        <v>1039296621</v>
      </c>
      <c r="F591" s="53">
        <v>1717794926</v>
      </c>
      <c r="G591" s="53">
        <v>2475482347</v>
      </c>
      <c r="H591" s="53">
        <v>1769965718</v>
      </c>
      <c r="I591" s="54">
        <f t="shared" si="10"/>
        <v>7002539612</v>
      </c>
      <c r="J591" s="52">
        <v>0</v>
      </c>
      <c r="K591" s="61"/>
      <c r="M591" s="38" t="str">
        <f>IF([1]totrevprm!O591="","",[1]totrevprm!O591)</f>
        <v/>
      </c>
    </row>
    <row r="592" spans="1:13">
      <c r="A592" s="49" t="s">
        <v>36</v>
      </c>
      <c r="B592" s="46" t="s">
        <v>266</v>
      </c>
      <c r="C592" s="50" t="s">
        <v>732</v>
      </c>
      <c r="D592" s="51">
        <v>2003</v>
      </c>
      <c r="E592" s="55">
        <v>1078626255</v>
      </c>
      <c r="F592" s="55">
        <v>1549106632</v>
      </c>
      <c r="G592" s="55">
        <v>2693140493</v>
      </c>
      <c r="H592" s="55">
        <v>207080334</v>
      </c>
      <c r="I592" s="54">
        <f t="shared" si="10"/>
        <v>5527953714</v>
      </c>
      <c r="J592" s="52">
        <v>0</v>
      </c>
      <c r="K592" s="61"/>
      <c r="M592" s="38" t="str">
        <f>IF([1]totrevprm!O592="","",[1]totrevprm!O592)</f>
        <v/>
      </c>
    </row>
    <row r="593" spans="1:13">
      <c r="A593" s="49" t="s">
        <v>36</v>
      </c>
      <c r="B593" s="46" t="s">
        <v>266</v>
      </c>
      <c r="C593" s="50" t="s">
        <v>732</v>
      </c>
      <c r="D593" s="51">
        <v>2004</v>
      </c>
      <c r="E593" s="55">
        <v>1095758469</v>
      </c>
      <c r="F593" s="55">
        <v>1429113041</v>
      </c>
      <c r="G593" s="55">
        <v>2907255455</v>
      </c>
      <c r="H593" s="55">
        <v>176930195</v>
      </c>
      <c r="I593" s="54">
        <f t="shared" si="10"/>
        <v>5609057160</v>
      </c>
      <c r="J593" s="52">
        <v>0</v>
      </c>
      <c r="K593" s="61"/>
      <c r="M593" s="38" t="str">
        <f>IF([1]totrevprm!O593="","",[1]totrevprm!O593)</f>
        <v/>
      </c>
    </row>
    <row r="594" spans="1:13">
      <c r="A594" s="49" t="s">
        <v>36</v>
      </c>
      <c r="B594" s="46" t="s">
        <v>266</v>
      </c>
      <c r="C594" s="50"/>
      <c r="D594" s="51">
        <v>2005</v>
      </c>
      <c r="E594" s="55">
        <v>1100356776</v>
      </c>
      <c r="F594" s="55">
        <v>1487301757</v>
      </c>
      <c r="G594" s="55">
        <v>3134257219.0799899</v>
      </c>
      <c r="H594" s="55">
        <v>205498350</v>
      </c>
      <c r="I594" s="54">
        <f t="shared" si="10"/>
        <v>5927414102.0799904</v>
      </c>
      <c r="J594" s="52">
        <v>0</v>
      </c>
      <c r="K594" s="61"/>
      <c r="M594" s="38" t="str">
        <f>IF([1]totrevprm!O594="","",[1]totrevprm!O594)</f>
        <v/>
      </c>
    </row>
    <row r="595" spans="1:13">
      <c r="A595" s="49" t="s">
        <v>36</v>
      </c>
      <c r="B595" s="46" t="s">
        <v>266</v>
      </c>
      <c r="C595" s="50"/>
      <c r="D595" s="51">
        <v>2006</v>
      </c>
      <c r="E595" s="56">
        <v>1177468079</v>
      </c>
      <c r="F595" s="56">
        <v>1720711814</v>
      </c>
      <c r="G595" s="56">
        <v>3327686655</v>
      </c>
      <c r="H595" s="56">
        <v>1179413264</v>
      </c>
      <c r="I595" s="54">
        <f t="shared" si="10"/>
        <v>7405279812</v>
      </c>
      <c r="J595" s="52">
        <v>0</v>
      </c>
      <c r="K595" s="61"/>
      <c r="M595" s="38" t="str">
        <f>IF([1]totrevprm!O595="","",[1]totrevprm!O595)</f>
        <v/>
      </c>
    </row>
    <row r="596" spans="1:13">
      <c r="A596" s="49" t="s">
        <v>36</v>
      </c>
      <c r="B596" s="46" t="s">
        <v>266</v>
      </c>
      <c r="C596" s="50"/>
      <c r="D596" s="51">
        <v>2007</v>
      </c>
      <c r="E596" s="56">
        <v>1253952349</v>
      </c>
      <c r="F596" s="56">
        <v>1476715221</v>
      </c>
      <c r="G596" s="56">
        <v>3601872431</v>
      </c>
      <c r="H596" s="56">
        <v>1130651963</v>
      </c>
      <c r="I596" s="54">
        <f t="shared" si="10"/>
        <v>7463191964</v>
      </c>
      <c r="J596" s="52">
        <v>0</v>
      </c>
      <c r="K596" s="61"/>
      <c r="M596" s="38" t="str">
        <f>IF([1]totrevprm!O596="","",[1]totrevprm!O596)</f>
        <v/>
      </c>
    </row>
    <row r="597" spans="1:13">
      <c r="A597" s="49" t="s">
        <v>36</v>
      </c>
      <c r="B597" s="46" t="s">
        <v>266</v>
      </c>
      <c r="C597" s="50"/>
      <c r="D597" s="51">
        <v>2008</v>
      </c>
      <c r="E597" s="56">
        <v>1212557106</v>
      </c>
      <c r="F597" s="56">
        <v>2393115964</v>
      </c>
      <c r="G597" s="56">
        <v>3563704280</v>
      </c>
      <c r="H597" s="56">
        <v>2381888861</v>
      </c>
      <c r="I597" s="54">
        <f t="shared" si="10"/>
        <v>9551266211</v>
      </c>
      <c r="J597" s="52">
        <v>0</v>
      </c>
      <c r="K597" s="61"/>
      <c r="M597" s="38" t="str">
        <f>IF([1]totrevprm!O597="","",[1]totrevprm!O597)</f>
        <v/>
      </c>
    </row>
    <row r="598" spans="1:13">
      <c r="A598" s="49" t="s">
        <v>36</v>
      </c>
      <c r="B598" s="46" t="s">
        <v>266</v>
      </c>
      <c r="C598" s="50"/>
      <c r="D598" s="51">
        <v>2009</v>
      </c>
      <c r="E598" s="56">
        <v>1334903102</v>
      </c>
      <c r="F598" s="56">
        <v>1922775917</v>
      </c>
      <c r="G598" s="56">
        <v>3545875294</v>
      </c>
      <c r="H598" s="56">
        <v>656787624</v>
      </c>
      <c r="I598" s="54">
        <f t="shared" si="10"/>
        <v>7460341937</v>
      </c>
      <c r="J598" s="52">
        <v>0</v>
      </c>
      <c r="K598" s="61"/>
      <c r="M598" s="38" t="str">
        <f>IF([1]totrevprm!O598="","",[1]totrevprm!O598)</f>
        <v/>
      </c>
    </row>
    <row r="599" spans="1:13">
      <c r="A599" s="49" t="s">
        <v>36</v>
      </c>
      <c r="B599" s="46" t="s">
        <v>266</v>
      </c>
      <c r="C599" s="50"/>
      <c r="D599" s="51">
        <v>2010</v>
      </c>
      <c r="E599" s="56">
        <v>1429906032</v>
      </c>
      <c r="F599" s="56">
        <v>2108886723</v>
      </c>
      <c r="G599" s="56">
        <v>3584947156</v>
      </c>
      <c r="H599" s="56">
        <v>430938855</v>
      </c>
      <c r="I599" s="54">
        <f t="shared" si="10"/>
        <v>7554678766</v>
      </c>
      <c r="J599" s="52">
        <v>0</v>
      </c>
      <c r="K599" s="61"/>
      <c r="M599" s="38" t="str">
        <f>IF([1]totrevprm!O599="","",[1]totrevprm!O599)</f>
        <v/>
      </c>
    </row>
    <row r="600" spans="1:13">
      <c r="A600" s="49" t="s">
        <v>36</v>
      </c>
      <c r="B600" s="46" t="s">
        <v>266</v>
      </c>
      <c r="C600" s="50"/>
      <c r="D600" s="51">
        <v>2011</v>
      </c>
      <c r="E600" s="56">
        <v>1582915114</v>
      </c>
      <c r="F600" s="56">
        <v>1877137731</v>
      </c>
      <c r="G600" s="56">
        <v>3627105984.5599999</v>
      </c>
      <c r="H600" s="56">
        <v>993172464</v>
      </c>
      <c r="I600" s="54">
        <f t="shared" si="10"/>
        <v>8080331293.5599995</v>
      </c>
      <c r="J600" s="52">
        <v>11389613</v>
      </c>
      <c r="K600" s="61" t="s">
        <v>736</v>
      </c>
      <c r="L600" t="s">
        <v>720</v>
      </c>
      <c r="M600" s="38" t="str">
        <f>IF([1]totrevprm!O600="","",[1]totrevprm!O600)</f>
        <v/>
      </c>
    </row>
    <row r="601" spans="1:13">
      <c r="A601" s="49" t="s">
        <v>36</v>
      </c>
      <c r="B601" s="46" t="s">
        <v>266</v>
      </c>
      <c r="C601" s="50"/>
      <c r="D601" s="51">
        <v>2012</v>
      </c>
      <c r="E601" s="56">
        <v>1669257836</v>
      </c>
      <c r="F601" s="56">
        <v>2512780642</v>
      </c>
      <c r="G601" s="56">
        <v>3581752180</v>
      </c>
      <c r="H601" s="56">
        <v>3474153065</v>
      </c>
      <c r="I601" s="54">
        <f t="shared" si="10"/>
        <v>11237943723</v>
      </c>
      <c r="J601" s="52">
        <v>12525559</v>
      </c>
      <c r="K601" s="61" t="s">
        <v>736</v>
      </c>
      <c r="L601" t="s">
        <v>720</v>
      </c>
      <c r="M601" s="38" t="str">
        <f>IF([1]totrevprm!O601="","",[1]totrevprm!O601)</f>
        <v/>
      </c>
    </row>
    <row r="602" spans="1:13">
      <c r="A602" s="49" t="s">
        <v>36</v>
      </c>
      <c r="B602" s="46" t="s">
        <v>266</v>
      </c>
      <c r="C602" s="50"/>
      <c r="D602" s="51">
        <v>2013</v>
      </c>
      <c r="E602" s="56">
        <v>1611899372</v>
      </c>
      <c r="F602" s="56">
        <v>2250939951</v>
      </c>
      <c r="G602" s="56">
        <v>3590293566</v>
      </c>
      <c r="H602" s="56">
        <v>1966376688</v>
      </c>
      <c r="I602" s="54">
        <f t="shared" si="10"/>
        <v>9419509577</v>
      </c>
      <c r="J602" s="52">
        <v>9601429</v>
      </c>
      <c r="K602" s="61" t="s">
        <v>736</v>
      </c>
      <c r="L602" t="s">
        <v>720</v>
      </c>
      <c r="M602" s="38" t="str">
        <f>IF([1]totrevprm!O602="","",[1]totrevprm!O602)</f>
        <v/>
      </c>
    </row>
    <row r="603" spans="1:13">
      <c r="A603" s="49" t="s">
        <v>36</v>
      </c>
      <c r="B603" s="46" t="s">
        <v>266</v>
      </c>
      <c r="C603" s="50"/>
      <c r="D603" s="51">
        <v>2014</v>
      </c>
      <c r="E603" s="56">
        <v>1601176315</v>
      </c>
      <c r="F603" s="56">
        <v>2246524232</v>
      </c>
      <c r="G603" s="56">
        <v>3280159250.6399999</v>
      </c>
      <c r="H603" s="56">
        <v>2266213798</v>
      </c>
      <c r="I603" s="54">
        <f t="shared" si="10"/>
        <v>9394073595.6399994</v>
      </c>
      <c r="J603" s="52">
        <v>73877458</v>
      </c>
      <c r="K603" s="61" t="s">
        <v>736</v>
      </c>
      <c r="L603" t="s">
        <v>720</v>
      </c>
      <c r="M603" s="38" t="str">
        <f>IF([1]totrevprm!O603="","",[1]totrevprm!O603)</f>
        <v/>
      </c>
    </row>
    <row r="604" spans="1:13">
      <c r="A604" s="49" t="s">
        <v>36</v>
      </c>
      <c r="B604" s="46" t="s">
        <v>266</v>
      </c>
      <c r="C604" s="50"/>
      <c r="D604" s="51">
        <v>2015</v>
      </c>
      <c r="E604" s="56">
        <v>1632403520</v>
      </c>
      <c r="F604" s="56">
        <v>2570165318</v>
      </c>
      <c r="G604" s="56">
        <v>3362859326</v>
      </c>
      <c r="H604" s="56">
        <v>2221043469</v>
      </c>
      <c r="I604" s="54">
        <f t="shared" si="10"/>
        <v>9786471633</v>
      </c>
      <c r="J604" s="52">
        <v>46784133</v>
      </c>
      <c r="K604" s="61" t="s">
        <v>736</v>
      </c>
      <c r="L604" t="s">
        <v>720</v>
      </c>
      <c r="M604" s="38" t="str">
        <f>IF([1]totrevprm!O604="","",[1]totrevprm!O604)</f>
        <v/>
      </c>
    </row>
    <row r="605" spans="1:13">
      <c r="A605" s="49" t="s">
        <v>36</v>
      </c>
      <c r="B605" s="46" t="s">
        <v>266</v>
      </c>
      <c r="C605" s="50"/>
      <c r="D605" s="51">
        <v>2016</v>
      </c>
      <c r="E605" s="56">
        <v>1694707062</v>
      </c>
      <c r="F605" s="56">
        <v>2673052441</v>
      </c>
      <c r="G605" s="56">
        <v>3496214759</v>
      </c>
      <c r="H605" s="56">
        <v>5479493641</v>
      </c>
      <c r="I605" s="54">
        <f t="shared" si="10"/>
        <v>13343467903</v>
      </c>
      <c r="J605" s="52">
        <v>20723716</v>
      </c>
      <c r="K605" s="61" t="s">
        <v>736</v>
      </c>
      <c r="L605" t="s">
        <v>720</v>
      </c>
      <c r="M605" s="38" t="str">
        <f>IF([1]totrevprm!O605="","",[1]totrevprm!O605)</f>
        <v/>
      </c>
    </row>
    <row r="606" spans="1:13">
      <c r="A606" s="49" t="s">
        <v>36</v>
      </c>
      <c r="B606" s="46" t="s">
        <v>266</v>
      </c>
      <c r="C606" s="50"/>
      <c r="D606" s="51">
        <v>2017</v>
      </c>
      <c r="E606" s="56">
        <v>1730961246</v>
      </c>
      <c r="F606" s="56">
        <v>2780429639</v>
      </c>
      <c r="G606" s="56">
        <v>3643736121.1199999</v>
      </c>
      <c r="H606" s="56">
        <v>5382533929</v>
      </c>
      <c r="I606" s="54">
        <f t="shared" si="10"/>
        <v>13537660935.119999</v>
      </c>
      <c r="J606" s="56">
        <v>70200503</v>
      </c>
      <c r="K606" s="61" t="s">
        <v>736</v>
      </c>
      <c r="L606" t="s">
        <v>720</v>
      </c>
      <c r="M606" s="38" t="str">
        <f>IF([1]totrevprm!O606="","",[1]totrevprm!O606)</f>
        <v/>
      </c>
    </row>
    <row r="607" spans="1:13">
      <c r="A607" s="49" t="s">
        <v>36</v>
      </c>
      <c r="B607" s="46" t="s">
        <v>266</v>
      </c>
      <c r="C607" s="50"/>
      <c r="D607" s="51">
        <v>2018</v>
      </c>
      <c r="E607" s="56">
        <v>1728813960</v>
      </c>
      <c r="F607" s="56">
        <v>3139732901</v>
      </c>
      <c r="G607" s="56">
        <v>4062514291.5599999</v>
      </c>
      <c r="H607" s="56">
        <v>1282390634</v>
      </c>
      <c r="I607" s="54">
        <f t="shared" si="10"/>
        <v>10213451786.559999</v>
      </c>
      <c r="J607" s="56">
        <v>39816700</v>
      </c>
      <c r="K607" s="61" t="s">
        <v>736</v>
      </c>
      <c r="L607" t="s">
        <v>720</v>
      </c>
      <c r="M607" s="38" t="str">
        <f>IF([1]totrevprm!O607="","",[1]totrevprm!O607)</f>
        <v/>
      </c>
    </row>
    <row r="608" spans="1:13">
      <c r="A608" s="49" t="s">
        <v>36</v>
      </c>
      <c r="B608" s="46" t="s">
        <v>266</v>
      </c>
      <c r="C608" s="50"/>
      <c r="D608" s="51">
        <v>2019</v>
      </c>
      <c r="E608" s="56">
        <v>1835908237</v>
      </c>
      <c r="F608" s="56">
        <v>4775342054</v>
      </c>
      <c r="G608" s="56">
        <v>4765334466.1027002</v>
      </c>
      <c r="H608" s="53">
        <v>-29503887</v>
      </c>
      <c r="I608" s="54">
        <f t="shared" si="10"/>
        <v>11347080870.102699</v>
      </c>
      <c r="J608" s="56">
        <v>58489661</v>
      </c>
      <c r="K608" s="60" t="s">
        <v>746</v>
      </c>
      <c r="L608" t="s">
        <v>720</v>
      </c>
      <c r="M608" s="38" t="str">
        <f>IF([1]totrevprm!O608="","",[1]totrevprm!O608)</f>
        <v>Yes</v>
      </c>
    </row>
    <row r="609" spans="1:13">
      <c r="A609" s="49" t="s">
        <v>36</v>
      </c>
      <c r="B609" s="46" t="s">
        <v>266</v>
      </c>
      <c r="C609" s="50"/>
      <c r="D609" s="51">
        <v>2020</v>
      </c>
      <c r="E609" s="56">
        <v>1856294656</v>
      </c>
      <c r="F609" s="56">
        <v>5295209182</v>
      </c>
      <c r="G609" s="56">
        <v>4757256826</v>
      </c>
      <c r="H609" s="56">
        <v>869798541</v>
      </c>
      <c r="I609" s="54">
        <f t="shared" si="10"/>
        <v>12778559205</v>
      </c>
      <c r="J609" s="56">
        <v>66385579</v>
      </c>
      <c r="K609" s="60" t="s">
        <v>738</v>
      </c>
      <c r="L609" t="s">
        <v>720</v>
      </c>
      <c r="M609" s="38" t="str">
        <f>IF([1]totrevprm!O609="","",[1]totrevprm!O609)</f>
        <v/>
      </c>
    </row>
    <row r="610" spans="1:13">
      <c r="A610" s="49" t="s">
        <v>36</v>
      </c>
      <c r="B610" s="46" t="s">
        <v>266</v>
      </c>
      <c r="C610" s="50"/>
      <c r="D610" s="51">
        <v>2021</v>
      </c>
      <c r="E610" s="56">
        <v>1918155352</v>
      </c>
      <c r="F610" s="56">
        <v>4461918251</v>
      </c>
      <c r="G610" s="56">
        <v>4714343915</v>
      </c>
      <c r="H610" s="56">
        <v>80632821</v>
      </c>
      <c r="I610" s="54">
        <f t="shared" si="10"/>
        <v>11175050339</v>
      </c>
      <c r="J610" s="52">
        <v>0</v>
      </c>
      <c r="K610" s="60" t="s">
        <v>739</v>
      </c>
      <c r="L610" t="s">
        <v>720</v>
      </c>
      <c r="M610" s="38"/>
    </row>
    <row r="611" spans="1:13">
      <c r="A611" s="49" t="s">
        <v>36</v>
      </c>
      <c r="B611" s="46" t="s">
        <v>266</v>
      </c>
      <c r="C611" s="50"/>
      <c r="D611" s="51">
        <v>2022</v>
      </c>
      <c r="E611" s="56">
        <v>1951313699</v>
      </c>
      <c r="F611" s="56">
        <v>4269286152</v>
      </c>
      <c r="G611" s="56">
        <v>4917621541</v>
      </c>
      <c r="H611" s="56">
        <v>85577083</v>
      </c>
      <c r="I611" s="54">
        <f t="shared" si="10"/>
        <v>11223798475</v>
      </c>
      <c r="J611" s="52">
        <v>0</v>
      </c>
      <c r="K611" s="60" t="s">
        <v>739</v>
      </c>
      <c r="M611" s="38"/>
    </row>
    <row r="612" spans="1:13">
      <c r="A612" s="49" t="s">
        <v>36</v>
      </c>
      <c r="B612" s="46" t="s">
        <v>266</v>
      </c>
      <c r="C612" s="50"/>
      <c r="D612" s="51">
        <v>2023</v>
      </c>
      <c r="E612" s="56">
        <v>1919617401</v>
      </c>
      <c r="F612" s="56">
        <v>4434031509.8752003</v>
      </c>
      <c r="G612" s="56">
        <v>5048978684.6599998</v>
      </c>
      <c r="H612" s="56">
        <v>86060208</v>
      </c>
      <c r="I612" s="54">
        <f t="shared" si="10"/>
        <v>11488687803.5352</v>
      </c>
      <c r="J612" s="52">
        <v>0</v>
      </c>
      <c r="K612" s="60" t="s">
        <v>739</v>
      </c>
      <c r="M612" s="38"/>
    </row>
    <row r="613" spans="1:13">
      <c r="A613" s="49" t="s">
        <v>36</v>
      </c>
      <c r="B613" s="46" t="s">
        <v>266</v>
      </c>
      <c r="C613" s="50"/>
      <c r="D613" s="57">
        <v>2024</v>
      </c>
      <c r="E613" s="52">
        <v>1970298695.27</v>
      </c>
      <c r="F613" s="52">
        <v>5377539915.0100002</v>
      </c>
      <c r="G613" s="52">
        <v>5335944744.1999998</v>
      </c>
      <c r="H613" s="52">
        <v>116114503.76000001</v>
      </c>
      <c r="I613" s="54">
        <f t="shared" si="10"/>
        <v>12799897858.24</v>
      </c>
      <c r="J613" s="56">
        <v>0</v>
      </c>
      <c r="K613" s="60" t="s">
        <v>739</v>
      </c>
      <c r="M613" s="38"/>
    </row>
    <row r="614" spans="1:13">
      <c r="A614" s="49"/>
      <c r="B614" s="50"/>
      <c r="C614" s="50"/>
      <c r="E614" s="53"/>
      <c r="F614" s="53"/>
      <c r="G614" s="53"/>
      <c r="H614" s="53"/>
      <c r="I614" s="54"/>
      <c r="J614" s="52"/>
      <c r="K614" s="61"/>
      <c r="M614" s="38"/>
    </row>
    <row r="615" spans="1:13">
      <c r="A615" s="49" t="s">
        <v>38</v>
      </c>
      <c r="B615" s="46" t="s">
        <v>417</v>
      </c>
      <c r="C615" s="50" t="s">
        <v>731</v>
      </c>
      <c r="D615" s="51">
        <v>1988</v>
      </c>
      <c r="E615" s="53">
        <v>639565767</v>
      </c>
      <c r="F615" s="53">
        <v>401514879</v>
      </c>
      <c r="G615" s="53">
        <v>974720100</v>
      </c>
      <c r="H615" s="53">
        <v>0</v>
      </c>
      <c r="I615" s="54">
        <f t="shared" si="10"/>
        <v>2015800746</v>
      </c>
      <c r="J615" s="52">
        <v>0</v>
      </c>
      <c r="K615" s="61"/>
      <c r="M615" s="38" t="str">
        <f>IF([1]totrevprm!O615="","",[1]totrevprm!O615)</f>
        <v/>
      </c>
    </row>
    <row r="616" spans="1:13">
      <c r="A616" s="49" t="s">
        <v>38</v>
      </c>
      <c r="B616" s="46" t="s">
        <v>417</v>
      </c>
      <c r="C616" s="50" t="s">
        <v>732</v>
      </c>
      <c r="D616" s="51">
        <v>1989</v>
      </c>
      <c r="E616" s="53">
        <v>608814887</v>
      </c>
      <c r="F616" s="53">
        <v>430035831</v>
      </c>
      <c r="G616" s="53">
        <v>1076232589</v>
      </c>
      <c r="H616" s="53">
        <v>0</v>
      </c>
      <c r="I616" s="54">
        <f t="shared" si="10"/>
        <v>2115083307</v>
      </c>
      <c r="J616" s="52">
        <v>0</v>
      </c>
      <c r="K616" s="61"/>
      <c r="M616" s="38" t="str">
        <f>IF([1]totrevprm!O616="","",[1]totrevprm!O616)</f>
        <v/>
      </c>
    </row>
    <row r="617" spans="1:13">
      <c r="A617" s="49" t="s">
        <v>38</v>
      </c>
      <c r="B617" s="46" t="s">
        <v>417</v>
      </c>
      <c r="C617" s="50" t="s">
        <v>732</v>
      </c>
      <c r="D617" s="51">
        <v>1990</v>
      </c>
      <c r="E617" s="53">
        <v>656398552</v>
      </c>
      <c r="F617" s="53">
        <v>499031760.88</v>
      </c>
      <c r="G617" s="53">
        <v>1216654689</v>
      </c>
      <c r="H617" s="53">
        <v>0</v>
      </c>
      <c r="I617" s="54">
        <f t="shared" si="10"/>
        <v>2372085001.8800001</v>
      </c>
      <c r="J617" s="52">
        <v>0</v>
      </c>
      <c r="K617" s="61"/>
      <c r="M617" s="38" t="str">
        <f>IF([1]totrevprm!O617="","",[1]totrevprm!O617)</f>
        <v/>
      </c>
    </row>
    <row r="618" spans="1:13">
      <c r="A618" s="49" t="s">
        <v>38</v>
      </c>
      <c r="B618" s="46" t="s">
        <v>417</v>
      </c>
      <c r="C618" s="50" t="s">
        <v>732</v>
      </c>
      <c r="D618" s="51">
        <v>1991</v>
      </c>
      <c r="E618" s="53">
        <v>681053616</v>
      </c>
      <c r="F618" s="53">
        <v>455310657</v>
      </c>
      <c r="G618" s="53">
        <v>1268847560</v>
      </c>
      <c r="H618" s="53">
        <v>0</v>
      </c>
      <c r="I618" s="54">
        <f t="shared" si="10"/>
        <v>2405211833</v>
      </c>
      <c r="J618" s="52">
        <v>0</v>
      </c>
      <c r="K618" s="61"/>
      <c r="M618" s="38" t="str">
        <f>IF([1]totrevprm!O618="","",[1]totrevprm!O618)</f>
        <v/>
      </c>
    </row>
    <row r="619" spans="1:13">
      <c r="A619" s="49" t="s">
        <v>38</v>
      </c>
      <c r="B619" s="46" t="s">
        <v>417</v>
      </c>
      <c r="C619" s="50" t="s">
        <v>732</v>
      </c>
      <c r="D619" s="51">
        <v>1992</v>
      </c>
      <c r="E619" s="53">
        <v>763861799</v>
      </c>
      <c r="F619" s="53">
        <v>582216067.07999992</v>
      </c>
      <c r="G619" s="53">
        <v>1333789810</v>
      </c>
      <c r="H619" s="53">
        <v>0</v>
      </c>
      <c r="I619" s="54">
        <f t="shared" si="10"/>
        <v>2679867676.0799999</v>
      </c>
      <c r="J619" s="52">
        <v>0</v>
      </c>
      <c r="K619" s="61"/>
      <c r="M619" s="38" t="str">
        <f>IF([1]totrevprm!O619="","",[1]totrevprm!O619)</f>
        <v/>
      </c>
    </row>
    <row r="620" spans="1:13">
      <c r="A620" s="49" t="s">
        <v>38</v>
      </c>
      <c r="B620" s="46" t="s">
        <v>417</v>
      </c>
      <c r="C620" s="50" t="s">
        <v>732</v>
      </c>
      <c r="D620" s="51">
        <v>1993</v>
      </c>
      <c r="E620" s="53">
        <v>786765266</v>
      </c>
      <c r="F620" s="53">
        <v>515434776</v>
      </c>
      <c r="G620" s="53">
        <v>1404106568</v>
      </c>
      <c r="H620" s="53">
        <v>0</v>
      </c>
      <c r="I620" s="54">
        <f t="shared" si="10"/>
        <v>2706306610</v>
      </c>
      <c r="J620" s="52">
        <v>0</v>
      </c>
      <c r="K620" s="61"/>
      <c r="M620" s="38" t="str">
        <f>IF([1]totrevprm!O620="","",[1]totrevprm!O620)</f>
        <v/>
      </c>
    </row>
    <row r="621" spans="1:13">
      <c r="A621" s="49" t="s">
        <v>38</v>
      </c>
      <c r="B621" s="46" t="s">
        <v>417</v>
      </c>
      <c r="C621" s="50" t="s">
        <v>732</v>
      </c>
      <c r="D621" s="51">
        <v>1994</v>
      </c>
      <c r="E621" s="53">
        <v>861400497</v>
      </c>
      <c r="F621" s="53">
        <v>552545906</v>
      </c>
      <c r="G621" s="53">
        <v>1444474497</v>
      </c>
      <c r="H621" s="53">
        <v>0</v>
      </c>
      <c r="I621" s="54">
        <f t="shared" si="10"/>
        <v>2858420900</v>
      </c>
      <c r="J621" s="52">
        <v>0</v>
      </c>
      <c r="K621" s="61"/>
      <c r="M621" s="38" t="str">
        <f>IF([1]totrevprm!O621="","",[1]totrevprm!O621)</f>
        <v/>
      </c>
    </row>
    <row r="622" spans="1:13">
      <c r="A622" s="49" t="s">
        <v>38</v>
      </c>
      <c r="B622" s="46" t="s">
        <v>417</v>
      </c>
      <c r="C622" s="50" t="s">
        <v>732</v>
      </c>
      <c r="D622" s="51">
        <v>1995</v>
      </c>
      <c r="E622" s="53">
        <v>843021220</v>
      </c>
      <c r="F622" s="53">
        <v>569854074</v>
      </c>
      <c r="G622" s="53">
        <v>1444104643</v>
      </c>
      <c r="H622" s="53">
        <v>0</v>
      </c>
      <c r="I622" s="54">
        <f t="shared" si="10"/>
        <v>2856979937</v>
      </c>
      <c r="J622" s="52">
        <v>0</v>
      </c>
      <c r="K622" s="61"/>
      <c r="M622" s="38" t="str">
        <f>IF([1]totrevprm!O622="","",[1]totrevprm!O622)</f>
        <v/>
      </c>
    </row>
    <row r="623" spans="1:13">
      <c r="A623" s="49" t="s">
        <v>38</v>
      </c>
      <c r="B623" s="46" t="s">
        <v>417</v>
      </c>
      <c r="C623" s="50" t="s">
        <v>732</v>
      </c>
      <c r="D623" s="51">
        <v>1996</v>
      </c>
      <c r="E623" s="53">
        <v>853764235</v>
      </c>
      <c r="F623" s="53">
        <v>462524491</v>
      </c>
      <c r="G623" s="53">
        <v>1418049665</v>
      </c>
      <c r="H623" s="53">
        <v>0</v>
      </c>
      <c r="I623" s="54">
        <f t="shared" si="10"/>
        <v>2734338391</v>
      </c>
      <c r="J623" s="52">
        <v>0</v>
      </c>
      <c r="K623" s="61"/>
      <c r="M623" s="38" t="str">
        <f>IF([1]totrevprm!O623="","",[1]totrevprm!O623)</f>
        <v/>
      </c>
    </row>
    <row r="624" spans="1:13">
      <c r="A624" s="49" t="s">
        <v>38</v>
      </c>
      <c r="B624" s="46" t="s">
        <v>417</v>
      </c>
      <c r="C624" s="50" t="s">
        <v>732</v>
      </c>
      <c r="D624" s="51">
        <v>1997</v>
      </c>
      <c r="E624" s="53">
        <v>795285017</v>
      </c>
      <c r="F624" s="53">
        <v>540931940</v>
      </c>
      <c r="G624" s="53">
        <v>1429894102</v>
      </c>
      <c r="H624" s="53">
        <v>0</v>
      </c>
      <c r="I624" s="54">
        <f t="shared" si="10"/>
        <v>2766111059</v>
      </c>
      <c r="J624" s="52">
        <v>0</v>
      </c>
      <c r="K624" s="61"/>
      <c r="M624" s="38" t="str">
        <f>IF([1]totrevprm!O624="","",[1]totrevprm!O624)</f>
        <v/>
      </c>
    </row>
    <row r="625" spans="1:13">
      <c r="A625" s="49" t="s">
        <v>38</v>
      </c>
      <c r="B625" s="46" t="s">
        <v>417</v>
      </c>
      <c r="C625" s="50" t="s">
        <v>732</v>
      </c>
      <c r="D625" s="51">
        <v>1998</v>
      </c>
      <c r="E625" s="53">
        <v>819132462</v>
      </c>
      <c r="F625" s="53">
        <v>473659037</v>
      </c>
      <c r="G625" s="53">
        <v>1539514398</v>
      </c>
      <c r="H625" s="53">
        <v>0</v>
      </c>
      <c r="I625" s="54">
        <f t="shared" si="10"/>
        <v>2832305897</v>
      </c>
      <c r="J625" s="52">
        <v>0</v>
      </c>
      <c r="K625" s="61"/>
      <c r="M625" s="38" t="str">
        <f>IF([1]totrevprm!O625="","",[1]totrevprm!O625)</f>
        <v/>
      </c>
    </row>
    <row r="626" spans="1:13">
      <c r="A626" s="49" t="s">
        <v>38</v>
      </c>
      <c r="B626" s="46" t="s">
        <v>417</v>
      </c>
      <c r="C626" s="50" t="s">
        <v>732</v>
      </c>
      <c r="D626" s="51">
        <v>1999</v>
      </c>
      <c r="E626" s="53">
        <v>795058466</v>
      </c>
      <c r="F626" s="53">
        <v>1349430275</v>
      </c>
      <c r="G626" s="53">
        <v>1629391488</v>
      </c>
      <c r="H626" s="53">
        <v>0</v>
      </c>
      <c r="I626" s="54">
        <f t="shared" si="10"/>
        <v>3773880229</v>
      </c>
      <c r="J626" s="52">
        <v>0</v>
      </c>
      <c r="K626" s="61"/>
      <c r="M626" s="38" t="str">
        <f>IF([1]totrevprm!O626="","",[1]totrevprm!O626)</f>
        <v/>
      </c>
    </row>
    <row r="627" spans="1:13">
      <c r="A627" s="49" t="s">
        <v>38</v>
      </c>
      <c r="B627" s="46" t="s">
        <v>417</v>
      </c>
      <c r="C627" s="50" t="s">
        <v>732</v>
      </c>
      <c r="D627" s="51">
        <v>2000</v>
      </c>
      <c r="E627" s="53">
        <v>812902299</v>
      </c>
      <c r="F627" s="53">
        <v>935686521</v>
      </c>
      <c r="G627" s="53">
        <v>1705618511</v>
      </c>
      <c r="H627" s="53">
        <v>0</v>
      </c>
      <c r="I627" s="54">
        <f t="shared" si="10"/>
        <v>3454207331</v>
      </c>
      <c r="J627" s="52">
        <v>0</v>
      </c>
      <c r="K627" s="61"/>
      <c r="M627" s="38" t="str">
        <f>IF([1]totrevprm!O627="","",[1]totrevprm!O627)</f>
        <v/>
      </c>
    </row>
    <row r="628" spans="1:13">
      <c r="A628" s="49" t="s">
        <v>38</v>
      </c>
      <c r="B628" s="46" t="s">
        <v>417</v>
      </c>
      <c r="C628" s="50" t="s">
        <v>732</v>
      </c>
      <c r="D628" s="51">
        <v>2001</v>
      </c>
      <c r="E628" s="53">
        <v>859584486</v>
      </c>
      <c r="F628" s="53">
        <v>948024058</v>
      </c>
      <c r="G628" s="53">
        <v>1896700056</v>
      </c>
      <c r="H628" s="53">
        <v>0</v>
      </c>
      <c r="I628" s="54">
        <f t="shared" si="10"/>
        <v>3704308600</v>
      </c>
      <c r="J628" s="52">
        <v>0</v>
      </c>
      <c r="K628" s="61"/>
      <c r="M628" s="38" t="str">
        <f>IF([1]totrevprm!O628="","",[1]totrevprm!O628)</f>
        <v/>
      </c>
    </row>
    <row r="629" spans="1:13">
      <c r="A629" s="49" t="s">
        <v>38</v>
      </c>
      <c r="B629" s="46" t="s">
        <v>417</v>
      </c>
      <c r="C629" s="50" t="s">
        <v>732</v>
      </c>
      <c r="D629" s="51">
        <v>2002</v>
      </c>
      <c r="E629" s="53">
        <v>831889443</v>
      </c>
      <c r="F629" s="53">
        <v>1294896420</v>
      </c>
      <c r="G629" s="53">
        <v>2119794524</v>
      </c>
      <c r="H629" s="53">
        <v>0</v>
      </c>
      <c r="I629" s="54">
        <f t="shared" si="10"/>
        <v>4246580387</v>
      </c>
      <c r="J629" s="52">
        <v>0</v>
      </c>
      <c r="K629" s="61"/>
      <c r="M629" s="38" t="str">
        <f>IF([1]totrevprm!O629="","",[1]totrevprm!O629)</f>
        <v/>
      </c>
    </row>
    <row r="630" spans="1:13">
      <c r="A630" s="49" t="s">
        <v>38</v>
      </c>
      <c r="B630" s="46" t="s">
        <v>417</v>
      </c>
      <c r="C630" s="50" t="s">
        <v>732</v>
      </c>
      <c r="D630" s="51">
        <v>2003</v>
      </c>
      <c r="E630" s="55">
        <v>932087251</v>
      </c>
      <c r="F630" s="55">
        <v>1119181316</v>
      </c>
      <c r="G630" s="55">
        <v>2328435351</v>
      </c>
      <c r="H630" s="53">
        <v>0</v>
      </c>
      <c r="I630" s="54">
        <f t="shared" si="10"/>
        <v>4379703918</v>
      </c>
      <c r="J630" s="52">
        <v>0</v>
      </c>
      <c r="K630" s="61"/>
      <c r="M630" s="38" t="str">
        <f>IF([1]totrevprm!O630="","",[1]totrevprm!O630)</f>
        <v/>
      </c>
    </row>
    <row r="631" spans="1:13">
      <c r="A631" s="49" t="s">
        <v>38</v>
      </c>
      <c r="B631" s="46" t="s">
        <v>417</v>
      </c>
      <c r="C631" s="50" t="s">
        <v>732</v>
      </c>
      <c r="D631" s="51">
        <v>2004</v>
      </c>
      <c r="E631" s="55">
        <v>953944326</v>
      </c>
      <c r="F631" s="55">
        <v>1003319291</v>
      </c>
      <c r="G631" s="55">
        <v>2456484648</v>
      </c>
      <c r="H631" s="53">
        <v>0</v>
      </c>
      <c r="I631" s="54">
        <f t="shared" si="10"/>
        <v>4413748265</v>
      </c>
      <c r="J631" s="52">
        <v>0</v>
      </c>
      <c r="K631" s="61"/>
      <c r="M631" s="38" t="str">
        <f>IF([1]totrevprm!O631="","",[1]totrevprm!O631)</f>
        <v/>
      </c>
    </row>
    <row r="632" spans="1:13">
      <c r="A632" s="49" t="s">
        <v>38</v>
      </c>
      <c r="B632" s="46" t="s">
        <v>417</v>
      </c>
      <c r="C632" s="50"/>
      <c r="D632" s="51">
        <v>2005</v>
      </c>
      <c r="E632" s="55">
        <v>976273182</v>
      </c>
      <c r="F632" s="55">
        <v>934981821</v>
      </c>
      <c r="G632" s="55">
        <v>2565149780.79</v>
      </c>
      <c r="H632" s="53">
        <v>0</v>
      </c>
      <c r="I632" s="54">
        <f t="shared" si="10"/>
        <v>4476404783.79</v>
      </c>
      <c r="J632" s="52">
        <v>0</v>
      </c>
      <c r="K632" s="61"/>
      <c r="M632" s="38" t="str">
        <f>IF([1]totrevprm!O632="","",[1]totrevprm!O632)</f>
        <v/>
      </c>
    </row>
    <row r="633" spans="1:13">
      <c r="A633" s="49" t="s">
        <v>38</v>
      </c>
      <c r="B633" s="46" t="s">
        <v>417</v>
      </c>
      <c r="C633" s="50"/>
      <c r="D633" s="51">
        <v>2006</v>
      </c>
      <c r="E633" s="56">
        <v>1029692256</v>
      </c>
      <c r="F633" s="56">
        <v>933738653</v>
      </c>
      <c r="G633" s="56">
        <v>2841018009</v>
      </c>
      <c r="H633" s="53">
        <v>0</v>
      </c>
      <c r="I633" s="54">
        <f t="shared" si="10"/>
        <v>4804448918</v>
      </c>
      <c r="J633" s="52">
        <v>0</v>
      </c>
      <c r="K633" s="61"/>
      <c r="M633" s="38" t="str">
        <f>IF([1]totrevprm!O633="","",[1]totrevprm!O633)</f>
        <v/>
      </c>
    </row>
    <row r="634" spans="1:13">
      <c r="A634" s="49" t="s">
        <v>38</v>
      </c>
      <c r="B634" s="46" t="s">
        <v>417</v>
      </c>
      <c r="C634" s="50"/>
      <c r="D634" s="51">
        <v>2007</v>
      </c>
      <c r="E634" s="56">
        <v>1047567830</v>
      </c>
      <c r="F634" s="56">
        <v>1364592010</v>
      </c>
      <c r="G634" s="56">
        <v>2984075561</v>
      </c>
      <c r="H634" s="56">
        <v>0</v>
      </c>
      <c r="I634" s="54">
        <f t="shared" si="10"/>
        <v>5396235401</v>
      </c>
      <c r="J634" s="52">
        <v>0</v>
      </c>
      <c r="K634" s="61"/>
      <c r="M634" s="38" t="str">
        <f>IF([1]totrevprm!O634="","",[1]totrevprm!O634)</f>
        <v/>
      </c>
    </row>
    <row r="635" spans="1:13">
      <c r="A635" s="49" t="s">
        <v>38</v>
      </c>
      <c r="B635" s="46" t="s">
        <v>417</v>
      </c>
      <c r="C635" s="50"/>
      <c r="D635" s="51">
        <v>2008</v>
      </c>
      <c r="E635" s="56">
        <v>1043494903</v>
      </c>
      <c r="F635" s="56">
        <v>1449898398</v>
      </c>
      <c r="G635" s="56">
        <v>3128095209</v>
      </c>
      <c r="H635" s="56">
        <v>0</v>
      </c>
      <c r="I635" s="54">
        <f t="shared" ref="I635:I699" si="11">SUM(E635:H635)</f>
        <v>5621488510</v>
      </c>
      <c r="J635" s="52">
        <v>0</v>
      </c>
      <c r="K635" s="61"/>
      <c r="M635" s="38" t="str">
        <f>IF([1]totrevprm!O635="","",[1]totrevprm!O635)</f>
        <v/>
      </c>
    </row>
    <row r="636" spans="1:13">
      <c r="A636" s="49" t="s">
        <v>38</v>
      </c>
      <c r="B636" s="46" t="s">
        <v>417</v>
      </c>
      <c r="C636" s="50"/>
      <c r="D636" s="51">
        <v>2009</v>
      </c>
      <c r="E636" s="56">
        <v>1135565677</v>
      </c>
      <c r="F636" s="56">
        <v>1391617049</v>
      </c>
      <c r="G636" s="56">
        <v>3362138626</v>
      </c>
      <c r="H636" s="56">
        <v>0</v>
      </c>
      <c r="I636" s="54">
        <f t="shared" si="11"/>
        <v>5889321352</v>
      </c>
      <c r="J636" s="52">
        <v>0</v>
      </c>
      <c r="K636" s="61"/>
      <c r="M636" s="38" t="str">
        <f>IF([1]totrevprm!O636="","",[1]totrevprm!O636)</f>
        <v/>
      </c>
    </row>
    <row r="637" spans="1:13">
      <c r="A637" s="49" t="s">
        <v>38</v>
      </c>
      <c r="B637" s="46" t="s">
        <v>417</v>
      </c>
      <c r="C637" s="50"/>
      <c r="D637" s="51">
        <v>2010</v>
      </c>
      <c r="E637" s="56">
        <v>1150998442</v>
      </c>
      <c r="F637" s="56">
        <v>1365534348</v>
      </c>
      <c r="G637" s="56">
        <v>3442502907</v>
      </c>
      <c r="H637" s="56">
        <v>0</v>
      </c>
      <c r="I637" s="54">
        <f t="shared" si="11"/>
        <v>5959035697</v>
      </c>
      <c r="J637" s="52">
        <v>0</v>
      </c>
      <c r="K637" s="61"/>
      <c r="M637" s="38" t="str">
        <f>IF([1]totrevprm!O637="","",[1]totrevprm!O637)</f>
        <v/>
      </c>
    </row>
    <row r="638" spans="1:13">
      <c r="A638" s="49" t="s">
        <v>38</v>
      </c>
      <c r="B638" s="46" t="s">
        <v>417</v>
      </c>
      <c r="C638" s="50"/>
      <c r="D638" s="51">
        <v>2011</v>
      </c>
      <c r="E638" s="56">
        <v>1228722059</v>
      </c>
      <c r="F638" s="56">
        <v>1360960701</v>
      </c>
      <c r="G638" s="56">
        <v>3403686174.5500002</v>
      </c>
      <c r="H638" s="56">
        <v>0</v>
      </c>
      <c r="I638" s="54">
        <f t="shared" si="11"/>
        <v>5993368934.5500002</v>
      </c>
      <c r="J638" s="52">
        <v>0</v>
      </c>
      <c r="K638" s="61"/>
      <c r="M638" s="38" t="str">
        <f>IF([1]totrevprm!O638="","",[1]totrevprm!O638)</f>
        <v/>
      </c>
    </row>
    <row r="639" spans="1:13">
      <c r="A639" s="49" t="s">
        <v>38</v>
      </c>
      <c r="B639" s="46" t="s">
        <v>417</v>
      </c>
      <c r="C639" s="50"/>
      <c r="D639" s="51">
        <v>2012</v>
      </c>
      <c r="E639" s="56">
        <v>1259867856</v>
      </c>
      <c r="F639" s="56">
        <v>1446360585</v>
      </c>
      <c r="G639" s="56">
        <v>3426986109</v>
      </c>
      <c r="H639" s="56">
        <v>0</v>
      </c>
      <c r="I639" s="54">
        <f t="shared" si="11"/>
        <v>6133214550</v>
      </c>
      <c r="J639" s="52">
        <v>0</v>
      </c>
      <c r="K639" s="61"/>
      <c r="M639" s="38" t="str">
        <f>IF([1]totrevprm!O639="","",[1]totrevprm!O639)</f>
        <v/>
      </c>
    </row>
    <row r="640" spans="1:13">
      <c r="A640" s="49" t="s">
        <v>38</v>
      </c>
      <c r="B640" s="46" t="s">
        <v>417</v>
      </c>
      <c r="C640" s="50"/>
      <c r="D640" s="51">
        <v>2013</v>
      </c>
      <c r="E640" s="56">
        <v>1248090426</v>
      </c>
      <c r="F640" s="56">
        <v>1388478638</v>
      </c>
      <c r="G640" s="56">
        <v>3325564629</v>
      </c>
      <c r="H640" s="56">
        <v>0</v>
      </c>
      <c r="I640" s="54">
        <f t="shared" si="11"/>
        <v>5962133693</v>
      </c>
      <c r="J640" s="52">
        <v>0</v>
      </c>
      <c r="K640" s="61"/>
      <c r="M640" s="38" t="str">
        <f>IF([1]totrevprm!O640="","",[1]totrevprm!O640)</f>
        <v/>
      </c>
    </row>
    <row r="641" spans="1:13">
      <c r="A641" s="49" t="s">
        <v>38</v>
      </c>
      <c r="B641" s="46" t="s">
        <v>417</v>
      </c>
      <c r="C641" s="50"/>
      <c r="D641" s="51">
        <v>2014</v>
      </c>
      <c r="E641" s="56">
        <v>1277538319</v>
      </c>
      <c r="F641" s="56">
        <v>1423705412</v>
      </c>
      <c r="G641" s="56">
        <v>3164031832.5900002</v>
      </c>
      <c r="H641" s="56">
        <v>0</v>
      </c>
      <c r="I641" s="54">
        <f t="shared" si="11"/>
        <v>5865275563.5900002</v>
      </c>
      <c r="J641" s="52">
        <v>0</v>
      </c>
      <c r="K641" s="61"/>
      <c r="M641" s="38" t="str">
        <f>IF([1]totrevprm!O641="","",[1]totrevprm!O641)</f>
        <v/>
      </c>
    </row>
    <row r="642" spans="1:13">
      <c r="A642" s="49" t="s">
        <v>38</v>
      </c>
      <c r="B642" s="46" t="s">
        <v>417</v>
      </c>
      <c r="C642" s="50"/>
      <c r="D642" s="51">
        <v>2015</v>
      </c>
      <c r="E642" s="56">
        <v>1384570264</v>
      </c>
      <c r="F642" s="56">
        <v>1867309307</v>
      </c>
      <c r="G642" s="56">
        <v>3258832099</v>
      </c>
      <c r="H642" s="56">
        <v>0</v>
      </c>
      <c r="I642" s="54">
        <f t="shared" si="11"/>
        <v>6510711670</v>
      </c>
      <c r="J642" s="52">
        <v>0</v>
      </c>
      <c r="K642" s="61"/>
      <c r="M642" s="38" t="str">
        <f>IF([1]totrevprm!O642="","",[1]totrevprm!O642)</f>
        <v/>
      </c>
    </row>
    <row r="643" spans="1:13">
      <c r="A643" s="49" t="s">
        <v>38</v>
      </c>
      <c r="B643" s="46" t="s">
        <v>417</v>
      </c>
      <c r="C643" s="50"/>
      <c r="D643" s="51">
        <v>2016</v>
      </c>
      <c r="E643" s="56">
        <v>1357444995</v>
      </c>
      <c r="F643" s="56">
        <v>1619161001</v>
      </c>
      <c r="G643" s="56">
        <v>3117655198</v>
      </c>
      <c r="H643" s="56">
        <v>0</v>
      </c>
      <c r="I643" s="54">
        <f t="shared" si="11"/>
        <v>6094261194</v>
      </c>
      <c r="J643" s="52">
        <v>0</v>
      </c>
      <c r="K643" s="61"/>
      <c r="M643" s="38" t="str">
        <f>IF([1]totrevprm!O643="","",[1]totrevprm!O643)</f>
        <v/>
      </c>
    </row>
    <row r="644" spans="1:13">
      <c r="A644" s="49" t="s">
        <v>38</v>
      </c>
      <c r="B644" s="46" t="s">
        <v>417</v>
      </c>
      <c r="C644" s="50"/>
      <c r="D644" s="51">
        <v>2017</v>
      </c>
      <c r="E644" s="56">
        <v>1341662334</v>
      </c>
      <c r="F644" s="56">
        <v>1639192301</v>
      </c>
      <c r="G644" s="56">
        <v>3151255024.46</v>
      </c>
      <c r="H644" s="56">
        <v>0</v>
      </c>
      <c r="I644" s="54">
        <f t="shared" si="11"/>
        <v>6132109659.46</v>
      </c>
      <c r="J644" s="52">
        <v>0</v>
      </c>
      <c r="K644" s="61"/>
      <c r="M644" s="38" t="str">
        <f>IF([1]totrevprm!O644="","",[1]totrevprm!O644)</f>
        <v/>
      </c>
    </row>
    <row r="645" spans="1:13">
      <c r="A645" s="49" t="s">
        <v>38</v>
      </c>
      <c r="B645" s="46" t="s">
        <v>417</v>
      </c>
      <c r="C645" s="50"/>
      <c r="D645" s="51">
        <v>2018</v>
      </c>
      <c r="E645" s="56">
        <v>1339302234</v>
      </c>
      <c r="F645" s="56">
        <v>1816607134</v>
      </c>
      <c r="G645" s="56">
        <v>3720087694.1300001</v>
      </c>
      <c r="H645" s="56">
        <v>0</v>
      </c>
      <c r="I645" s="54">
        <f t="shared" si="11"/>
        <v>6875997062.1300001</v>
      </c>
      <c r="J645" s="56">
        <v>0</v>
      </c>
      <c r="K645" s="61"/>
      <c r="M645" s="38" t="str">
        <f>IF([1]totrevprm!O645="","",[1]totrevprm!O645)</f>
        <v/>
      </c>
    </row>
    <row r="646" spans="1:13">
      <c r="A646" s="49" t="s">
        <v>38</v>
      </c>
      <c r="B646" s="46" t="s">
        <v>417</v>
      </c>
      <c r="C646" s="50"/>
      <c r="D646" s="51">
        <v>2019</v>
      </c>
      <c r="E646" s="56">
        <v>1370072952</v>
      </c>
      <c r="F646" s="56">
        <v>2029851023</v>
      </c>
      <c r="G646" s="56">
        <v>3798956168.4075999</v>
      </c>
      <c r="H646" s="56">
        <v>0</v>
      </c>
      <c r="I646" s="54">
        <f t="shared" si="11"/>
        <v>7198880143.4076004</v>
      </c>
      <c r="J646" s="56">
        <v>0</v>
      </c>
      <c r="K646" s="61"/>
      <c r="M646" s="38" t="str">
        <f>IF([1]totrevprm!O646="","",[1]totrevprm!O646)</f>
        <v/>
      </c>
    </row>
    <row r="647" spans="1:13">
      <c r="A647" s="49" t="s">
        <v>38</v>
      </c>
      <c r="B647" s="46" t="s">
        <v>417</v>
      </c>
      <c r="C647" s="50"/>
      <c r="D647" s="51">
        <v>2020</v>
      </c>
      <c r="E647" s="56">
        <v>1427338700</v>
      </c>
      <c r="F647" s="56">
        <v>1839292043</v>
      </c>
      <c r="G647" s="56">
        <v>3832936997</v>
      </c>
      <c r="H647" s="56">
        <v>0</v>
      </c>
      <c r="I647" s="54">
        <f t="shared" si="11"/>
        <v>7099567740</v>
      </c>
      <c r="J647" s="56">
        <v>0</v>
      </c>
      <c r="K647" s="61"/>
      <c r="M647" s="38" t="str">
        <f>IF([1]totrevprm!O647="","",[1]totrevprm!O647)</f>
        <v/>
      </c>
    </row>
    <row r="648" spans="1:13">
      <c r="A648" s="49" t="s">
        <v>38</v>
      </c>
      <c r="B648" s="46" t="s">
        <v>417</v>
      </c>
      <c r="C648" s="50"/>
      <c r="D648" s="51">
        <v>2021</v>
      </c>
      <c r="E648" s="56">
        <v>1480921721</v>
      </c>
      <c r="F648" s="56">
        <v>2080648274</v>
      </c>
      <c r="G648" s="56">
        <v>3662012535.4499998</v>
      </c>
      <c r="H648" s="56">
        <v>0</v>
      </c>
      <c r="I648" s="54">
        <f t="shared" si="11"/>
        <v>7223582530.4499998</v>
      </c>
      <c r="J648" s="56">
        <v>0</v>
      </c>
      <c r="K648" s="61"/>
      <c r="M648" s="38"/>
    </row>
    <row r="649" spans="1:13">
      <c r="A649" s="49" t="s">
        <v>38</v>
      </c>
      <c r="B649" s="46" t="s">
        <v>417</v>
      </c>
      <c r="C649" s="50"/>
      <c r="D649" s="51">
        <v>2022</v>
      </c>
      <c r="E649" s="56">
        <v>1477211861</v>
      </c>
      <c r="F649" s="56">
        <v>2325979323</v>
      </c>
      <c r="G649" s="56">
        <v>3981641007</v>
      </c>
      <c r="H649" s="56">
        <v>0</v>
      </c>
      <c r="I649" s="54">
        <f t="shared" si="11"/>
        <v>7784832191</v>
      </c>
      <c r="J649" s="56">
        <v>0</v>
      </c>
      <c r="K649" s="61"/>
      <c r="M649" s="38" t="str">
        <f>IF([1]totrevprm!O652="","",[1]totrevprm!O652)</f>
        <v/>
      </c>
    </row>
    <row r="650" spans="1:13">
      <c r="A650" s="49" t="s">
        <v>38</v>
      </c>
      <c r="B650" s="46" t="s">
        <v>417</v>
      </c>
      <c r="C650" s="50"/>
      <c r="D650" s="51">
        <v>2023</v>
      </c>
      <c r="E650" s="56">
        <v>1495046826</v>
      </c>
      <c r="F650" s="56">
        <v>3346186087.2856002</v>
      </c>
      <c r="G650" s="56">
        <v>4215294278.75</v>
      </c>
      <c r="H650" s="56">
        <v>0</v>
      </c>
      <c r="I650" s="54">
        <f t="shared" si="11"/>
        <v>9056527192.0356007</v>
      </c>
      <c r="J650" s="52">
        <v>0</v>
      </c>
      <c r="K650" s="61"/>
      <c r="M650" s="38"/>
    </row>
    <row r="651" spans="1:13">
      <c r="A651" s="49" t="s">
        <v>38</v>
      </c>
      <c r="B651" s="46" t="s">
        <v>417</v>
      </c>
      <c r="C651" s="50"/>
      <c r="D651" s="57">
        <v>2024</v>
      </c>
      <c r="E651" s="52">
        <v>1541475229.3699999</v>
      </c>
      <c r="F651" s="52">
        <v>3175537429.4899998</v>
      </c>
      <c r="G651" s="52">
        <v>4727517241.6199999</v>
      </c>
      <c r="H651" s="52">
        <v>0</v>
      </c>
      <c r="I651" s="54">
        <f t="shared" si="11"/>
        <v>9444529900.4799995</v>
      </c>
      <c r="J651" s="56">
        <v>0</v>
      </c>
      <c r="K651" s="60" t="s">
        <v>760</v>
      </c>
      <c r="M651" s="38"/>
    </row>
    <row r="652" spans="1:13">
      <c r="A652" s="49"/>
      <c r="C652" s="50"/>
      <c r="E652" s="53"/>
      <c r="F652" s="53"/>
      <c r="G652" s="53"/>
      <c r="H652" s="53"/>
      <c r="I652" s="54"/>
      <c r="J652" s="52"/>
      <c r="K652" s="61"/>
      <c r="M652" s="38"/>
    </row>
    <row r="653" spans="1:13">
      <c r="A653" s="49" t="s">
        <v>40</v>
      </c>
      <c r="B653" s="46" t="s">
        <v>539</v>
      </c>
      <c r="C653" s="50" t="s">
        <v>731</v>
      </c>
      <c r="D653" s="51">
        <v>1988</v>
      </c>
      <c r="E653" s="53">
        <v>652323525</v>
      </c>
      <c r="F653" s="53">
        <v>462752555</v>
      </c>
      <c r="G653" s="53">
        <v>1001179311</v>
      </c>
      <c r="H653" s="53">
        <v>0</v>
      </c>
      <c r="I653" s="54">
        <f t="shared" si="11"/>
        <v>2116255391</v>
      </c>
      <c r="J653" s="52">
        <v>0</v>
      </c>
      <c r="K653" s="61"/>
      <c r="M653" s="38" t="str">
        <f>IF([1]totrevprm!O653="","",[1]totrevprm!O653)</f>
        <v/>
      </c>
    </row>
    <row r="654" spans="1:13">
      <c r="A654" s="49" t="s">
        <v>40</v>
      </c>
      <c r="B654" s="46" t="s">
        <v>539</v>
      </c>
      <c r="C654" s="50" t="s">
        <v>732</v>
      </c>
      <c r="D654" s="51">
        <v>1989</v>
      </c>
      <c r="E654" s="53">
        <v>681252108</v>
      </c>
      <c r="F654" s="53">
        <v>402109921</v>
      </c>
      <c r="G654" s="53">
        <v>976169464</v>
      </c>
      <c r="H654" s="53">
        <v>0</v>
      </c>
      <c r="I654" s="54">
        <f t="shared" si="11"/>
        <v>2059531493</v>
      </c>
      <c r="J654" s="52">
        <v>0</v>
      </c>
      <c r="K654" s="61"/>
      <c r="M654" s="38" t="str">
        <f>IF([1]totrevprm!O654="","",[1]totrevprm!O654)</f>
        <v/>
      </c>
    </row>
    <row r="655" spans="1:13">
      <c r="A655" s="49" t="s">
        <v>40</v>
      </c>
      <c r="B655" s="46" t="s">
        <v>539</v>
      </c>
      <c r="C655" s="50" t="s">
        <v>732</v>
      </c>
      <c r="D655" s="51">
        <v>1990</v>
      </c>
      <c r="E655" s="53">
        <v>702834652</v>
      </c>
      <c r="F655" s="53">
        <v>562093109.12</v>
      </c>
      <c r="G655" s="53">
        <v>1028577699</v>
      </c>
      <c r="H655" s="53">
        <v>0</v>
      </c>
      <c r="I655" s="54">
        <f t="shared" si="11"/>
        <v>2293505460.1199999</v>
      </c>
      <c r="J655" s="52">
        <v>0</v>
      </c>
      <c r="K655" s="61"/>
      <c r="M655" s="38" t="str">
        <f>IF([1]totrevprm!O655="","",[1]totrevprm!O655)</f>
        <v/>
      </c>
    </row>
    <row r="656" spans="1:13">
      <c r="A656" s="49" t="s">
        <v>40</v>
      </c>
      <c r="B656" s="46" t="s">
        <v>539</v>
      </c>
      <c r="C656" s="50" t="s">
        <v>732</v>
      </c>
      <c r="D656" s="51">
        <v>1991</v>
      </c>
      <c r="E656" s="53">
        <v>804298095</v>
      </c>
      <c r="F656" s="53">
        <v>407490577</v>
      </c>
      <c r="G656" s="53">
        <v>1040899763</v>
      </c>
      <c r="H656" s="53">
        <v>0</v>
      </c>
      <c r="I656" s="54">
        <f t="shared" si="11"/>
        <v>2252688435</v>
      </c>
      <c r="J656" s="52">
        <v>0</v>
      </c>
      <c r="K656" s="61"/>
      <c r="M656" s="38" t="str">
        <f>IF([1]totrevprm!O656="","",[1]totrevprm!O656)</f>
        <v/>
      </c>
    </row>
    <row r="657" spans="1:13">
      <c r="A657" s="49" t="s">
        <v>40</v>
      </c>
      <c r="B657" s="46" t="s">
        <v>539</v>
      </c>
      <c r="C657" s="50" t="s">
        <v>732</v>
      </c>
      <c r="D657" s="51">
        <v>1992</v>
      </c>
      <c r="E657" s="53">
        <v>863449882</v>
      </c>
      <c r="F657" s="53">
        <v>477039571.24000001</v>
      </c>
      <c r="G657" s="53">
        <v>1046400494</v>
      </c>
      <c r="H657" s="53">
        <v>0</v>
      </c>
      <c r="I657" s="54">
        <f t="shared" si="11"/>
        <v>2386889947.2399998</v>
      </c>
      <c r="J657" s="52">
        <v>0</v>
      </c>
      <c r="K657" s="61"/>
      <c r="M657" s="38" t="str">
        <f>IF([1]totrevprm!O657="","",[1]totrevprm!O657)</f>
        <v/>
      </c>
    </row>
    <row r="658" spans="1:13">
      <c r="A658" s="49" t="s">
        <v>40</v>
      </c>
      <c r="B658" s="46" t="s">
        <v>539</v>
      </c>
      <c r="C658" s="50" t="s">
        <v>732</v>
      </c>
      <c r="D658" s="51">
        <v>1993</v>
      </c>
      <c r="E658" s="53">
        <v>981759182</v>
      </c>
      <c r="F658" s="53">
        <v>420968556</v>
      </c>
      <c r="G658" s="53">
        <v>731975034</v>
      </c>
      <c r="H658" s="53">
        <v>0</v>
      </c>
      <c r="I658" s="54">
        <f t="shared" si="11"/>
        <v>2134702772</v>
      </c>
      <c r="J658" s="52">
        <v>0</v>
      </c>
      <c r="K658" s="61"/>
      <c r="M658" s="38" t="str">
        <f>IF([1]totrevprm!O658="","",[1]totrevprm!O658)</f>
        <v/>
      </c>
    </row>
    <row r="659" spans="1:13">
      <c r="A659" s="49" t="s">
        <v>40</v>
      </c>
      <c r="B659" s="46" t="s">
        <v>539</v>
      </c>
      <c r="C659" s="50" t="s">
        <v>732</v>
      </c>
      <c r="D659" s="51">
        <v>1994</v>
      </c>
      <c r="E659" s="53">
        <v>1041084278</v>
      </c>
      <c r="F659" s="53">
        <v>435895513</v>
      </c>
      <c r="G659" s="53">
        <v>754992840</v>
      </c>
      <c r="H659" s="53">
        <v>0</v>
      </c>
      <c r="I659" s="54">
        <f t="shared" si="11"/>
        <v>2231972631</v>
      </c>
      <c r="J659" s="52">
        <v>0</v>
      </c>
      <c r="K659" s="61"/>
      <c r="M659" s="38" t="str">
        <f>IF([1]totrevprm!O659="","",[1]totrevprm!O659)</f>
        <v/>
      </c>
    </row>
    <row r="660" spans="1:13">
      <c r="A660" s="49" t="s">
        <v>40</v>
      </c>
      <c r="B660" s="46" t="s">
        <v>539</v>
      </c>
      <c r="C660" s="50" t="s">
        <v>732</v>
      </c>
      <c r="D660" s="51">
        <v>1995</v>
      </c>
      <c r="E660" s="53">
        <v>1118838559</v>
      </c>
      <c r="F660" s="53">
        <v>505290615</v>
      </c>
      <c r="G660" s="53">
        <v>775041380</v>
      </c>
      <c r="H660" s="53">
        <v>0</v>
      </c>
      <c r="I660" s="54">
        <f t="shared" si="11"/>
        <v>2399170554</v>
      </c>
      <c r="J660" s="52">
        <v>0</v>
      </c>
      <c r="K660" s="61"/>
      <c r="M660" s="38" t="str">
        <f>IF([1]totrevprm!O660="","",[1]totrevprm!O660)</f>
        <v/>
      </c>
    </row>
    <row r="661" spans="1:13">
      <c r="A661" s="49" t="s">
        <v>40</v>
      </c>
      <c r="B661" s="46" t="s">
        <v>539</v>
      </c>
      <c r="C661" s="50" t="s">
        <v>732</v>
      </c>
      <c r="D661" s="51">
        <v>1996</v>
      </c>
      <c r="E661" s="53">
        <v>1048384540</v>
      </c>
      <c r="F661" s="53">
        <v>510101586</v>
      </c>
      <c r="G661" s="53">
        <v>731273244</v>
      </c>
      <c r="H661" s="53">
        <v>0</v>
      </c>
      <c r="I661" s="54">
        <f t="shared" si="11"/>
        <v>2289759370</v>
      </c>
      <c r="J661" s="52">
        <v>0</v>
      </c>
      <c r="K661" s="61"/>
      <c r="M661" s="38" t="str">
        <f>IF([1]totrevprm!O661="","",[1]totrevprm!O661)</f>
        <v/>
      </c>
    </row>
    <row r="662" spans="1:13">
      <c r="A662" s="49" t="s">
        <v>40</v>
      </c>
      <c r="B662" s="46" t="s">
        <v>539</v>
      </c>
      <c r="C662" s="50" t="s">
        <v>732</v>
      </c>
      <c r="D662" s="51">
        <v>1997</v>
      </c>
      <c r="E662" s="53">
        <v>1036170128</v>
      </c>
      <c r="F662" s="53">
        <v>614634514</v>
      </c>
      <c r="G662" s="53">
        <v>698776603</v>
      </c>
      <c r="H662" s="53">
        <v>0</v>
      </c>
      <c r="I662" s="54">
        <f t="shared" si="11"/>
        <v>2349581245</v>
      </c>
      <c r="J662" s="52">
        <v>0</v>
      </c>
      <c r="K662" s="61"/>
      <c r="M662" s="38" t="str">
        <f>IF([1]totrevprm!O662="","",[1]totrevprm!O662)</f>
        <v/>
      </c>
    </row>
    <row r="663" spans="1:13">
      <c r="A663" s="49" t="s">
        <v>40</v>
      </c>
      <c r="B663" s="46" t="s">
        <v>539</v>
      </c>
      <c r="C663" s="50" t="s">
        <v>732</v>
      </c>
      <c r="D663" s="51">
        <v>1998</v>
      </c>
      <c r="E663" s="53">
        <v>1016179966</v>
      </c>
      <c r="F663" s="53">
        <v>498080187</v>
      </c>
      <c r="G663" s="53">
        <v>837252702</v>
      </c>
      <c r="H663" s="53">
        <v>0</v>
      </c>
      <c r="I663" s="54">
        <f t="shared" si="11"/>
        <v>2351512855</v>
      </c>
      <c r="J663" s="52">
        <v>0</v>
      </c>
      <c r="K663" s="61"/>
      <c r="M663" s="38" t="str">
        <f>IF([1]totrevprm!O663="","",[1]totrevprm!O663)</f>
        <v/>
      </c>
    </row>
    <row r="664" spans="1:13">
      <c r="A664" s="49" t="s">
        <v>40</v>
      </c>
      <c r="B664" s="46" t="s">
        <v>539</v>
      </c>
      <c r="C664" s="50" t="s">
        <v>771</v>
      </c>
      <c r="D664" s="51">
        <v>1999</v>
      </c>
      <c r="E664" s="53">
        <v>987288799</v>
      </c>
      <c r="F664" s="53">
        <v>709438478</v>
      </c>
      <c r="G664" s="53">
        <v>812187543</v>
      </c>
      <c r="H664" s="53">
        <v>0</v>
      </c>
      <c r="I664" s="54">
        <f t="shared" si="11"/>
        <v>2508914820</v>
      </c>
      <c r="J664" s="52">
        <v>0</v>
      </c>
      <c r="K664" s="61"/>
      <c r="M664" s="38" t="str">
        <f>IF([1]totrevprm!O664="","",[1]totrevprm!O664)</f>
        <v/>
      </c>
    </row>
    <row r="665" spans="1:13">
      <c r="A665" s="49" t="s">
        <v>40</v>
      </c>
      <c r="B665" s="46" t="s">
        <v>539</v>
      </c>
      <c r="C665" s="50" t="s">
        <v>732</v>
      </c>
      <c r="D665" s="51">
        <v>2000</v>
      </c>
      <c r="E665" s="53">
        <v>1006135905</v>
      </c>
      <c r="F665" s="53">
        <v>670789512</v>
      </c>
      <c r="G665" s="53">
        <v>952658524</v>
      </c>
      <c r="H665" s="53">
        <v>0</v>
      </c>
      <c r="I665" s="54">
        <f t="shared" si="11"/>
        <v>2629583941</v>
      </c>
      <c r="J665" s="52">
        <v>0</v>
      </c>
      <c r="K665" s="61"/>
      <c r="M665" s="38" t="str">
        <f>IF([1]totrevprm!O665="","",[1]totrevprm!O665)</f>
        <v/>
      </c>
    </row>
    <row r="666" spans="1:13">
      <c r="A666" s="49" t="s">
        <v>40</v>
      </c>
      <c r="B666" s="46" t="s">
        <v>539</v>
      </c>
      <c r="C666" s="50" t="s">
        <v>732</v>
      </c>
      <c r="D666" s="51">
        <v>2001</v>
      </c>
      <c r="E666" s="53">
        <v>1034106318</v>
      </c>
      <c r="F666" s="53">
        <v>1286370885</v>
      </c>
      <c r="G666" s="53">
        <v>999827130</v>
      </c>
      <c r="H666" s="53">
        <v>0</v>
      </c>
      <c r="I666" s="54">
        <f t="shared" si="11"/>
        <v>3320304333</v>
      </c>
      <c r="J666" s="52">
        <v>0</v>
      </c>
      <c r="K666" s="61"/>
      <c r="M666" s="38" t="str">
        <f>IF([1]totrevprm!O666="","",[1]totrevprm!O666)</f>
        <v/>
      </c>
    </row>
    <row r="667" spans="1:13">
      <c r="A667" s="49" t="s">
        <v>40</v>
      </c>
      <c r="B667" s="46" t="s">
        <v>539</v>
      </c>
      <c r="C667" s="50" t="s">
        <v>732</v>
      </c>
      <c r="D667" s="51">
        <v>2002</v>
      </c>
      <c r="E667" s="53">
        <v>1073349608</v>
      </c>
      <c r="F667" s="53">
        <v>1410082719</v>
      </c>
      <c r="G667" s="53">
        <v>898097907</v>
      </c>
      <c r="H667" s="53">
        <v>0</v>
      </c>
      <c r="I667" s="54">
        <f t="shared" si="11"/>
        <v>3381530234</v>
      </c>
      <c r="J667" s="52">
        <v>0</v>
      </c>
      <c r="K667" s="61"/>
      <c r="M667" s="38" t="str">
        <f>IF([1]totrevprm!O667="","",[1]totrevprm!O667)</f>
        <v/>
      </c>
    </row>
    <row r="668" spans="1:13">
      <c r="A668" s="49" t="s">
        <v>40</v>
      </c>
      <c r="B668" s="46" t="s">
        <v>539</v>
      </c>
      <c r="C668" s="50" t="s">
        <v>732</v>
      </c>
      <c r="D668" s="51">
        <v>2003</v>
      </c>
      <c r="E668" s="55">
        <v>1141455141</v>
      </c>
      <c r="F668" s="55">
        <v>1328408034</v>
      </c>
      <c r="G668" s="55">
        <v>936642768</v>
      </c>
      <c r="H668" s="53">
        <v>0</v>
      </c>
      <c r="I668" s="54">
        <f t="shared" si="11"/>
        <v>3406505943</v>
      </c>
      <c r="J668" s="52">
        <v>0</v>
      </c>
      <c r="K668" s="61"/>
      <c r="M668" s="38" t="str">
        <f>IF([1]totrevprm!O668="","",[1]totrevprm!O668)</f>
        <v/>
      </c>
    </row>
    <row r="669" spans="1:13">
      <c r="A669" s="49" t="s">
        <v>40</v>
      </c>
      <c r="B669" s="46" t="s">
        <v>539</v>
      </c>
      <c r="C669" s="50" t="s">
        <v>732</v>
      </c>
      <c r="D669" s="51">
        <v>2004</v>
      </c>
      <c r="E669" s="55">
        <v>1107634880</v>
      </c>
      <c r="F669" s="55">
        <v>1170347703</v>
      </c>
      <c r="G669" s="55">
        <v>968547951</v>
      </c>
      <c r="H669" s="53">
        <v>0</v>
      </c>
      <c r="I669" s="54">
        <f t="shared" si="11"/>
        <v>3246530534</v>
      </c>
      <c r="J669" s="52">
        <v>0</v>
      </c>
      <c r="K669" s="61"/>
      <c r="M669" s="38" t="str">
        <f>IF([1]totrevprm!O669="","",[1]totrevprm!O669)</f>
        <v/>
      </c>
    </row>
    <row r="670" spans="1:13">
      <c r="A670" s="49" t="s">
        <v>40</v>
      </c>
      <c r="B670" s="46" t="s">
        <v>539</v>
      </c>
      <c r="C670" s="50"/>
      <c r="D670" s="51">
        <v>2005</v>
      </c>
      <c r="E670" s="55">
        <v>1110285158</v>
      </c>
      <c r="F670" s="55">
        <v>1099669233</v>
      </c>
      <c r="G670" s="55">
        <v>1283024515.95</v>
      </c>
      <c r="H670" s="53">
        <v>0</v>
      </c>
      <c r="I670" s="54">
        <f t="shared" si="11"/>
        <v>3492978906.9499998</v>
      </c>
      <c r="J670" s="52">
        <v>0</v>
      </c>
      <c r="K670" s="61"/>
      <c r="M670" s="38" t="str">
        <f>IF([1]totrevprm!O670="","",[1]totrevprm!O670)</f>
        <v/>
      </c>
    </row>
    <row r="671" spans="1:13">
      <c r="A671" s="49" t="s">
        <v>40</v>
      </c>
      <c r="B671" s="46" t="s">
        <v>539</v>
      </c>
      <c r="C671" s="50"/>
      <c r="D671" s="51">
        <v>2006</v>
      </c>
      <c r="E671" s="56">
        <v>1163221523</v>
      </c>
      <c r="F671" s="56">
        <v>1247202232</v>
      </c>
      <c r="G671" s="56">
        <v>1286015510</v>
      </c>
      <c r="H671" s="56">
        <v>0</v>
      </c>
      <c r="I671" s="54">
        <f t="shared" si="11"/>
        <v>3696439265</v>
      </c>
      <c r="J671" s="52">
        <v>0</v>
      </c>
      <c r="K671" s="61"/>
      <c r="M671" s="38" t="str">
        <f>IF([1]totrevprm!O671="","",[1]totrevprm!O671)</f>
        <v/>
      </c>
    </row>
    <row r="672" spans="1:13">
      <c r="A672" s="49" t="s">
        <v>40</v>
      </c>
      <c r="B672" s="46" t="s">
        <v>539</v>
      </c>
      <c r="C672" s="50"/>
      <c r="D672" s="51">
        <v>2007</v>
      </c>
      <c r="E672" s="56">
        <v>1243919628</v>
      </c>
      <c r="F672" s="56">
        <v>1232775015</v>
      </c>
      <c r="G672" s="56">
        <v>1544414075</v>
      </c>
      <c r="H672" s="56">
        <v>0</v>
      </c>
      <c r="I672" s="54">
        <f t="shared" si="11"/>
        <v>4021108718</v>
      </c>
      <c r="J672" s="52">
        <v>0</v>
      </c>
      <c r="K672" s="61"/>
      <c r="M672" s="38" t="str">
        <f>IF([1]totrevprm!O672="","",[1]totrevprm!O672)</f>
        <v/>
      </c>
    </row>
    <row r="673" spans="1:13">
      <c r="A673" s="49" t="s">
        <v>40</v>
      </c>
      <c r="B673" s="46" t="s">
        <v>539</v>
      </c>
      <c r="C673" s="50"/>
      <c r="D673" s="51">
        <v>2008</v>
      </c>
      <c r="E673" s="56">
        <v>1257367964</v>
      </c>
      <c r="F673" s="56">
        <v>1833788112</v>
      </c>
      <c r="G673" s="56">
        <v>1553840626</v>
      </c>
      <c r="H673" s="56">
        <v>0</v>
      </c>
      <c r="I673" s="54">
        <f t="shared" si="11"/>
        <v>4644996702</v>
      </c>
      <c r="J673" s="52">
        <v>0</v>
      </c>
      <c r="K673" s="61"/>
      <c r="M673" s="38" t="str">
        <f>IF([1]totrevprm!O673="","",[1]totrevprm!O673)</f>
        <v/>
      </c>
    </row>
    <row r="674" spans="1:13">
      <c r="A674" s="49" t="s">
        <v>40</v>
      </c>
      <c r="B674" s="46" t="s">
        <v>539</v>
      </c>
      <c r="C674" s="50"/>
      <c r="D674" s="51">
        <v>2009</v>
      </c>
      <c r="E674" s="56">
        <v>1345992502</v>
      </c>
      <c r="F674" s="56">
        <v>1706872729</v>
      </c>
      <c r="G674" s="52">
        <v>1462517156</v>
      </c>
      <c r="H674" s="56">
        <v>0</v>
      </c>
      <c r="I674" s="54">
        <f t="shared" si="11"/>
        <v>4515382387</v>
      </c>
      <c r="J674" s="52">
        <v>0</v>
      </c>
      <c r="K674" s="61"/>
      <c r="M674" s="38" t="str">
        <f>IF([1]totrevprm!O674="","",[1]totrevprm!O674)</f>
        <v/>
      </c>
    </row>
    <row r="675" spans="1:13">
      <c r="A675" s="49" t="s">
        <v>40</v>
      </c>
      <c r="B675" s="46" t="s">
        <v>539</v>
      </c>
      <c r="C675" s="50"/>
      <c r="D675" s="51">
        <v>2010</v>
      </c>
      <c r="E675" s="56">
        <v>1394249614</v>
      </c>
      <c r="F675" s="56">
        <v>1399366794</v>
      </c>
      <c r="G675" s="55">
        <v>1669040768</v>
      </c>
      <c r="H675" s="56">
        <v>0</v>
      </c>
      <c r="I675" s="54">
        <f t="shared" si="11"/>
        <v>4462657176</v>
      </c>
      <c r="J675" s="52">
        <v>0</v>
      </c>
      <c r="K675" s="61"/>
      <c r="M675" s="38" t="str">
        <f>IF([1]totrevprm!O675="","",[1]totrevprm!O675)</f>
        <v/>
      </c>
    </row>
    <row r="676" spans="1:13">
      <c r="A676" s="49" t="s">
        <v>40</v>
      </c>
      <c r="B676" s="46" t="s">
        <v>539</v>
      </c>
      <c r="C676" s="50"/>
      <c r="D676" s="51">
        <v>2011</v>
      </c>
      <c r="E676" s="56">
        <v>1424784306</v>
      </c>
      <c r="F676" s="56">
        <v>1456098579</v>
      </c>
      <c r="G676" s="55">
        <v>1544028048.6199999</v>
      </c>
      <c r="H676" s="56">
        <v>-4</v>
      </c>
      <c r="I676" s="54">
        <f t="shared" si="11"/>
        <v>4424910929.6199999</v>
      </c>
      <c r="J676" s="52">
        <v>0</v>
      </c>
      <c r="K676" s="61"/>
      <c r="M676" s="38" t="str">
        <f>IF([1]totrevprm!O676="","",[1]totrevprm!O676)</f>
        <v/>
      </c>
    </row>
    <row r="677" spans="1:13">
      <c r="A677" s="49" t="s">
        <v>40</v>
      </c>
      <c r="B677" s="46" t="s">
        <v>539</v>
      </c>
      <c r="C677" s="50"/>
      <c r="D677" s="51">
        <v>2012</v>
      </c>
      <c r="E677" s="56">
        <v>1486455080</v>
      </c>
      <c r="F677" s="56">
        <v>1464591691</v>
      </c>
      <c r="G677" s="55">
        <v>1452641858</v>
      </c>
      <c r="H677" s="56">
        <v>0</v>
      </c>
      <c r="I677" s="54">
        <f t="shared" si="11"/>
        <v>4403688629</v>
      </c>
      <c r="J677" s="52">
        <v>0</v>
      </c>
      <c r="K677" s="61"/>
      <c r="M677" s="38" t="str">
        <f>IF([1]totrevprm!O677="","",[1]totrevprm!O677)</f>
        <v/>
      </c>
    </row>
    <row r="678" spans="1:13">
      <c r="A678" s="49" t="s">
        <v>40</v>
      </c>
      <c r="B678" s="46" t="s">
        <v>539</v>
      </c>
      <c r="C678" s="50"/>
      <c r="D678" s="51">
        <v>2013</v>
      </c>
      <c r="E678" s="56">
        <v>1502151387</v>
      </c>
      <c r="F678" s="56">
        <v>1632274368</v>
      </c>
      <c r="G678" s="55">
        <v>1374009097</v>
      </c>
      <c r="H678" s="56">
        <v>0</v>
      </c>
      <c r="I678" s="54">
        <f t="shared" si="11"/>
        <v>4508434852</v>
      </c>
      <c r="J678" s="52">
        <v>0</v>
      </c>
      <c r="K678" s="61"/>
      <c r="M678" s="38" t="str">
        <f>IF([1]totrevprm!O678="","",[1]totrevprm!O678)</f>
        <v/>
      </c>
    </row>
    <row r="679" spans="1:13">
      <c r="A679" s="49" t="s">
        <v>40</v>
      </c>
      <c r="B679" s="46" t="s">
        <v>539</v>
      </c>
      <c r="C679" s="50"/>
      <c r="D679" s="51">
        <v>2014</v>
      </c>
      <c r="E679" s="56">
        <v>1497797543</v>
      </c>
      <c r="F679" s="56">
        <v>1599690775</v>
      </c>
      <c r="G679" s="55">
        <v>1534732963.3000002</v>
      </c>
      <c r="H679" s="56">
        <v>0</v>
      </c>
      <c r="I679" s="54">
        <f t="shared" si="11"/>
        <v>4632221281.3000002</v>
      </c>
      <c r="J679" s="52">
        <v>0</v>
      </c>
      <c r="K679" s="61"/>
      <c r="M679" s="38" t="str">
        <f>IF([1]totrevprm!O679="","",[1]totrevprm!O679)</f>
        <v/>
      </c>
    </row>
    <row r="680" spans="1:13">
      <c r="A680" s="49" t="s">
        <v>40</v>
      </c>
      <c r="B680" s="46" t="s">
        <v>539</v>
      </c>
      <c r="C680" s="50"/>
      <c r="D680" s="51">
        <v>2015</v>
      </c>
      <c r="E680" s="56">
        <v>1500646216</v>
      </c>
      <c r="F680" s="56">
        <v>1803179607</v>
      </c>
      <c r="G680" s="55">
        <v>1327295134</v>
      </c>
      <c r="H680" s="56">
        <v>0</v>
      </c>
      <c r="I680" s="54">
        <f t="shared" si="11"/>
        <v>4631120957</v>
      </c>
      <c r="J680" s="52">
        <v>0</v>
      </c>
      <c r="K680" s="61"/>
      <c r="M680" s="38" t="str">
        <f>IF([1]totrevprm!O680="","",[1]totrevprm!O680)</f>
        <v/>
      </c>
    </row>
    <row r="681" spans="1:13">
      <c r="A681" s="49" t="s">
        <v>40</v>
      </c>
      <c r="B681" s="46" t="s">
        <v>539</v>
      </c>
      <c r="C681" s="50"/>
      <c r="D681" s="51">
        <v>2016</v>
      </c>
      <c r="E681" s="56">
        <v>1568121815</v>
      </c>
      <c r="F681" s="56">
        <v>2007957335</v>
      </c>
      <c r="G681" s="52">
        <v>1371595275</v>
      </c>
      <c r="H681" s="56">
        <v>0</v>
      </c>
      <c r="I681" s="54">
        <f t="shared" si="11"/>
        <v>4947674425</v>
      </c>
      <c r="J681" s="52">
        <v>0</v>
      </c>
      <c r="K681" s="61"/>
      <c r="M681" s="38" t="str">
        <f>IF([1]totrevprm!O681="","",[1]totrevprm!O681)</f>
        <v/>
      </c>
    </row>
    <row r="682" spans="1:13">
      <c r="A682" s="49" t="s">
        <v>40</v>
      </c>
      <c r="B682" s="46" t="s">
        <v>539</v>
      </c>
      <c r="C682" s="50"/>
      <c r="D682" s="51">
        <v>2017</v>
      </c>
      <c r="E682" s="56">
        <v>1588059038</v>
      </c>
      <c r="F682" s="56">
        <v>2286474706</v>
      </c>
      <c r="G682" s="52">
        <v>1406756599.0900002</v>
      </c>
      <c r="H682" s="56">
        <v>0</v>
      </c>
      <c r="I682" s="54">
        <f t="shared" si="11"/>
        <v>5281290343.0900002</v>
      </c>
      <c r="J682" s="52">
        <v>0</v>
      </c>
      <c r="K682" s="61"/>
      <c r="M682" s="38" t="str">
        <f>IF([1]totrevprm!O682="","",[1]totrevprm!O682)</f>
        <v/>
      </c>
    </row>
    <row r="683" spans="1:13">
      <c r="A683" s="49" t="s">
        <v>40</v>
      </c>
      <c r="B683" s="46" t="s">
        <v>539</v>
      </c>
      <c r="C683" s="50"/>
      <c r="D683" s="51">
        <v>2018</v>
      </c>
      <c r="E683" s="56">
        <v>1621556566</v>
      </c>
      <c r="F683" s="56">
        <v>2211928701</v>
      </c>
      <c r="G683" s="52">
        <v>1424515424.01</v>
      </c>
      <c r="H683" s="56">
        <v>0</v>
      </c>
      <c r="I683" s="54">
        <f t="shared" si="11"/>
        <v>5258000691.0100002</v>
      </c>
      <c r="J683" s="56">
        <v>0</v>
      </c>
      <c r="K683" s="61"/>
      <c r="M683" s="38" t="str">
        <f>IF([1]totrevprm!O683="","",[1]totrevprm!O683)</f>
        <v/>
      </c>
    </row>
    <row r="684" spans="1:13">
      <c r="A684" s="49" t="s">
        <v>40</v>
      </c>
      <c r="B684" s="46" t="s">
        <v>539</v>
      </c>
      <c r="C684" s="50"/>
      <c r="D684" s="51">
        <v>2019</v>
      </c>
      <c r="E684" s="56">
        <v>1672262323</v>
      </c>
      <c r="F684" s="56">
        <v>2390812185</v>
      </c>
      <c r="G684" s="52">
        <v>4318348757.3038998</v>
      </c>
      <c r="H684" s="56">
        <v>0</v>
      </c>
      <c r="I684" s="54">
        <f t="shared" si="11"/>
        <v>8381423265.3038998</v>
      </c>
      <c r="J684" s="56">
        <v>0</v>
      </c>
      <c r="K684" s="61" t="s">
        <v>772</v>
      </c>
      <c r="L684" t="s">
        <v>720</v>
      </c>
      <c r="M684" s="38" t="str">
        <f>IF([1]totrevprm!O684="","",[1]totrevprm!O684)</f>
        <v>Yes</v>
      </c>
    </row>
    <row r="685" spans="1:13">
      <c r="A685" s="49" t="s">
        <v>40</v>
      </c>
      <c r="B685" s="46" t="s">
        <v>539</v>
      </c>
      <c r="C685" s="50"/>
      <c r="D685" s="51">
        <v>2020</v>
      </c>
      <c r="E685" s="56">
        <v>1664027433</v>
      </c>
      <c r="F685" s="56">
        <v>2502154084</v>
      </c>
      <c r="G685" s="56">
        <v>4301091095</v>
      </c>
      <c r="H685" s="56">
        <v>0</v>
      </c>
      <c r="I685" s="54">
        <f t="shared" si="11"/>
        <v>8467272612</v>
      </c>
      <c r="J685" s="56">
        <v>0</v>
      </c>
      <c r="K685" s="61" t="s">
        <v>739</v>
      </c>
      <c r="L685" t="s">
        <v>720</v>
      </c>
      <c r="M685" s="38" t="str">
        <f>IF([1]totrevprm!O685="","",[1]totrevprm!O685)</f>
        <v/>
      </c>
    </row>
    <row r="686" spans="1:13">
      <c r="A686" s="49" t="s">
        <v>40</v>
      </c>
      <c r="B686" s="46" t="s">
        <v>539</v>
      </c>
      <c r="C686" s="50"/>
      <c r="D686" s="51">
        <v>2021</v>
      </c>
      <c r="E686" s="56">
        <v>1728055129</v>
      </c>
      <c r="F686" s="56">
        <v>2586547648</v>
      </c>
      <c r="G686" s="56">
        <v>4162381769</v>
      </c>
      <c r="H686" s="56">
        <v>0</v>
      </c>
      <c r="I686" s="54">
        <f t="shared" si="11"/>
        <v>8476984546</v>
      </c>
      <c r="J686" s="56">
        <v>0</v>
      </c>
      <c r="K686" s="61" t="s">
        <v>739</v>
      </c>
      <c r="L686" t="s">
        <v>720</v>
      </c>
      <c r="M686" s="38"/>
    </row>
    <row r="687" spans="1:13">
      <c r="A687" s="49" t="s">
        <v>40</v>
      </c>
      <c r="B687" s="46" t="s">
        <v>539</v>
      </c>
      <c r="C687" s="50"/>
      <c r="D687" s="51">
        <v>2022</v>
      </c>
      <c r="E687" s="56">
        <v>1825615325</v>
      </c>
      <c r="F687" s="56">
        <v>3729415646</v>
      </c>
      <c r="G687" s="56">
        <v>4166774755</v>
      </c>
      <c r="H687" s="56">
        <v>0</v>
      </c>
      <c r="I687" s="54">
        <f t="shared" si="11"/>
        <v>9721805726</v>
      </c>
      <c r="J687" s="56">
        <v>0</v>
      </c>
      <c r="K687" s="61" t="s">
        <v>739</v>
      </c>
      <c r="M687" s="38" t="str">
        <f>IF([1]totrevprm!O690="","",[1]totrevprm!O690)</f>
        <v/>
      </c>
    </row>
    <row r="688" spans="1:13">
      <c r="A688" s="49" t="s">
        <v>40</v>
      </c>
      <c r="B688" s="46" t="s">
        <v>539</v>
      </c>
      <c r="C688" s="50"/>
      <c r="D688" s="51">
        <v>2023</v>
      </c>
      <c r="E688" s="56">
        <v>1844567958</v>
      </c>
      <c r="F688" s="56">
        <v>4051988445.7575002</v>
      </c>
      <c r="G688" s="56">
        <v>4194866394.3295999</v>
      </c>
      <c r="H688" s="56">
        <v>0</v>
      </c>
      <c r="I688" s="54">
        <f t="shared" si="11"/>
        <v>10091422798.087099</v>
      </c>
      <c r="J688" s="52">
        <v>0</v>
      </c>
      <c r="K688" s="61" t="s">
        <v>739</v>
      </c>
      <c r="M688" s="38"/>
    </row>
    <row r="689" spans="1:13">
      <c r="A689" s="49" t="s">
        <v>40</v>
      </c>
      <c r="B689" s="46" t="s">
        <v>539</v>
      </c>
      <c r="C689" s="50"/>
      <c r="D689" s="57">
        <v>2024</v>
      </c>
      <c r="E689" s="52">
        <v>1873394289.03</v>
      </c>
      <c r="F689" s="52">
        <v>4928027347.6499996</v>
      </c>
      <c r="G689" s="52">
        <v>4335036151.6201</v>
      </c>
      <c r="H689" s="52">
        <v>0</v>
      </c>
      <c r="I689" s="54">
        <f t="shared" si="11"/>
        <v>11136457788.300098</v>
      </c>
      <c r="J689" s="56">
        <v>0</v>
      </c>
      <c r="K689" s="61" t="s">
        <v>739</v>
      </c>
      <c r="M689" s="38"/>
    </row>
    <row r="690" spans="1:13">
      <c r="A690" s="49"/>
      <c r="B690" s="50"/>
      <c r="C690" s="50"/>
      <c r="E690" s="53"/>
      <c r="F690" s="53"/>
      <c r="G690" s="53"/>
      <c r="H690" s="53"/>
      <c r="I690" s="54"/>
      <c r="J690" s="52"/>
      <c r="K690" s="61"/>
      <c r="M690" s="38"/>
    </row>
    <row r="691" spans="1:13">
      <c r="A691" s="49" t="s">
        <v>42</v>
      </c>
      <c r="B691" s="46" t="s">
        <v>562</v>
      </c>
      <c r="C691" s="50" t="s">
        <v>773</v>
      </c>
      <c r="D691" s="51">
        <v>1988</v>
      </c>
      <c r="E691" s="53">
        <v>1061394381</v>
      </c>
      <c r="F691" s="53">
        <v>574031109</v>
      </c>
      <c r="G691" s="53">
        <v>877000957</v>
      </c>
      <c r="H691" s="53">
        <v>0</v>
      </c>
      <c r="I691" s="54">
        <f t="shared" si="11"/>
        <v>2512426447</v>
      </c>
      <c r="J691" s="52">
        <v>23113640</v>
      </c>
      <c r="K691" s="61" t="s">
        <v>774</v>
      </c>
      <c r="L691" t="s">
        <v>720</v>
      </c>
      <c r="M691" s="38" t="str">
        <f>IF([1]totrevprm!O691="","",[1]totrevprm!O691)</f>
        <v/>
      </c>
    </row>
    <row r="692" spans="1:13">
      <c r="A692" s="49" t="s">
        <v>42</v>
      </c>
      <c r="B692" s="46" t="s">
        <v>562</v>
      </c>
      <c r="C692" s="50" t="s">
        <v>732</v>
      </c>
      <c r="D692" s="51">
        <v>1989</v>
      </c>
      <c r="E692" s="53">
        <v>996849752</v>
      </c>
      <c r="F692" s="53">
        <v>588924864</v>
      </c>
      <c r="G692" s="53">
        <v>928692389</v>
      </c>
      <c r="H692" s="53">
        <v>0</v>
      </c>
      <c r="I692" s="54">
        <f t="shared" si="11"/>
        <v>2514467005</v>
      </c>
      <c r="J692" s="52">
        <v>23892225</v>
      </c>
      <c r="K692" s="61" t="s">
        <v>774</v>
      </c>
      <c r="L692" t="s">
        <v>720</v>
      </c>
      <c r="M692" s="38" t="str">
        <f>IF([1]totrevprm!O692="","",[1]totrevprm!O692)</f>
        <v/>
      </c>
    </row>
    <row r="693" spans="1:13">
      <c r="A693" s="49" t="s">
        <v>42</v>
      </c>
      <c r="B693" s="46" t="s">
        <v>562</v>
      </c>
      <c r="C693" s="50" t="s">
        <v>732</v>
      </c>
      <c r="D693" s="51">
        <v>1990</v>
      </c>
      <c r="E693" s="53">
        <v>1018057956</v>
      </c>
      <c r="F693" s="53">
        <v>603881729.79999995</v>
      </c>
      <c r="G693" s="53">
        <v>1036157963</v>
      </c>
      <c r="H693" s="53">
        <v>0</v>
      </c>
      <c r="I693" s="54">
        <f t="shared" si="11"/>
        <v>2658097648.8000002</v>
      </c>
      <c r="J693" s="52">
        <v>26985446</v>
      </c>
      <c r="K693" s="61" t="s">
        <v>774</v>
      </c>
      <c r="L693" t="s">
        <v>720</v>
      </c>
      <c r="M693" s="38" t="str">
        <f>IF([1]totrevprm!O693="","",[1]totrevprm!O693)</f>
        <v/>
      </c>
    </row>
    <row r="694" spans="1:13">
      <c r="A694" s="49" t="s">
        <v>42</v>
      </c>
      <c r="B694" s="46" t="s">
        <v>562</v>
      </c>
      <c r="C694" s="50" t="s">
        <v>732</v>
      </c>
      <c r="D694" s="51">
        <v>1991</v>
      </c>
      <c r="E694" s="53">
        <v>1121317153</v>
      </c>
      <c r="F694" s="53">
        <v>645602985</v>
      </c>
      <c r="G694" s="53">
        <v>1098008110</v>
      </c>
      <c r="H694" s="53">
        <v>0</v>
      </c>
      <c r="I694" s="54">
        <f t="shared" si="11"/>
        <v>2864928248</v>
      </c>
      <c r="J694" s="52">
        <v>33959803</v>
      </c>
      <c r="K694" s="61" t="s">
        <v>774</v>
      </c>
      <c r="L694" t="s">
        <v>720</v>
      </c>
      <c r="M694" s="38" t="str">
        <f>IF([1]totrevprm!O694="","",[1]totrevprm!O694)</f>
        <v/>
      </c>
    </row>
    <row r="695" spans="1:13">
      <c r="A695" s="49" t="s">
        <v>42</v>
      </c>
      <c r="B695" s="46" t="s">
        <v>562</v>
      </c>
      <c r="C695" s="50" t="s">
        <v>732</v>
      </c>
      <c r="D695" s="51">
        <v>1992</v>
      </c>
      <c r="E695" s="53">
        <v>1178793531</v>
      </c>
      <c r="F695" s="53">
        <v>633048563.60000002</v>
      </c>
      <c r="G695" s="53">
        <v>1138258377</v>
      </c>
      <c r="H695" s="53">
        <v>0</v>
      </c>
      <c r="I695" s="54">
        <f t="shared" si="11"/>
        <v>2950100471.5999999</v>
      </c>
      <c r="J695" s="52">
        <v>43120758</v>
      </c>
      <c r="K695" s="61" t="s">
        <v>774</v>
      </c>
      <c r="L695" t="s">
        <v>720</v>
      </c>
      <c r="M695" s="38" t="str">
        <f>IF([1]totrevprm!O695="","",[1]totrevprm!O695)</f>
        <v/>
      </c>
    </row>
    <row r="696" spans="1:13">
      <c r="A696" s="49" t="s">
        <v>42</v>
      </c>
      <c r="B696" s="46" t="s">
        <v>562</v>
      </c>
      <c r="C696" s="50" t="s">
        <v>732</v>
      </c>
      <c r="D696" s="51">
        <v>1993</v>
      </c>
      <c r="E696" s="53">
        <v>1248764898</v>
      </c>
      <c r="F696" s="53">
        <v>539042938</v>
      </c>
      <c r="G696" s="53">
        <v>1605901669</v>
      </c>
      <c r="H696" s="53">
        <v>0</v>
      </c>
      <c r="I696" s="54">
        <f t="shared" si="11"/>
        <v>3393709505</v>
      </c>
      <c r="J696" s="52">
        <v>41233215</v>
      </c>
      <c r="K696" s="61" t="s">
        <v>774</v>
      </c>
      <c r="L696" t="s">
        <v>720</v>
      </c>
      <c r="M696" s="38" t="str">
        <f>IF([1]totrevprm!O696="","",[1]totrevprm!O696)</f>
        <v/>
      </c>
    </row>
    <row r="697" spans="1:13">
      <c r="A697" s="49" t="s">
        <v>42</v>
      </c>
      <c r="B697" s="46" t="s">
        <v>562</v>
      </c>
      <c r="C697" s="50" t="s">
        <v>732</v>
      </c>
      <c r="D697" s="51">
        <v>1994</v>
      </c>
      <c r="E697" s="53">
        <v>1300073287</v>
      </c>
      <c r="F697" s="53">
        <v>723268656</v>
      </c>
      <c r="G697" s="53">
        <v>1463024597</v>
      </c>
      <c r="H697" s="53">
        <v>0</v>
      </c>
      <c r="I697" s="54">
        <f t="shared" si="11"/>
        <v>3486366540</v>
      </c>
      <c r="J697" s="52">
        <v>44926928</v>
      </c>
      <c r="K697" s="61" t="s">
        <v>774</v>
      </c>
      <c r="L697" t="s">
        <v>720</v>
      </c>
      <c r="M697" s="38" t="str">
        <f>IF([1]totrevprm!O697="","",[1]totrevprm!O697)</f>
        <v/>
      </c>
    </row>
    <row r="698" spans="1:13">
      <c r="A698" s="49" t="s">
        <v>42</v>
      </c>
      <c r="B698" s="46" t="s">
        <v>562</v>
      </c>
      <c r="C698" s="50" t="s">
        <v>732</v>
      </c>
      <c r="D698" s="51">
        <v>1995</v>
      </c>
      <c r="E698" s="53">
        <v>1379843512</v>
      </c>
      <c r="F698" s="53">
        <v>716707593</v>
      </c>
      <c r="G698" s="53">
        <v>1458342180</v>
      </c>
      <c r="H698" s="53">
        <v>0</v>
      </c>
      <c r="I698" s="54">
        <f t="shared" si="11"/>
        <v>3554893285</v>
      </c>
      <c r="J698" s="52">
        <v>55557500</v>
      </c>
      <c r="K698" s="61" t="s">
        <v>774</v>
      </c>
      <c r="L698" t="s">
        <v>720</v>
      </c>
      <c r="M698" s="38" t="str">
        <f>IF([1]totrevprm!O698="","",[1]totrevprm!O698)</f>
        <v/>
      </c>
    </row>
    <row r="699" spans="1:13">
      <c r="A699" s="49" t="s">
        <v>42</v>
      </c>
      <c r="B699" s="46" t="s">
        <v>562</v>
      </c>
      <c r="C699" s="50" t="s">
        <v>732</v>
      </c>
      <c r="D699" s="51">
        <v>1996</v>
      </c>
      <c r="E699" s="53">
        <v>1339112500</v>
      </c>
      <c r="F699" s="53">
        <v>642737918</v>
      </c>
      <c r="G699" s="53">
        <v>1448410476</v>
      </c>
      <c r="H699" s="53">
        <v>0</v>
      </c>
      <c r="I699" s="54">
        <f t="shared" si="11"/>
        <v>3430260894</v>
      </c>
      <c r="J699" s="52">
        <v>44304022</v>
      </c>
      <c r="K699" s="61" t="s">
        <v>774</v>
      </c>
      <c r="L699" t="s">
        <v>720</v>
      </c>
      <c r="M699" s="38" t="str">
        <f>IF([1]totrevprm!O699="","",[1]totrevprm!O699)</f>
        <v/>
      </c>
    </row>
    <row r="700" spans="1:13">
      <c r="A700" s="49" t="s">
        <v>42</v>
      </c>
      <c r="B700" s="46" t="s">
        <v>562</v>
      </c>
      <c r="C700" s="50" t="s">
        <v>732</v>
      </c>
      <c r="D700" s="51">
        <v>1997</v>
      </c>
      <c r="E700" s="53">
        <v>1300752300</v>
      </c>
      <c r="F700" s="53">
        <v>807107035</v>
      </c>
      <c r="G700" s="53">
        <v>1433423516</v>
      </c>
      <c r="H700" s="53">
        <v>0</v>
      </c>
      <c r="I700" s="54">
        <f t="shared" ref="I700:I763" si="12">SUM(E700:H700)</f>
        <v>3541282851</v>
      </c>
      <c r="J700" s="52">
        <v>56147744</v>
      </c>
      <c r="K700" s="61" t="s">
        <v>774</v>
      </c>
      <c r="L700" t="s">
        <v>720</v>
      </c>
      <c r="M700" s="38" t="str">
        <f>IF([1]totrevprm!O700="","",[1]totrevprm!O700)</f>
        <v/>
      </c>
    </row>
    <row r="701" spans="1:13">
      <c r="A701" s="49" t="s">
        <v>42</v>
      </c>
      <c r="B701" s="46" t="s">
        <v>562</v>
      </c>
      <c r="C701" s="50" t="s">
        <v>732</v>
      </c>
      <c r="D701" s="51">
        <v>1998</v>
      </c>
      <c r="E701" s="53">
        <v>1309920109</v>
      </c>
      <c r="F701" s="53">
        <v>694905543</v>
      </c>
      <c r="G701" s="53">
        <v>1478605295</v>
      </c>
      <c r="H701" s="53">
        <v>0</v>
      </c>
      <c r="I701" s="54">
        <f t="shared" si="12"/>
        <v>3483430947</v>
      </c>
      <c r="J701" s="52">
        <v>47810828</v>
      </c>
      <c r="K701" s="61" t="s">
        <v>774</v>
      </c>
      <c r="L701" t="s">
        <v>720</v>
      </c>
      <c r="M701" s="38" t="str">
        <f>IF([1]totrevprm!O701="","",[1]totrevprm!O701)</f>
        <v/>
      </c>
    </row>
    <row r="702" spans="1:13">
      <c r="A702" s="49" t="s">
        <v>42</v>
      </c>
      <c r="B702" s="46" t="s">
        <v>562</v>
      </c>
      <c r="C702" s="50" t="s">
        <v>732</v>
      </c>
      <c r="D702" s="51">
        <v>1999</v>
      </c>
      <c r="E702" s="53">
        <v>1337413680</v>
      </c>
      <c r="F702" s="53">
        <v>1000942545</v>
      </c>
      <c r="G702" s="53">
        <v>1503860088</v>
      </c>
      <c r="H702" s="53">
        <v>0</v>
      </c>
      <c r="I702" s="54">
        <f t="shared" si="12"/>
        <v>3842216313</v>
      </c>
      <c r="J702" s="52">
        <v>44644228</v>
      </c>
      <c r="K702" s="61" t="s">
        <v>774</v>
      </c>
      <c r="L702" t="s">
        <v>720</v>
      </c>
      <c r="M702" s="38" t="str">
        <f>IF([1]totrevprm!O702="","",[1]totrevprm!O702)</f>
        <v/>
      </c>
    </row>
    <row r="703" spans="1:13">
      <c r="A703" s="49" t="s">
        <v>42</v>
      </c>
      <c r="B703" s="46" t="s">
        <v>562</v>
      </c>
      <c r="C703" s="50" t="s">
        <v>732</v>
      </c>
      <c r="D703" s="51">
        <v>2000</v>
      </c>
      <c r="E703" s="53">
        <v>1325312652</v>
      </c>
      <c r="F703" s="53">
        <v>1111178644</v>
      </c>
      <c r="G703" s="53">
        <v>1588295172</v>
      </c>
      <c r="H703" s="53">
        <v>0</v>
      </c>
      <c r="I703" s="54">
        <f t="shared" si="12"/>
        <v>4024786468</v>
      </c>
      <c r="J703" s="52">
        <v>64531917</v>
      </c>
      <c r="K703" s="61" t="s">
        <v>774</v>
      </c>
      <c r="L703" t="s">
        <v>720</v>
      </c>
      <c r="M703" s="38" t="str">
        <f>IF([1]totrevprm!O703="","",[1]totrevprm!O703)</f>
        <v/>
      </c>
    </row>
    <row r="704" spans="1:13">
      <c r="A704" s="49" t="s">
        <v>42</v>
      </c>
      <c r="B704" s="46" t="s">
        <v>562</v>
      </c>
      <c r="C704" s="50" t="s">
        <v>732</v>
      </c>
      <c r="D704" s="51">
        <v>2001</v>
      </c>
      <c r="E704" s="53">
        <v>1416242656</v>
      </c>
      <c r="F704" s="53">
        <v>1539052777.52</v>
      </c>
      <c r="G704" s="53">
        <v>1735600327</v>
      </c>
      <c r="H704" s="53">
        <v>0</v>
      </c>
      <c r="I704" s="54">
        <f t="shared" si="12"/>
        <v>4690895760.5200005</v>
      </c>
      <c r="J704" s="37">
        <v>40291410</v>
      </c>
      <c r="K704" s="61" t="s">
        <v>774</v>
      </c>
      <c r="L704" t="s">
        <v>720</v>
      </c>
      <c r="M704" s="38" t="str">
        <f>IF([1]totrevprm!O704="","",[1]totrevprm!O704)</f>
        <v/>
      </c>
    </row>
    <row r="705" spans="1:13">
      <c r="A705" s="49" t="s">
        <v>42</v>
      </c>
      <c r="B705" s="46" t="s">
        <v>562</v>
      </c>
      <c r="C705" s="50" t="s">
        <v>732</v>
      </c>
      <c r="D705" s="51">
        <v>2002</v>
      </c>
      <c r="E705" s="53">
        <v>1456002060</v>
      </c>
      <c r="F705" s="53">
        <v>2062519014</v>
      </c>
      <c r="G705" s="53">
        <v>1917295335</v>
      </c>
      <c r="H705" s="53">
        <v>0</v>
      </c>
      <c r="I705" s="54">
        <f t="shared" si="12"/>
        <v>5435816409</v>
      </c>
      <c r="J705" s="37">
        <v>58279507</v>
      </c>
      <c r="K705" s="61" t="s">
        <v>774</v>
      </c>
      <c r="L705" t="s">
        <v>720</v>
      </c>
      <c r="M705" s="38" t="str">
        <f>IF([1]totrevprm!O705="","",[1]totrevprm!O705)</f>
        <v/>
      </c>
    </row>
    <row r="706" spans="1:13">
      <c r="A706" s="49" t="s">
        <v>42</v>
      </c>
      <c r="B706" s="46" t="s">
        <v>562</v>
      </c>
      <c r="C706" s="50" t="s">
        <v>732</v>
      </c>
      <c r="D706" s="51">
        <v>2003</v>
      </c>
      <c r="E706" s="55">
        <v>1524822170</v>
      </c>
      <c r="F706" s="55">
        <v>1800991553</v>
      </c>
      <c r="G706" s="55">
        <v>2153187282</v>
      </c>
      <c r="H706" s="53">
        <v>0</v>
      </c>
      <c r="I706" s="54">
        <f t="shared" si="12"/>
        <v>5479001005</v>
      </c>
      <c r="J706" s="37">
        <v>59892340</v>
      </c>
      <c r="K706" s="61" t="s">
        <v>774</v>
      </c>
      <c r="L706" t="s">
        <v>720</v>
      </c>
      <c r="M706" s="38" t="str">
        <f>IF([1]totrevprm!O706="","",[1]totrevprm!O706)</f>
        <v/>
      </c>
    </row>
    <row r="707" spans="1:13">
      <c r="A707" s="49" t="s">
        <v>42</v>
      </c>
      <c r="B707" s="46" t="s">
        <v>562</v>
      </c>
      <c r="C707" s="50" t="s">
        <v>732</v>
      </c>
      <c r="D707" s="51">
        <v>2004</v>
      </c>
      <c r="E707" s="55">
        <v>1578036517</v>
      </c>
      <c r="F707" s="55">
        <v>1592187156</v>
      </c>
      <c r="G707" s="55">
        <v>2325327647</v>
      </c>
      <c r="H707" s="53">
        <v>0</v>
      </c>
      <c r="I707" s="54">
        <f t="shared" si="12"/>
        <v>5495551320</v>
      </c>
      <c r="J707" s="37">
        <v>73114604</v>
      </c>
      <c r="K707" s="61" t="s">
        <v>774</v>
      </c>
      <c r="L707" t="s">
        <v>720</v>
      </c>
      <c r="M707" s="38" t="str">
        <f>IF([1]totrevprm!O707="","",[1]totrevprm!O707)</f>
        <v/>
      </c>
    </row>
    <row r="708" spans="1:13">
      <c r="A708" s="49" t="s">
        <v>42</v>
      </c>
      <c r="B708" s="46" t="s">
        <v>562</v>
      </c>
      <c r="C708" s="50"/>
      <c r="D708" s="51">
        <v>2005</v>
      </c>
      <c r="E708" s="55">
        <v>1527128731</v>
      </c>
      <c r="F708" s="55">
        <v>1518473870</v>
      </c>
      <c r="G708" s="55">
        <v>2498862100.9699998</v>
      </c>
      <c r="H708" s="53">
        <v>0</v>
      </c>
      <c r="I708" s="54">
        <f t="shared" si="12"/>
        <v>5544464701.9699993</v>
      </c>
      <c r="J708" s="37">
        <v>44776614</v>
      </c>
      <c r="K708" s="61" t="s">
        <v>774</v>
      </c>
      <c r="L708" t="s">
        <v>720</v>
      </c>
      <c r="M708" s="38" t="str">
        <f>IF([1]totrevprm!O708="","",[1]totrevprm!O708)</f>
        <v/>
      </c>
    </row>
    <row r="709" spans="1:13">
      <c r="A709" s="49" t="s">
        <v>42</v>
      </c>
      <c r="B709" s="46" t="s">
        <v>562</v>
      </c>
      <c r="C709" s="50"/>
      <c r="D709" s="51">
        <v>2006</v>
      </c>
      <c r="E709" s="56">
        <v>1651237114</v>
      </c>
      <c r="F709" s="56">
        <v>1979208982</v>
      </c>
      <c r="G709" s="56">
        <v>2791842343</v>
      </c>
      <c r="H709" s="56">
        <v>0</v>
      </c>
      <c r="I709" s="54">
        <f t="shared" si="12"/>
        <v>6422288439</v>
      </c>
      <c r="J709" s="37">
        <v>144996081</v>
      </c>
      <c r="K709" s="61" t="s">
        <v>774</v>
      </c>
      <c r="L709" t="s">
        <v>720</v>
      </c>
      <c r="M709" s="38" t="str">
        <f>IF([1]totrevprm!O709="","",[1]totrevprm!O709)</f>
        <v/>
      </c>
    </row>
    <row r="710" spans="1:13">
      <c r="A710" s="49" t="s">
        <v>42</v>
      </c>
      <c r="B710" s="46" t="s">
        <v>562</v>
      </c>
      <c r="C710" s="50"/>
      <c r="D710" s="51">
        <v>2007</v>
      </c>
      <c r="E710" s="56">
        <v>1689804172</v>
      </c>
      <c r="F710" s="56">
        <v>2113085697</v>
      </c>
      <c r="G710" s="56">
        <v>3284912188</v>
      </c>
      <c r="H710" s="56">
        <v>0</v>
      </c>
      <c r="I710" s="54">
        <f t="shared" si="12"/>
        <v>7087802057</v>
      </c>
      <c r="J710" s="37">
        <v>143070422</v>
      </c>
      <c r="K710" s="61" t="s">
        <v>774</v>
      </c>
      <c r="L710" t="s">
        <v>720</v>
      </c>
      <c r="M710" s="38" t="str">
        <f>IF([1]totrevprm!O710="","",[1]totrevprm!O710)</f>
        <v/>
      </c>
    </row>
    <row r="711" spans="1:13">
      <c r="A711" s="49" t="s">
        <v>42</v>
      </c>
      <c r="B711" s="46" t="s">
        <v>562</v>
      </c>
      <c r="C711" s="50"/>
      <c r="D711" s="51">
        <v>2008</v>
      </c>
      <c r="E711" s="56">
        <v>1756605827</v>
      </c>
      <c r="F711" s="56">
        <v>2821474355</v>
      </c>
      <c r="G711" s="56">
        <v>3387327704</v>
      </c>
      <c r="H711" s="56">
        <v>0</v>
      </c>
      <c r="I711" s="54">
        <f t="shared" si="12"/>
        <v>7965407886</v>
      </c>
      <c r="J711" s="37">
        <v>162579442</v>
      </c>
      <c r="K711" s="61" t="s">
        <v>774</v>
      </c>
      <c r="L711" t="s">
        <v>720</v>
      </c>
      <c r="M711" s="38" t="str">
        <f>IF([1]totrevprm!O711="","",[1]totrevprm!O711)</f>
        <v/>
      </c>
    </row>
    <row r="712" spans="1:13">
      <c r="A712" s="49" t="s">
        <v>42</v>
      </c>
      <c r="B712" s="46" t="s">
        <v>562</v>
      </c>
      <c r="C712" s="50"/>
      <c r="D712" s="51">
        <v>2009</v>
      </c>
      <c r="E712" s="56">
        <v>1884497023</v>
      </c>
      <c r="F712" s="56">
        <v>2433815966</v>
      </c>
      <c r="G712" s="56">
        <v>3465561550</v>
      </c>
      <c r="H712" s="56">
        <v>0</v>
      </c>
      <c r="I712" s="54">
        <f t="shared" si="12"/>
        <v>7783874539</v>
      </c>
      <c r="J712" s="37">
        <v>124690898</v>
      </c>
      <c r="K712" s="61" t="s">
        <v>774</v>
      </c>
      <c r="L712" t="s">
        <v>720</v>
      </c>
      <c r="M712" s="38" t="str">
        <f>IF([1]totrevprm!O712="","",[1]totrevprm!O712)</f>
        <v/>
      </c>
    </row>
    <row r="713" spans="1:13">
      <c r="A713" s="49" t="s">
        <v>42</v>
      </c>
      <c r="B713" s="46" t="s">
        <v>562</v>
      </c>
      <c r="C713" s="50"/>
      <c r="D713" s="51">
        <v>2010</v>
      </c>
      <c r="E713" s="56">
        <v>1985231181</v>
      </c>
      <c r="F713" s="52">
        <v>2079835353</v>
      </c>
      <c r="G713" s="56">
        <v>3624239225</v>
      </c>
      <c r="H713" s="56">
        <v>0</v>
      </c>
      <c r="I713" s="54">
        <f t="shared" si="12"/>
        <v>7689305759</v>
      </c>
      <c r="J713" s="37">
        <v>124900532</v>
      </c>
      <c r="K713" s="61" t="s">
        <v>774</v>
      </c>
      <c r="L713" t="s">
        <v>720</v>
      </c>
      <c r="M713" s="38" t="str">
        <f>IF([1]totrevprm!O713="","",[1]totrevprm!O713)</f>
        <v/>
      </c>
    </row>
    <row r="714" spans="1:13">
      <c r="A714" s="49" t="s">
        <v>42</v>
      </c>
      <c r="B714" s="46" t="s">
        <v>562</v>
      </c>
      <c r="C714" s="50"/>
      <c r="D714" s="51">
        <v>2011</v>
      </c>
      <c r="E714" s="56">
        <v>2024088654</v>
      </c>
      <c r="F714" s="52">
        <v>2198513841</v>
      </c>
      <c r="G714" s="56">
        <v>3560278143.25</v>
      </c>
      <c r="H714" s="56">
        <v>0</v>
      </c>
      <c r="I714" s="54">
        <f t="shared" si="12"/>
        <v>7782880638.25</v>
      </c>
      <c r="J714" s="37">
        <v>131535014</v>
      </c>
      <c r="K714" s="61" t="s">
        <v>774</v>
      </c>
      <c r="L714" t="s">
        <v>720</v>
      </c>
      <c r="M714" s="38" t="str">
        <f>IF([1]totrevprm!O714="","",[1]totrevprm!O714)</f>
        <v/>
      </c>
    </row>
    <row r="715" spans="1:13">
      <c r="A715" s="49" t="s">
        <v>42</v>
      </c>
      <c r="B715" s="46" t="s">
        <v>562</v>
      </c>
      <c r="C715" s="50"/>
      <c r="D715" s="51">
        <v>2012</v>
      </c>
      <c r="E715" s="56">
        <v>2078046849</v>
      </c>
      <c r="F715" s="52">
        <v>2253251827</v>
      </c>
      <c r="G715" s="56">
        <v>3705288312</v>
      </c>
      <c r="H715" s="56">
        <v>0</v>
      </c>
      <c r="I715" s="54">
        <f t="shared" si="12"/>
        <v>8036586988</v>
      </c>
      <c r="J715" s="37">
        <v>110850426</v>
      </c>
      <c r="K715" s="61" t="s">
        <v>774</v>
      </c>
      <c r="L715" t="s">
        <v>720</v>
      </c>
      <c r="M715" s="38" t="str">
        <f>IF([1]totrevprm!O715="","",[1]totrevprm!O715)</f>
        <v/>
      </c>
    </row>
    <row r="716" spans="1:13">
      <c r="A716" s="49" t="s">
        <v>42</v>
      </c>
      <c r="B716" s="46" t="s">
        <v>562</v>
      </c>
      <c r="C716" s="50"/>
      <c r="D716" s="51">
        <v>2013</v>
      </c>
      <c r="E716" s="56">
        <v>2140889799</v>
      </c>
      <c r="F716" s="52">
        <v>2420840710</v>
      </c>
      <c r="G716" s="56">
        <v>3676991155</v>
      </c>
      <c r="H716" s="56">
        <v>0</v>
      </c>
      <c r="I716" s="54">
        <f t="shared" si="12"/>
        <v>8238721664</v>
      </c>
      <c r="J716" s="37">
        <v>127786518</v>
      </c>
      <c r="K716" s="61" t="s">
        <v>774</v>
      </c>
      <c r="L716" t="s">
        <v>720</v>
      </c>
      <c r="M716" s="38" t="str">
        <f>IF([1]totrevprm!O716="","",[1]totrevprm!O716)</f>
        <v/>
      </c>
    </row>
    <row r="717" spans="1:13">
      <c r="A717" s="49" t="s">
        <v>42</v>
      </c>
      <c r="B717" s="46" t="s">
        <v>562</v>
      </c>
      <c r="C717" s="50"/>
      <c r="D717" s="51">
        <v>2014</v>
      </c>
      <c r="E717" s="56">
        <v>2201139105</v>
      </c>
      <c r="F717" s="56">
        <v>2421052904</v>
      </c>
      <c r="G717" s="56">
        <v>3964723029.79</v>
      </c>
      <c r="H717" s="56">
        <v>0</v>
      </c>
      <c r="I717" s="54">
        <f t="shared" si="12"/>
        <v>8586915038.79</v>
      </c>
      <c r="J717" s="52">
        <v>113183859</v>
      </c>
      <c r="K717" s="61" t="s">
        <v>774</v>
      </c>
      <c r="L717" t="s">
        <v>720</v>
      </c>
      <c r="M717" s="38" t="str">
        <f>IF([1]totrevprm!O717="","",[1]totrevprm!O717)</f>
        <v/>
      </c>
    </row>
    <row r="718" spans="1:13">
      <c r="A718" s="49" t="s">
        <v>42</v>
      </c>
      <c r="B718" s="46" t="s">
        <v>562</v>
      </c>
      <c r="C718" s="50"/>
      <c r="D718" s="51">
        <v>2015</v>
      </c>
      <c r="E718" s="56">
        <v>2210297851</v>
      </c>
      <c r="F718" s="52">
        <v>2592456650</v>
      </c>
      <c r="G718" s="56">
        <v>4180565657</v>
      </c>
      <c r="H718" s="56">
        <v>0</v>
      </c>
      <c r="I718" s="54">
        <f t="shared" si="12"/>
        <v>8983320158</v>
      </c>
      <c r="J718" s="52">
        <v>118677149</v>
      </c>
      <c r="K718" s="61" t="s">
        <v>774</v>
      </c>
      <c r="L718" t="s">
        <v>720</v>
      </c>
      <c r="M718" s="38" t="str">
        <f>IF([1]totrevprm!O718="","",[1]totrevprm!O718)</f>
        <v/>
      </c>
    </row>
    <row r="719" spans="1:13">
      <c r="A719" s="49" t="s">
        <v>42</v>
      </c>
      <c r="B719" s="46" t="s">
        <v>562</v>
      </c>
      <c r="C719" s="50"/>
      <c r="D719" s="51">
        <v>2016</v>
      </c>
      <c r="E719" s="56">
        <v>2358653809</v>
      </c>
      <c r="F719" s="56">
        <v>2638306060</v>
      </c>
      <c r="G719" s="56">
        <v>4011364777</v>
      </c>
      <c r="H719" s="56">
        <v>0</v>
      </c>
      <c r="I719" s="54">
        <f t="shared" si="12"/>
        <v>9008324646</v>
      </c>
      <c r="J719" s="52">
        <v>116837084</v>
      </c>
      <c r="K719" s="61" t="s">
        <v>774</v>
      </c>
      <c r="L719" t="s">
        <v>720</v>
      </c>
      <c r="M719" s="38" t="str">
        <f>IF([1]totrevprm!O719="","",[1]totrevprm!O719)</f>
        <v/>
      </c>
    </row>
    <row r="720" spans="1:13">
      <c r="A720" s="49" t="s">
        <v>42</v>
      </c>
      <c r="B720" s="46" t="s">
        <v>562</v>
      </c>
      <c r="C720" s="50"/>
      <c r="D720" s="51">
        <v>2017</v>
      </c>
      <c r="E720" s="56">
        <v>2331485656</v>
      </c>
      <c r="F720" s="56">
        <v>2537801001</v>
      </c>
      <c r="G720" s="56">
        <v>4078229241.29</v>
      </c>
      <c r="H720" s="56">
        <v>0</v>
      </c>
      <c r="I720" s="54">
        <f t="shared" si="12"/>
        <v>8947515898.2900009</v>
      </c>
      <c r="J720" s="52">
        <v>84476426</v>
      </c>
      <c r="K720" s="61" t="s">
        <v>774</v>
      </c>
      <c r="L720" t="s">
        <v>720</v>
      </c>
      <c r="M720" s="38" t="str">
        <f>IF([1]totrevprm!O720="","",[1]totrevprm!O720)</f>
        <v/>
      </c>
    </row>
    <row r="721" spans="1:13">
      <c r="A721" s="49" t="s">
        <v>42</v>
      </c>
      <c r="B721" s="46" t="s">
        <v>562</v>
      </c>
      <c r="C721" s="50"/>
      <c r="D721" s="51">
        <v>2018</v>
      </c>
      <c r="E721" s="56">
        <v>2437936531</v>
      </c>
      <c r="F721" s="56">
        <v>2981411261</v>
      </c>
      <c r="G721" s="56">
        <v>5648070031.4200001</v>
      </c>
      <c r="H721" s="56">
        <v>0</v>
      </c>
      <c r="I721" s="54">
        <f t="shared" si="12"/>
        <v>11067417823.42</v>
      </c>
      <c r="J721" s="56">
        <v>85461749</v>
      </c>
      <c r="K721" s="61" t="s">
        <v>775</v>
      </c>
      <c r="L721" t="s">
        <v>720</v>
      </c>
      <c r="M721" s="38" t="str">
        <f>IF([1]totrevprm!O721="","",[1]totrevprm!O721)</f>
        <v>Yes</v>
      </c>
    </row>
    <row r="722" spans="1:13">
      <c r="A722" s="49" t="s">
        <v>42</v>
      </c>
      <c r="B722" s="46" t="s">
        <v>562</v>
      </c>
      <c r="C722" s="50"/>
      <c r="D722" s="51">
        <v>2019</v>
      </c>
      <c r="E722" s="56">
        <v>2397488934</v>
      </c>
      <c r="F722" s="52">
        <v>2921637033</v>
      </c>
      <c r="G722" s="56">
        <v>5561988218.9569998</v>
      </c>
      <c r="H722" s="56">
        <v>0</v>
      </c>
      <c r="I722" s="54">
        <f t="shared" si="12"/>
        <v>10881114185.957001</v>
      </c>
      <c r="J722" s="56">
        <v>99189320</v>
      </c>
      <c r="K722" s="61" t="s">
        <v>776</v>
      </c>
      <c r="L722" t="s">
        <v>720</v>
      </c>
      <c r="M722" s="38" t="str">
        <f>IF([1]totrevprm!O722="","",[1]totrevprm!O722)</f>
        <v/>
      </c>
    </row>
    <row r="723" spans="1:13">
      <c r="A723" s="49" t="s">
        <v>42</v>
      </c>
      <c r="B723" s="46" t="s">
        <v>562</v>
      </c>
      <c r="C723" s="50"/>
      <c r="D723" s="51">
        <v>2020</v>
      </c>
      <c r="E723" s="56">
        <v>2372332122</v>
      </c>
      <c r="F723" s="52">
        <v>2890228781</v>
      </c>
      <c r="G723" s="56">
        <v>5712310722</v>
      </c>
      <c r="H723" s="56">
        <v>0</v>
      </c>
      <c r="I723" s="54">
        <f t="shared" si="12"/>
        <v>10974871625</v>
      </c>
      <c r="J723" s="56">
        <v>116453571</v>
      </c>
      <c r="K723" s="61" t="s">
        <v>776</v>
      </c>
      <c r="L723" t="s">
        <v>720</v>
      </c>
      <c r="M723" s="38" t="str">
        <f>IF([1]totrevprm!O723="","",[1]totrevprm!O723)</f>
        <v/>
      </c>
    </row>
    <row r="724" spans="1:13">
      <c r="A724" s="49" t="s">
        <v>42</v>
      </c>
      <c r="B724" s="46" t="s">
        <v>562</v>
      </c>
      <c r="C724" s="50"/>
      <c r="D724" s="51">
        <v>2021</v>
      </c>
      <c r="E724" s="56">
        <v>2535959659</v>
      </c>
      <c r="F724" s="52">
        <v>2983582543</v>
      </c>
      <c r="G724" s="56">
        <v>5816244351.7399998</v>
      </c>
      <c r="H724" s="56">
        <v>0</v>
      </c>
      <c r="I724" s="54">
        <f t="shared" si="12"/>
        <v>11335786553.74</v>
      </c>
      <c r="J724" s="52">
        <v>88765368</v>
      </c>
      <c r="K724" s="61" t="s">
        <v>777</v>
      </c>
      <c r="L724" t="s">
        <v>720</v>
      </c>
      <c r="M724" s="38" t="s">
        <v>720</v>
      </c>
    </row>
    <row r="725" spans="1:13">
      <c r="A725" s="49" t="s">
        <v>42</v>
      </c>
      <c r="B725" s="46" t="s">
        <v>562</v>
      </c>
      <c r="C725" s="50"/>
      <c r="D725" s="51">
        <v>2022</v>
      </c>
      <c r="E725" s="56">
        <v>2637175613</v>
      </c>
      <c r="F725" s="56">
        <v>4134499782</v>
      </c>
      <c r="G725" s="56">
        <v>6045098600</v>
      </c>
      <c r="H725" s="56">
        <v>0</v>
      </c>
      <c r="I725" s="54">
        <f t="shared" si="12"/>
        <v>12816773995</v>
      </c>
      <c r="J725" s="56">
        <v>119248899</v>
      </c>
      <c r="K725" s="61" t="s">
        <v>777</v>
      </c>
      <c r="L725" t="s">
        <v>720</v>
      </c>
      <c r="M725" s="39"/>
    </row>
    <row r="726" spans="1:13">
      <c r="A726" s="49" t="s">
        <v>42</v>
      </c>
      <c r="B726" s="46" t="s">
        <v>562</v>
      </c>
      <c r="C726" s="50"/>
      <c r="D726" s="51">
        <v>2023</v>
      </c>
      <c r="E726" s="56">
        <v>2627496361</v>
      </c>
      <c r="F726" s="56">
        <v>5141743316.5073996</v>
      </c>
      <c r="G726" s="56">
        <v>6397530139.5599995</v>
      </c>
      <c r="H726" s="56">
        <v>0</v>
      </c>
      <c r="I726" s="54">
        <f t="shared" si="12"/>
        <v>14166769817.067398</v>
      </c>
      <c r="J726" s="53">
        <v>126110425</v>
      </c>
      <c r="K726" s="61" t="s">
        <v>777</v>
      </c>
      <c r="M726" s="39"/>
    </row>
    <row r="727" spans="1:13">
      <c r="A727" s="49" t="s">
        <v>42</v>
      </c>
      <c r="B727" s="46" t="s">
        <v>562</v>
      </c>
      <c r="C727" s="50"/>
      <c r="D727" s="57">
        <v>2024</v>
      </c>
      <c r="E727" s="52">
        <v>2637036571.71</v>
      </c>
      <c r="F727" s="52">
        <v>6058662565.6300001</v>
      </c>
      <c r="G727" s="52">
        <v>7044633100.5299997</v>
      </c>
      <c r="H727" s="52">
        <v>0</v>
      </c>
      <c r="I727" s="54">
        <f t="shared" si="12"/>
        <v>15740332237.869999</v>
      </c>
      <c r="J727" s="56">
        <v>140609167</v>
      </c>
      <c r="K727" s="61" t="s">
        <v>777</v>
      </c>
      <c r="M727" s="38"/>
    </row>
    <row r="728" spans="1:13">
      <c r="A728" s="49"/>
      <c r="B728" s="50"/>
      <c r="C728" s="50"/>
      <c r="E728" s="53"/>
      <c r="F728" s="53"/>
      <c r="G728" s="53"/>
      <c r="H728" s="53"/>
      <c r="I728" s="54"/>
      <c r="J728" s="52"/>
      <c r="K728" s="61"/>
      <c r="M728" s="38"/>
    </row>
    <row r="729" spans="1:13">
      <c r="A729" s="49" t="s">
        <v>44</v>
      </c>
      <c r="B729" s="46" t="s">
        <v>778</v>
      </c>
      <c r="C729" s="50" t="s">
        <v>765</v>
      </c>
      <c r="D729" s="51">
        <v>1988</v>
      </c>
      <c r="E729" s="53">
        <v>205589438</v>
      </c>
      <c r="F729" s="53">
        <v>143683665</v>
      </c>
      <c r="G729" s="53">
        <v>258670567</v>
      </c>
      <c r="H729" s="53">
        <v>46145929</v>
      </c>
      <c r="I729" s="54">
        <f t="shared" si="12"/>
        <v>654089599</v>
      </c>
      <c r="J729" s="52">
        <v>0</v>
      </c>
      <c r="K729" s="61"/>
      <c r="M729" s="38" t="str">
        <f>IF([1]totrevprm!O729="","",[1]totrevprm!O729)</f>
        <v/>
      </c>
    </row>
    <row r="730" spans="1:13">
      <c r="A730" s="49" t="s">
        <v>44</v>
      </c>
      <c r="B730" s="46" t="s">
        <v>778</v>
      </c>
      <c r="C730" s="50" t="s">
        <v>732</v>
      </c>
      <c r="D730" s="51">
        <v>1989</v>
      </c>
      <c r="E730" s="53">
        <v>202478234</v>
      </c>
      <c r="F730" s="53">
        <v>166195355</v>
      </c>
      <c r="G730" s="53">
        <v>290326059</v>
      </c>
      <c r="H730" s="53">
        <v>70395054</v>
      </c>
      <c r="I730" s="54">
        <f t="shared" si="12"/>
        <v>729394702</v>
      </c>
      <c r="J730" s="52">
        <v>0</v>
      </c>
      <c r="K730" s="61"/>
      <c r="M730" s="38" t="str">
        <f>IF([1]totrevprm!O730="","",[1]totrevprm!O730)</f>
        <v/>
      </c>
    </row>
    <row r="731" spans="1:13">
      <c r="A731" s="49" t="s">
        <v>44</v>
      </c>
      <c r="B731" s="46" t="s">
        <v>778</v>
      </c>
      <c r="C731" s="50" t="s">
        <v>732</v>
      </c>
      <c r="D731" s="51">
        <v>1990</v>
      </c>
      <c r="E731" s="53">
        <v>211356731</v>
      </c>
      <c r="F731" s="53">
        <v>222695205.59999999</v>
      </c>
      <c r="G731" s="53">
        <v>312504647</v>
      </c>
      <c r="H731" s="53">
        <v>43039290</v>
      </c>
      <c r="I731" s="54">
        <f t="shared" si="12"/>
        <v>789595873.60000002</v>
      </c>
      <c r="J731" s="52">
        <v>0</v>
      </c>
      <c r="K731" s="61"/>
      <c r="M731" s="38" t="str">
        <f>IF([1]totrevprm!O731="","",[1]totrevprm!O731)</f>
        <v/>
      </c>
    </row>
    <row r="732" spans="1:13">
      <c r="A732" s="49" t="s">
        <v>44</v>
      </c>
      <c r="B732" s="46" t="s">
        <v>778</v>
      </c>
      <c r="C732" s="50" t="s">
        <v>732</v>
      </c>
      <c r="D732" s="51">
        <v>1991</v>
      </c>
      <c r="E732" s="53">
        <v>222499783</v>
      </c>
      <c r="F732" s="53">
        <v>168234474</v>
      </c>
      <c r="G732" s="53">
        <v>350523624</v>
      </c>
      <c r="H732" s="53">
        <v>69681202</v>
      </c>
      <c r="I732" s="54">
        <f t="shared" si="12"/>
        <v>810939083</v>
      </c>
      <c r="J732" s="52">
        <v>0</v>
      </c>
      <c r="K732" s="61"/>
      <c r="M732" s="38" t="str">
        <f>IF([1]totrevprm!O732="","",[1]totrevprm!O732)</f>
        <v/>
      </c>
    </row>
    <row r="733" spans="1:13">
      <c r="A733" s="49" t="s">
        <v>44</v>
      </c>
      <c r="B733" s="46" t="s">
        <v>778</v>
      </c>
      <c r="C733" s="50" t="s">
        <v>732</v>
      </c>
      <c r="D733" s="51">
        <v>1992</v>
      </c>
      <c r="E733" s="53">
        <v>236125111</v>
      </c>
      <c r="F733" s="53">
        <v>204375145.52000001</v>
      </c>
      <c r="G733" s="53">
        <v>352638718</v>
      </c>
      <c r="H733" s="53">
        <v>40121545</v>
      </c>
      <c r="I733" s="54">
        <f t="shared" si="12"/>
        <v>833260519.51999998</v>
      </c>
      <c r="J733" s="52">
        <v>0</v>
      </c>
      <c r="K733" s="61"/>
      <c r="M733" s="38" t="str">
        <f>IF([1]totrevprm!O733="","",[1]totrevprm!O733)</f>
        <v/>
      </c>
    </row>
    <row r="734" spans="1:13">
      <c r="A734" s="49" t="s">
        <v>44</v>
      </c>
      <c r="B734" s="46" t="s">
        <v>778</v>
      </c>
      <c r="C734" s="50" t="s">
        <v>732</v>
      </c>
      <c r="D734" s="51">
        <v>1993</v>
      </c>
      <c r="E734" s="53">
        <v>238318364</v>
      </c>
      <c r="F734" s="53">
        <v>172138858</v>
      </c>
      <c r="G734" s="53">
        <v>322976510</v>
      </c>
      <c r="H734" s="53">
        <v>55186025</v>
      </c>
      <c r="I734" s="54">
        <f t="shared" si="12"/>
        <v>788619757</v>
      </c>
      <c r="J734" s="52">
        <v>0</v>
      </c>
      <c r="K734" s="61"/>
      <c r="M734" s="38" t="str">
        <f>IF([1]totrevprm!O734="","",[1]totrevprm!O734)</f>
        <v/>
      </c>
    </row>
    <row r="735" spans="1:13">
      <c r="A735" s="49" t="s">
        <v>44</v>
      </c>
      <c r="B735" s="46" t="s">
        <v>778</v>
      </c>
      <c r="C735" s="50" t="s">
        <v>732</v>
      </c>
      <c r="D735" s="51">
        <v>1994</v>
      </c>
      <c r="E735" s="53">
        <v>248769967</v>
      </c>
      <c r="F735" s="53">
        <v>244794929</v>
      </c>
      <c r="G735" s="53">
        <v>329123557</v>
      </c>
      <c r="H735" s="53">
        <v>67038506</v>
      </c>
      <c r="I735" s="54">
        <f t="shared" si="12"/>
        <v>889726959</v>
      </c>
      <c r="J735" s="52">
        <v>0</v>
      </c>
      <c r="K735" s="61"/>
      <c r="M735" s="38" t="str">
        <f>IF([1]totrevprm!O735="","",[1]totrevprm!O735)</f>
        <v/>
      </c>
    </row>
    <row r="736" spans="1:13">
      <c r="A736" s="49" t="s">
        <v>44</v>
      </c>
      <c r="B736" s="46" t="s">
        <v>778</v>
      </c>
      <c r="C736" s="50" t="s">
        <v>732</v>
      </c>
      <c r="D736" s="51">
        <v>1995</v>
      </c>
      <c r="E736" s="53">
        <v>270300977</v>
      </c>
      <c r="F736" s="53">
        <v>250045083</v>
      </c>
      <c r="G736" s="53">
        <v>348737618</v>
      </c>
      <c r="H736" s="53">
        <v>71961672</v>
      </c>
      <c r="I736" s="54">
        <f t="shared" si="12"/>
        <v>941045350</v>
      </c>
      <c r="J736" s="52">
        <v>0</v>
      </c>
      <c r="K736" s="61"/>
      <c r="M736" s="38" t="str">
        <f>IF([1]totrevprm!O736="","",[1]totrevprm!O736)</f>
        <v/>
      </c>
    </row>
    <row r="737" spans="1:13">
      <c r="A737" s="49" t="s">
        <v>44</v>
      </c>
      <c r="B737" s="46" t="s">
        <v>778</v>
      </c>
      <c r="C737" s="50" t="s">
        <v>732</v>
      </c>
      <c r="D737" s="51">
        <v>1996</v>
      </c>
      <c r="E737" s="53">
        <v>266662231</v>
      </c>
      <c r="F737" s="53">
        <v>195967922</v>
      </c>
      <c r="G737" s="53">
        <v>353848307</v>
      </c>
      <c r="H737" s="53">
        <v>114182473</v>
      </c>
      <c r="I737" s="54">
        <f t="shared" si="12"/>
        <v>930660933</v>
      </c>
      <c r="J737" s="52">
        <v>0</v>
      </c>
      <c r="K737" s="61"/>
      <c r="M737" s="38" t="str">
        <f>IF([1]totrevprm!O737="","",[1]totrevprm!O737)</f>
        <v/>
      </c>
    </row>
    <row r="738" spans="1:13">
      <c r="A738" s="49" t="s">
        <v>44</v>
      </c>
      <c r="B738" s="46" t="s">
        <v>778</v>
      </c>
      <c r="C738" s="50" t="s">
        <v>732</v>
      </c>
      <c r="D738" s="51">
        <v>1997</v>
      </c>
      <c r="E738" s="53">
        <v>284860385</v>
      </c>
      <c r="F738" s="53">
        <v>264033487</v>
      </c>
      <c r="G738" s="53">
        <v>333331361</v>
      </c>
      <c r="H738" s="53">
        <v>19887348</v>
      </c>
      <c r="I738" s="54">
        <f t="shared" si="12"/>
        <v>902112581</v>
      </c>
      <c r="J738" s="52">
        <v>0</v>
      </c>
      <c r="K738" s="61"/>
      <c r="M738" s="38" t="str">
        <f>IF([1]totrevprm!O738="","",[1]totrevprm!O738)</f>
        <v/>
      </c>
    </row>
    <row r="739" spans="1:13">
      <c r="A739" s="49" t="s">
        <v>44</v>
      </c>
      <c r="B739" s="46" t="s">
        <v>778</v>
      </c>
      <c r="C739" s="50" t="s">
        <v>732</v>
      </c>
      <c r="D739" s="51">
        <v>1998</v>
      </c>
      <c r="E739" s="53">
        <v>266013103</v>
      </c>
      <c r="F739" s="53">
        <v>251185254</v>
      </c>
      <c r="G739" s="53">
        <v>319592654</v>
      </c>
      <c r="H739" s="53">
        <v>150662978</v>
      </c>
      <c r="I739" s="54">
        <f t="shared" si="12"/>
        <v>987453989</v>
      </c>
      <c r="J739" s="52">
        <v>0</v>
      </c>
      <c r="K739" s="61"/>
      <c r="M739" s="38" t="str">
        <f>IF([1]totrevprm!O739="","",[1]totrevprm!O739)</f>
        <v/>
      </c>
    </row>
    <row r="740" spans="1:13">
      <c r="A740" s="49" t="s">
        <v>44</v>
      </c>
      <c r="B740" s="46" t="s">
        <v>778</v>
      </c>
      <c r="C740" s="50" t="s">
        <v>732</v>
      </c>
      <c r="D740" s="51">
        <v>1999</v>
      </c>
      <c r="E740" s="53">
        <v>348461472</v>
      </c>
      <c r="F740" s="53">
        <v>290690820</v>
      </c>
      <c r="G740" s="53">
        <v>328367163</v>
      </c>
      <c r="H740" s="53">
        <v>50073932</v>
      </c>
      <c r="I740" s="54">
        <f t="shared" si="12"/>
        <v>1017593387</v>
      </c>
      <c r="J740" s="52">
        <v>0</v>
      </c>
      <c r="K740" s="61"/>
      <c r="M740" s="38" t="str">
        <f>IF([1]totrevprm!O740="","",[1]totrevprm!O740)</f>
        <v/>
      </c>
    </row>
    <row r="741" spans="1:13">
      <c r="A741" s="49" t="s">
        <v>44</v>
      </c>
      <c r="B741" s="46" t="s">
        <v>778</v>
      </c>
      <c r="C741" s="50" t="s">
        <v>732</v>
      </c>
      <c r="D741" s="51">
        <v>2000</v>
      </c>
      <c r="E741" s="53">
        <v>297620356</v>
      </c>
      <c r="F741" s="53">
        <v>356673168</v>
      </c>
      <c r="G741" s="53">
        <v>315050368</v>
      </c>
      <c r="H741" s="53">
        <v>25000729</v>
      </c>
      <c r="I741" s="54">
        <f t="shared" si="12"/>
        <v>994344621</v>
      </c>
      <c r="J741" s="52">
        <v>0</v>
      </c>
      <c r="K741" s="61"/>
      <c r="M741" s="38" t="str">
        <f>IF([1]totrevprm!O741="","",[1]totrevprm!O741)</f>
        <v/>
      </c>
    </row>
    <row r="742" spans="1:13">
      <c r="A742" s="49" t="s">
        <v>44</v>
      </c>
      <c r="B742" s="46" t="s">
        <v>778</v>
      </c>
      <c r="C742" s="50" t="s">
        <v>732</v>
      </c>
      <c r="D742" s="51">
        <v>2001</v>
      </c>
      <c r="E742" s="53">
        <v>282813848</v>
      </c>
      <c r="F742" s="53">
        <v>405279312</v>
      </c>
      <c r="G742" s="53">
        <v>323524951</v>
      </c>
      <c r="H742" s="53">
        <v>37673601</v>
      </c>
      <c r="I742" s="54">
        <f t="shared" si="12"/>
        <v>1049291712</v>
      </c>
      <c r="J742" s="52">
        <v>0</v>
      </c>
      <c r="K742" s="61"/>
      <c r="M742" s="38" t="str">
        <f>IF([1]totrevprm!O742="","",[1]totrevprm!O742)</f>
        <v/>
      </c>
    </row>
    <row r="743" spans="1:13">
      <c r="A743" s="49" t="s">
        <v>44</v>
      </c>
      <c r="B743" s="46" t="s">
        <v>778</v>
      </c>
      <c r="C743" s="50" t="s">
        <v>732</v>
      </c>
      <c r="D743" s="51">
        <v>2002</v>
      </c>
      <c r="E743" s="53">
        <v>334023655</v>
      </c>
      <c r="F743" s="53">
        <v>640376252</v>
      </c>
      <c r="G743" s="53">
        <v>364934677</v>
      </c>
      <c r="H743" s="53">
        <v>32454741</v>
      </c>
      <c r="I743" s="54">
        <f t="shared" si="12"/>
        <v>1371789325</v>
      </c>
      <c r="J743" s="52">
        <v>0</v>
      </c>
      <c r="K743" s="61"/>
      <c r="M743" s="38" t="str">
        <f>IF([1]totrevprm!O743="","",[1]totrevprm!O743)</f>
        <v/>
      </c>
    </row>
    <row r="744" spans="1:13">
      <c r="A744" s="49" t="s">
        <v>44</v>
      </c>
      <c r="B744" s="46" t="s">
        <v>778</v>
      </c>
      <c r="C744" s="50" t="s">
        <v>732</v>
      </c>
      <c r="D744" s="51">
        <v>2003</v>
      </c>
      <c r="E744" s="55">
        <v>320072923</v>
      </c>
      <c r="F744" s="55">
        <v>522887967</v>
      </c>
      <c r="G744" s="55">
        <v>371570538</v>
      </c>
      <c r="H744" s="55">
        <v>50152412</v>
      </c>
      <c r="I744" s="54">
        <f t="shared" si="12"/>
        <v>1264683840</v>
      </c>
      <c r="J744" s="52">
        <v>0</v>
      </c>
      <c r="K744" s="61"/>
      <c r="M744" s="38" t="str">
        <f>IF([1]totrevprm!O744="","",[1]totrevprm!O744)</f>
        <v/>
      </c>
    </row>
    <row r="745" spans="1:13">
      <c r="A745" s="49" t="s">
        <v>44</v>
      </c>
      <c r="B745" s="46" t="s">
        <v>778</v>
      </c>
      <c r="C745" s="50" t="s">
        <v>732</v>
      </c>
      <c r="D745" s="51">
        <v>2004</v>
      </c>
      <c r="E745" s="55">
        <v>311301627</v>
      </c>
      <c r="F745" s="55">
        <v>439715909</v>
      </c>
      <c r="G745" s="55">
        <v>399355879</v>
      </c>
      <c r="H745" s="55">
        <v>55627947</v>
      </c>
      <c r="I745" s="54">
        <f t="shared" si="12"/>
        <v>1206001362</v>
      </c>
      <c r="J745" s="52">
        <v>0</v>
      </c>
      <c r="K745" s="61"/>
      <c r="M745" s="38" t="str">
        <f>IF([1]totrevprm!O745="","",[1]totrevprm!O745)</f>
        <v/>
      </c>
    </row>
    <row r="746" spans="1:13">
      <c r="A746" s="49" t="s">
        <v>44</v>
      </c>
      <c r="B746" s="46" t="s">
        <v>778</v>
      </c>
      <c r="C746" s="50"/>
      <c r="D746" s="51">
        <v>2005</v>
      </c>
      <c r="E746" s="55">
        <v>348452634</v>
      </c>
      <c r="F746" s="55">
        <v>375814326</v>
      </c>
      <c r="G746" s="55">
        <v>495094180.76999903</v>
      </c>
      <c r="H746" s="55">
        <v>0</v>
      </c>
      <c r="I746" s="54">
        <f t="shared" si="12"/>
        <v>1219361140.769999</v>
      </c>
      <c r="J746" s="52">
        <v>0</v>
      </c>
      <c r="K746" s="61"/>
      <c r="M746" s="38" t="str">
        <f>IF([1]totrevprm!O746="","",[1]totrevprm!O746)</f>
        <v/>
      </c>
    </row>
    <row r="747" spans="1:13">
      <c r="A747" s="49" t="s">
        <v>44</v>
      </c>
      <c r="B747" s="46" t="s">
        <v>778</v>
      </c>
      <c r="C747" s="50"/>
      <c r="D747" s="51">
        <v>2006</v>
      </c>
      <c r="E747" s="56">
        <v>335928198</v>
      </c>
      <c r="F747" s="56">
        <v>382858325</v>
      </c>
      <c r="G747" s="56">
        <v>614238997</v>
      </c>
      <c r="H747" s="56">
        <v>0</v>
      </c>
      <c r="I747" s="54">
        <f t="shared" si="12"/>
        <v>1333025520</v>
      </c>
      <c r="J747" s="52">
        <v>0</v>
      </c>
      <c r="K747" s="61"/>
      <c r="M747" s="38" t="str">
        <f>IF([1]totrevprm!O747="","",[1]totrevprm!O747)</f>
        <v/>
      </c>
    </row>
    <row r="748" spans="1:13">
      <c r="A748" s="49" t="s">
        <v>44</v>
      </c>
      <c r="B748" s="46" t="s">
        <v>778</v>
      </c>
      <c r="C748" s="50"/>
      <c r="D748" s="51">
        <v>2007</v>
      </c>
      <c r="E748" s="56">
        <v>370265342</v>
      </c>
      <c r="F748" s="56">
        <v>453329640</v>
      </c>
      <c r="G748" s="56">
        <v>759775549</v>
      </c>
      <c r="H748" s="56">
        <v>0</v>
      </c>
      <c r="I748" s="54">
        <f t="shared" si="12"/>
        <v>1583370531</v>
      </c>
      <c r="J748" s="52">
        <v>0</v>
      </c>
      <c r="K748" s="61"/>
      <c r="M748" s="38" t="str">
        <f>IF([1]totrevprm!O748="","",[1]totrevprm!O748)</f>
        <v/>
      </c>
    </row>
    <row r="749" spans="1:13">
      <c r="A749" s="49" t="s">
        <v>44</v>
      </c>
      <c r="B749" s="46" t="s">
        <v>778</v>
      </c>
      <c r="C749" s="50"/>
      <c r="D749" s="51">
        <v>2008</v>
      </c>
      <c r="E749" s="56">
        <v>378249617</v>
      </c>
      <c r="F749" s="56">
        <v>748592595</v>
      </c>
      <c r="G749" s="56">
        <v>934417918</v>
      </c>
      <c r="H749" s="56">
        <v>0</v>
      </c>
      <c r="I749" s="54">
        <f t="shared" si="12"/>
        <v>2061260130</v>
      </c>
      <c r="J749" s="52">
        <v>0</v>
      </c>
      <c r="K749" s="61"/>
      <c r="M749" s="38" t="str">
        <f>IF([1]totrevprm!O749="","",[1]totrevprm!O749)</f>
        <v/>
      </c>
    </row>
    <row r="750" spans="1:13">
      <c r="A750" s="49" t="s">
        <v>44</v>
      </c>
      <c r="B750" s="46" t="s">
        <v>778</v>
      </c>
      <c r="C750" s="50"/>
      <c r="D750" s="51">
        <v>2009</v>
      </c>
      <c r="E750" s="56">
        <v>376299271</v>
      </c>
      <c r="F750" s="56">
        <v>635147204</v>
      </c>
      <c r="G750" s="56">
        <v>1461212242</v>
      </c>
      <c r="H750" s="56">
        <v>0</v>
      </c>
      <c r="I750" s="54">
        <f t="shared" si="12"/>
        <v>2472658717</v>
      </c>
      <c r="J750" s="52">
        <v>2016321</v>
      </c>
      <c r="K750" s="61" t="s">
        <v>736</v>
      </c>
      <c r="L750" t="s">
        <v>720</v>
      </c>
      <c r="M750" s="38" t="str">
        <f>IF([1]totrevprm!O750="","",[1]totrevprm!O750)</f>
        <v/>
      </c>
    </row>
    <row r="751" spans="1:13">
      <c r="A751" s="49" t="s">
        <v>44</v>
      </c>
      <c r="B751" s="46" t="s">
        <v>778</v>
      </c>
      <c r="C751" s="50"/>
      <c r="D751" s="51">
        <v>2010</v>
      </c>
      <c r="E751" s="56">
        <v>408408080</v>
      </c>
      <c r="F751" s="52">
        <v>560169643</v>
      </c>
      <c r="G751" s="56">
        <v>1622108827</v>
      </c>
      <c r="H751" s="56">
        <v>0</v>
      </c>
      <c r="I751" s="54">
        <f t="shared" si="12"/>
        <v>2590686550</v>
      </c>
      <c r="J751" s="52">
        <v>2238767</v>
      </c>
      <c r="K751" s="61" t="s">
        <v>736</v>
      </c>
      <c r="L751" t="s">
        <v>720</v>
      </c>
      <c r="M751" s="38" t="str">
        <f>IF([1]totrevprm!O751="","",[1]totrevprm!O751)</f>
        <v/>
      </c>
    </row>
    <row r="752" spans="1:13">
      <c r="A752" s="49" t="s">
        <v>44</v>
      </c>
      <c r="B752" s="46" t="s">
        <v>778</v>
      </c>
      <c r="C752" s="50"/>
      <c r="D752" s="51">
        <v>2011</v>
      </c>
      <c r="E752" s="56">
        <v>429568480</v>
      </c>
      <c r="F752" s="52">
        <v>540286662</v>
      </c>
      <c r="G752" s="56">
        <v>1721187580.51</v>
      </c>
      <c r="H752" s="56">
        <v>0</v>
      </c>
      <c r="I752" s="54">
        <f t="shared" si="12"/>
        <v>2691042722.5100002</v>
      </c>
      <c r="J752" s="52">
        <v>186665</v>
      </c>
      <c r="K752" s="61" t="s">
        <v>736</v>
      </c>
      <c r="L752" t="s">
        <v>720</v>
      </c>
      <c r="M752" s="38" t="str">
        <f>IF([1]totrevprm!O752="","",[1]totrevprm!O752)</f>
        <v/>
      </c>
    </row>
    <row r="753" spans="1:13">
      <c r="A753" s="49" t="s">
        <v>44</v>
      </c>
      <c r="B753" s="46" t="s">
        <v>778</v>
      </c>
      <c r="C753" s="50"/>
      <c r="D753" s="51">
        <v>2012</v>
      </c>
      <c r="E753" s="56">
        <v>428345193</v>
      </c>
      <c r="F753" s="52">
        <v>693163890</v>
      </c>
      <c r="G753" s="56">
        <v>2028998396</v>
      </c>
      <c r="H753" s="56">
        <v>0</v>
      </c>
      <c r="I753" s="54">
        <f t="shared" si="12"/>
        <v>3150507479</v>
      </c>
      <c r="J753" s="52">
        <v>464155</v>
      </c>
      <c r="K753" s="61" t="s">
        <v>736</v>
      </c>
      <c r="L753" t="s">
        <v>720</v>
      </c>
      <c r="M753" s="38" t="str">
        <f>IF([1]totrevprm!O753="","",[1]totrevprm!O753)</f>
        <v/>
      </c>
    </row>
    <row r="754" spans="1:13">
      <c r="A754" s="49" t="s">
        <v>44</v>
      </c>
      <c r="B754" s="46" t="s">
        <v>778</v>
      </c>
      <c r="C754" s="50"/>
      <c r="D754" s="51">
        <v>2013</v>
      </c>
      <c r="E754" s="56">
        <v>430399020</v>
      </c>
      <c r="F754" s="52">
        <v>617619418</v>
      </c>
      <c r="G754" s="52">
        <v>2012988030</v>
      </c>
      <c r="H754" s="56">
        <v>0</v>
      </c>
      <c r="I754" s="54">
        <f t="shared" si="12"/>
        <v>3061006468</v>
      </c>
      <c r="J754" s="52">
        <v>361903</v>
      </c>
      <c r="K754" s="61" t="s">
        <v>736</v>
      </c>
      <c r="L754" t="s">
        <v>720</v>
      </c>
      <c r="M754" s="38" t="str">
        <f>IF([1]totrevprm!O754="","",[1]totrevprm!O754)</f>
        <v/>
      </c>
    </row>
    <row r="755" spans="1:13">
      <c r="A755" s="49" t="s">
        <v>44</v>
      </c>
      <c r="B755" s="46" t="s">
        <v>778</v>
      </c>
      <c r="C755" s="50"/>
      <c r="D755" s="51">
        <v>2014</v>
      </c>
      <c r="E755" s="56">
        <v>444523134</v>
      </c>
      <c r="F755" s="56">
        <v>691538364</v>
      </c>
      <c r="G755" s="52">
        <v>1501994698.0699999</v>
      </c>
      <c r="H755" s="56">
        <v>0</v>
      </c>
      <c r="I755" s="54">
        <f t="shared" si="12"/>
        <v>2638056196.0699997</v>
      </c>
      <c r="J755" s="52">
        <v>524418</v>
      </c>
      <c r="K755" s="61" t="s">
        <v>736</v>
      </c>
      <c r="L755" t="s">
        <v>720</v>
      </c>
      <c r="M755" s="38" t="str">
        <f>IF([1]totrevprm!O755="","",[1]totrevprm!O755)</f>
        <v/>
      </c>
    </row>
    <row r="756" spans="1:13">
      <c r="A756" s="49" t="s">
        <v>44</v>
      </c>
      <c r="B756" s="46" t="s">
        <v>778</v>
      </c>
      <c r="C756" s="50"/>
      <c r="D756" s="51">
        <v>2015</v>
      </c>
      <c r="E756" s="56">
        <v>478624619</v>
      </c>
      <c r="F756" s="56">
        <v>792866083</v>
      </c>
      <c r="G756" s="52">
        <v>1467631221</v>
      </c>
      <c r="H756" s="56">
        <v>0</v>
      </c>
      <c r="I756" s="54">
        <f t="shared" si="12"/>
        <v>2739121923</v>
      </c>
      <c r="J756" s="52">
        <v>550952</v>
      </c>
      <c r="K756" s="61" t="s">
        <v>736</v>
      </c>
      <c r="L756" t="s">
        <v>720</v>
      </c>
      <c r="M756" s="38" t="str">
        <f>IF([1]totrevprm!O756="","",[1]totrevprm!O756)</f>
        <v/>
      </c>
    </row>
    <row r="757" spans="1:13">
      <c r="A757" s="49" t="s">
        <v>44</v>
      </c>
      <c r="B757" s="46" t="s">
        <v>778</v>
      </c>
      <c r="C757" s="50"/>
      <c r="D757" s="51">
        <v>2016</v>
      </c>
      <c r="E757" s="56">
        <v>455348331</v>
      </c>
      <c r="F757" s="56">
        <v>792110527</v>
      </c>
      <c r="G757" s="52">
        <v>1572688885</v>
      </c>
      <c r="H757" s="56">
        <v>0</v>
      </c>
      <c r="I757" s="54">
        <f t="shared" si="12"/>
        <v>2820147743</v>
      </c>
      <c r="J757" s="52">
        <v>10757658</v>
      </c>
      <c r="K757" s="61" t="s">
        <v>736</v>
      </c>
      <c r="L757" t="s">
        <v>720</v>
      </c>
      <c r="M757" s="38" t="str">
        <f>IF([1]totrevprm!O757="","",[1]totrevprm!O757)</f>
        <v/>
      </c>
    </row>
    <row r="758" spans="1:13">
      <c r="A758" s="49" t="s">
        <v>44</v>
      </c>
      <c r="B758" s="46" t="s">
        <v>778</v>
      </c>
      <c r="C758" s="50"/>
      <c r="D758" s="51">
        <v>2017</v>
      </c>
      <c r="E758" s="56">
        <v>445279009</v>
      </c>
      <c r="F758" s="56">
        <v>892960126</v>
      </c>
      <c r="G758" s="52">
        <v>1595448016</v>
      </c>
      <c r="H758" s="56">
        <v>0</v>
      </c>
      <c r="I758" s="54">
        <f t="shared" si="12"/>
        <v>2933687151</v>
      </c>
      <c r="J758" s="56">
        <v>6757809</v>
      </c>
      <c r="K758" s="61" t="s">
        <v>768</v>
      </c>
      <c r="L758" t="s">
        <v>720</v>
      </c>
      <c r="M758" s="38" t="str">
        <f>IF([1]totrevprm!O758="","",[1]totrevprm!O758)</f>
        <v/>
      </c>
    </row>
    <row r="759" spans="1:13">
      <c r="A759" s="49" t="s">
        <v>44</v>
      </c>
      <c r="B759" s="46" t="s">
        <v>778</v>
      </c>
      <c r="C759" s="50"/>
      <c r="D759" s="51">
        <v>2018</v>
      </c>
      <c r="E759" s="56">
        <v>460406887</v>
      </c>
      <c r="F759" s="56">
        <v>1050266144</v>
      </c>
      <c r="G759" s="52">
        <v>1962857827.77</v>
      </c>
      <c r="H759" s="65">
        <v>0</v>
      </c>
      <c r="I759" s="54">
        <f t="shared" si="12"/>
        <v>3473530858.77</v>
      </c>
      <c r="J759" s="56">
        <v>5741742</v>
      </c>
      <c r="K759" s="61" t="s">
        <v>737</v>
      </c>
      <c r="L759" t="s">
        <v>720</v>
      </c>
      <c r="M759" s="38" t="str">
        <f>IF([1]totrevprm!O759="","",[1]totrevprm!O759)</f>
        <v>Yes</v>
      </c>
    </row>
    <row r="760" spans="1:13">
      <c r="A760" s="49" t="s">
        <v>44</v>
      </c>
      <c r="B760" s="46" t="s">
        <v>778</v>
      </c>
      <c r="C760" s="50"/>
      <c r="D760" s="51">
        <v>2019</v>
      </c>
      <c r="E760" s="56">
        <v>465683963</v>
      </c>
      <c r="F760" s="56">
        <v>1045022527</v>
      </c>
      <c r="G760" s="52">
        <v>2097043194.0999999</v>
      </c>
      <c r="H760" s="65">
        <v>0</v>
      </c>
      <c r="I760" s="54">
        <f t="shared" si="12"/>
        <v>3607749684.0999999</v>
      </c>
      <c r="J760" s="56">
        <v>11875788</v>
      </c>
      <c r="K760" s="61" t="s">
        <v>738</v>
      </c>
      <c r="L760" t="s">
        <v>720</v>
      </c>
      <c r="M760" s="38" t="str">
        <f>IF([1]totrevprm!O760="","",[1]totrevprm!O760)</f>
        <v/>
      </c>
    </row>
    <row r="761" spans="1:13">
      <c r="A761" s="49" t="s">
        <v>44</v>
      </c>
      <c r="B761" s="46" t="s">
        <v>778</v>
      </c>
      <c r="C761" s="50"/>
      <c r="D761" s="51">
        <v>2020</v>
      </c>
      <c r="E761" s="56">
        <v>459120238</v>
      </c>
      <c r="F761" s="56">
        <v>903002039</v>
      </c>
      <c r="G761" s="52">
        <v>2066777968</v>
      </c>
      <c r="H761" s="65">
        <v>0</v>
      </c>
      <c r="I761" s="54">
        <f t="shared" si="12"/>
        <v>3428900245</v>
      </c>
      <c r="J761" s="56">
        <v>9720100</v>
      </c>
      <c r="K761" s="61" t="s">
        <v>738</v>
      </c>
      <c r="L761" t="s">
        <v>720</v>
      </c>
      <c r="M761" s="38" t="str">
        <f>IF([1]totrevprm!O761="","",[1]totrevprm!O761)</f>
        <v/>
      </c>
    </row>
    <row r="762" spans="1:13">
      <c r="A762" s="49" t="s">
        <v>44</v>
      </c>
      <c r="B762" s="46" t="s">
        <v>778</v>
      </c>
      <c r="C762" s="50"/>
      <c r="D762" s="51">
        <v>2021</v>
      </c>
      <c r="E762" s="56">
        <v>491682072</v>
      </c>
      <c r="F762" s="56">
        <v>1321483044</v>
      </c>
      <c r="G762" s="52">
        <v>2048489176</v>
      </c>
      <c r="H762" s="65">
        <v>0</v>
      </c>
      <c r="I762" s="54">
        <f t="shared" si="12"/>
        <v>3861654292</v>
      </c>
      <c r="J762" s="52">
        <v>0</v>
      </c>
      <c r="K762" s="61" t="s">
        <v>739</v>
      </c>
      <c r="L762" t="s">
        <v>720</v>
      </c>
      <c r="M762" s="38" t="s">
        <v>720</v>
      </c>
    </row>
    <row r="763" spans="1:13">
      <c r="A763" s="49" t="s">
        <v>44</v>
      </c>
      <c r="B763" s="46" t="s">
        <v>778</v>
      </c>
      <c r="C763" s="50"/>
      <c r="D763" s="51">
        <v>2022</v>
      </c>
      <c r="E763" s="56">
        <v>526201177</v>
      </c>
      <c r="F763" s="56">
        <v>1374243392</v>
      </c>
      <c r="G763" s="52">
        <v>2092786654</v>
      </c>
      <c r="H763" s="65">
        <v>0</v>
      </c>
      <c r="I763" s="54">
        <f t="shared" si="12"/>
        <v>3993231223</v>
      </c>
      <c r="J763" s="52">
        <v>0</v>
      </c>
      <c r="K763" s="61" t="s">
        <v>739</v>
      </c>
      <c r="L763" t="s">
        <v>720</v>
      </c>
      <c r="M763" s="38" t="s">
        <v>720</v>
      </c>
    </row>
    <row r="764" spans="1:13">
      <c r="A764" s="49" t="s">
        <v>44</v>
      </c>
      <c r="B764" s="46" t="s">
        <v>778</v>
      </c>
      <c r="C764" s="50"/>
      <c r="D764" s="51">
        <v>2023</v>
      </c>
      <c r="E764" s="56">
        <v>511065827</v>
      </c>
      <c r="F764" s="56">
        <v>1723182814.1688001</v>
      </c>
      <c r="G764" s="52">
        <v>2131449635.71</v>
      </c>
      <c r="H764" s="56">
        <v>0</v>
      </c>
      <c r="I764" s="54">
        <f>SUM(E764:H764)</f>
        <v>4365698276.8788004</v>
      </c>
      <c r="J764" s="52">
        <v>0</v>
      </c>
      <c r="K764" s="61" t="s">
        <v>739</v>
      </c>
      <c r="M764" s="38"/>
    </row>
    <row r="765" spans="1:13">
      <c r="A765" s="49" t="s">
        <v>44</v>
      </c>
      <c r="B765" s="46" t="s">
        <v>778</v>
      </c>
      <c r="C765" s="50"/>
      <c r="D765" s="57">
        <v>2024</v>
      </c>
      <c r="E765" s="52">
        <v>528045131.08999997</v>
      </c>
      <c r="F765" s="52">
        <v>1891555248.3499999</v>
      </c>
      <c r="G765" s="52">
        <v>2029454099.2</v>
      </c>
      <c r="H765" s="52">
        <v>0</v>
      </c>
      <c r="I765" s="54">
        <f t="shared" ref="I765" si="13">SUM(E765:H765)</f>
        <v>4449054478.6400003</v>
      </c>
      <c r="J765" s="56">
        <v>0</v>
      </c>
      <c r="K765" s="61" t="s">
        <v>739</v>
      </c>
      <c r="M765" s="38"/>
    </row>
    <row r="766" spans="1:13">
      <c r="A766" s="49"/>
      <c r="B766" s="50"/>
      <c r="C766" s="50"/>
      <c r="E766" s="53"/>
      <c r="F766" s="53"/>
      <c r="G766" s="53"/>
      <c r="H766" s="53"/>
      <c r="I766" s="54"/>
      <c r="J766" s="52"/>
      <c r="K766" s="61"/>
      <c r="M766" s="38"/>
    </row>
    <row r="767" spans="1:13">
      <c r="A767" s="49" t="s">
        <v>45</v>
      </c>
      <c r="B767" s="46" t="s">
        <v>779</v>
      </c>
      <c r="C767" s="50" t="s">
        <v>731</v>
      </c>
      <c r="D767" s="51">
        <v>1988</v>
      </c>
      <c r="E767" s="53">
        <v>1100513137</v>
      </c>
      <c r="F767" s="53">
        <v>733179846</v>
      </c>
      <c r="G767" s="53">
        <v>1872016098</v>
      </c>
      <c r="H767" s="53">
        <v>0</v>
      </c>
      <c r="I767" s="54">
        <f t="shared" ref="I767:I832" si="14">SUM(E767:H767)</f>
        <v>3705709081</v>
      </c>
      <c r="J767" s="52">
        <v>0</v>
      </c>
      <c r="K767" s="61"/>
      <c r="M767" s="38" t="str">
        <f>IF([1]totrevprm!O767="","",[1]totrevprm!O767)</f>
        <v/>
      </c>
    </row>
    <row r="768" spans="1:13">
      <c r="A768" s="49" t="s">
        <v>45</v>
      </c>
      <c r="B768" s="46" t="s">
        <v>779</v>
      </c>
      <c r="C768" s="50" t="s">
        <v>732</v>
      </c>
      <c r="D768" s="51">
        <v>1989</v>
      </c>
      <c r="E768" s="53">
        <v>1145229975</v>
      </c>
      <c r="F768" s="53">
        <v>921665068</v>
      </c>
      <c r="G768" s="53">
        <v>1988481174</v>
      </c>
      <c r="H768" s="53">
        <v>0</v>
      </c>
      <c r="I768" s="54">
        <f t="shared" si="14"/>
        <v>4055376217</v>
      </c>
      <c r="J768" s="52">
        <v>0</v>
      </c>
      <c r="K768" s="61"/>
      <c r="M768" s="38" t="str">
        <f>IF([1]totrevprm!O768="","",[1]totrevprm!O768)</f>
        <v/>
      </c>
    </row>
    <row r="769" spans="1:13">
      <c r="A769" s="49" t="s">
        <v>45</v>
      </c>
      <c r="B769" s="46" t="s">
        <v>779</v>
      </c>
      <c r="C769" s="50" t="s">
        <v>732</v>
      </c>
      <c r="D769" s="51">
        <v>1990</v>
      </c>
      <c r="E769" s="53">
        <v>1191463774</v>
      </c>
      <c r="F769" s="53">
        <v>1117302797.52</v>
      </c>
      <c r="G769" s="53">
        <v>2144409308</v>
      </c>
      <c r="H769" s="53">
        <v>0</v>
      </c>
      <c r="I769" s="54">
        <f t="shared" si="14"/>
        <v>4453175879.5200005</v>
      </c>
      <c r="J769" s="52">
        <v>0</v>
      </c>
      <c r="K769" s="61"/>
      <c r="M769" s="38" t="str">
        <f>IF([1]totrevprm!O769="","",[1]totrevprm!O769)</f>
        <v/>
      </c>
    </row>
    <row r="770" spans="1:13">
      <c r="A770" s="49" t="s">
        <v>45</v>
      </c>
      <c r="B770" s="46" t="s">
        <v>779</v>
      </c>
      <c r="C770" s="50" t="s">
        <v>732</v>
      </c>
      <c r="D770" s="51">
        <v>1991</v>
      </c>
      <c r="E770" s="53">
        <v>1263365695</v>
      </c>
      <c r="F770" s="53">
        <v>1005736364</v>
      </c>
      <c r="G770" s="53">
        <v>1745723567</v>
      </c>
      <c r="H770" s="53">
        <v>0</v>
      </c>
      <c r="I770" s="54">
        <f t="shared" si="14"/>
        <v>4014825626</v>
      </c>
      <c r="J770" s="52">
        <v>0</v>
      </c>
      <c r="K770" s="61"/>
      <c r="M770" s="38" t="str">
        <f>IF([1]totrevprm!O770="","",[1]totrevprm!O770)</f>
        <v/>
      </c>
    </row>
    <row r="771" spans="1:13">
      <c r="A771" s="49" t="s">
        <v>45</v>
      </c>
      <c r="B771" s="46" t="s">
        <v>779</v>
      </c>
      <c r="C771" s="50" t="s">
        <v>732</v>
      </c>
      <c r="D771" s="51">
        <v>1992</v>
      </c>
      <c r="E771" s="53">
        <v>1358123602</v>
      </c>
      <c r="F771" s="53">
        <v>1369609901.6400001</v>
      </c>
      <c r="G771" s="53">
        <v>1635054709</v>
      </c>
      <c r="H771" s="53">
        <v>0</v>
      </c>
      <c r="I771" s="54">
        <f t="shared" si="14"/>
        <v>4362788212.6400003</v>
      </c>
      <c r="J771" s="52">
        <v>0</v>
      </c>
      <c r="K771" s="61"/>
      <c r="M771" s="38" t="str">
        <f>IF([1]totrevprm!O771="","",[1]totrevprm!O771)</f>
        <v/>
      </c>
    </row>
    <row r="772" spans="1:13">
      <c r="A772" s="49" t="s">
        <v>45</v>
      </c>
      <c r="B772" s="46" t="s">
        <v>779</v>
      </c>
      <c r="C772" s="50" t="s">
        <v>732</v>
      </c>
      <c r="D772" s="51">
        <v>1993</v>
      </c>
      <c r="E772" s="53">
        <v>1358348908</v>
      </c>
      <c r="F772" s="53">
        <v>1012867979</v>
      </c>
      <c r="G772" s="53">
        <v>1659545557</v>
      </c>
      <c r="H772" s="53">
        <v>0</v>
      </c>
      <c r="I772" s="54">
        <f t="shared" si="14"/>
        <v>4030762444</v>
      </c>
      <c r="J772" s="52">
        <v>0</v>
      </c>
      <c r="K772" s="61"/>
      <c r="M772" s="38" t="str">
        <f>IF([1]totrevprm!O772="","",[1]totrevprm!O772)</f>
        <v/>
      </c>
    </row>
    <row r="773" spans="1:13">
      <c r="A773" s="49" t="s">
        <v>45</v>
      </c>
      <c r="B773" s="46" t="s">
        <v>779</v>
      </c>
      <c r="C773" s="50" t="s">
        <v>732</v>
      </c>
      <c r="D773" s="51">
        <v>1994</v>
      </c>
      <c r="E773" s="53">
        <v>1405794797</v>
      </c>
      <c r="F773" s="53">
        <v>1228124274</v>
      </c>
      <c r="G773" s="53">
        <v>1638518200</v>
      </c>
      <c r="H773" s="53">
        <v>0</v>
      </c>
      <c r="I773" s="54">
        <f t="shared" si="14"/>
        <v>4272437271</v>
      </c>
      <c r="J773" s="52">
        <v>0</v>
      </c>
      <c r="K773" s="61"/>
      <c r="M773" s="38" t="str">
        <f>IF([1]totrevprm!O773="","",[1]totrevprm!O773)</f>
        <v/>
      </c>
    </row>
    <row r="774" spans="1:13">
      <c r="A774" s="49" t="s">
        <v>45</v>
      </c>
      <c r="B774" s="46" t="s">
        <v>779</v>
      </c>
      <c r="C774" s="50" t="s">
        <v>732</v>
      </c>
      <c r="D774" s="51">
        <v>1995</v>
      </c>
      <c r="E774" s="53">
        <v>1517772500</v>
      </c>
      <c r="F774" s="53">
        <v>1209099674</v>
      </c>
      <c r="G774" s="53">
        <v>1645912453</v>
      </c>
      <c r="H774" s="53">
        <v>0</v>
      </c>
      <c r="I774" s="54">
        <f t="shared" si="14"/>
        <v>4372784627</v>
      </c>
      <c r="J774" s="52">
        <v>0</v>
      </c>
      <c r="K774" s="61"/>
      <c r="M774" s="38" t="str">
        <f>IF([1]totrevprm!O774="","",[1]totrevprm!O774)</f>
        <v/>
      </c>
    </row>
    <row r="775" spans="1:13">
      <c r="A775" s="49" t="s">
        <v>45</v>
      </c>
      <c r="B775" s="46" t="s">
        <v>779</v>
      </c>
      <c r="C775" s="50" t="s">
        <v>732</v>
      </c>
      <c r="D775" s="51">
        <v>1996</v>
      </c>
      <c r="E775" s="53">
        <v>1632127857</v>
      </c>
      <c r="F775" s="53">
        <v>1080298182</v>
      </c>
      <c r="G775" s="53">
        <v>1637026483</v>
      </c>
      <c r="H775" s="53">
        <v>0</v>
      </c>
      <c r="I775" s="54">
        <f t="shared" si="14"/>
        <v>4349452522</v>
      </c>
      <c r="J775" s="52">
        <v>0</v>
      </c>
      <c r="K775" s="61"/>
      <c r="M775" s="38" t="str">
        <f>IF([1]totrevprm!O775="","",[1]totrevprm!O775)</f>
        <v/>
      </c>
    </row>
    <row r="776" spans="1:13">
      <c r="A776" s="49" t="s">
        <v>45</v>
      </c>
      <c r="B776" s="46" t="s">
        <v>779</v>
      </c>
      <c r="C776" s="50" t="s">
        <v>732</v>
      </c>
      <c r="D776" s="51">
        <v>1997</v>
      </c>
      <c r="E776" s="53">
        <v>1588575292</v>
      </c>
      <c r="F776" s="53">
        <v>1024473490</v>
      </c>
      <c r="G776" s="53">
        <v>1734491700</v>
      </c>
      <c r="H776" s="53">
        <v>0</v>
      </c>
      <c r="I776" s="54">
        <f t="shared" si="14"/>
        <v>4347540482</v>
      </c>
      <c r="J776" s="52">
        <v>0</v>
      </c>
      <c r="K776" s="61"/>
      <c r="M776" s="38" t="str">
        <f>IF([1]totrevprm!O776="","",[1]totrevprm!O776)</f>
        <v/>
      </c>
    </row>
    <row r="777" spans="1:13">
      <c r="A777" s="49" t="s">
        <v>45</v>
      </c>
      <c r="B777" s="46" t="s">
        <v>779</v>
      </c>
      <c r="C777" s="50" t="s">
        <v>732</v>
      </c>
      <c r="D777" s="51">
        <v>1998</v>
      </c>
      <c r="E777" s="53">
        <v>1688281538</v>
      </c>
      <c r="F777" s="53">
        <v>1053738638</v>
      </c>
      <c r="G777" s="53">
        <v>1795521762</v>
      </c>
      <c r="H777" s="53">
        <v>0</v>
      </c>
      <c r="I777" s="54">
        <f t="shared" si="14"/>
        <v>4537541938</v>
      </c>
      <c r="J777" s="52">
        <v>0</v>
      </c>
      <c r="K777" s="61"/>
      <c r="M777" s="38" t="str">
        <f>IF([1]totrevprm!O777="","",[1]totrevprm!O777)</f>
        <v/>
      </c>
    </row>
    <row r="778" spans="1:13">
      <c r="A778" s="49" t="s">
        <v>45</v>
      </c>
      <c r="B778" s="46" t="s">
        <v>779</v>
      </c>
      <c r="C778" s="50" t="s">
        <v>732</v>
      </c>
      <c r="D778" s="51">
        <v>1999</v>
      </c>
      <c r="E778" s="53">
        <v>1552397622</v>
      </c>
      <c r="F778" s="53">
        <v>1349985708</v>
      </c>
      <c r="G778" s="53">
        <v>1935957228</v>
      </c>
      <c r="H778" s="53">
        <v>0</v>
      </c>
      <c r="I778" s="54">
        <f t="shared" si="14"/>
        <v>4838340558</v>
      </c>
      <c r="J778" s="52">
        <v>0</v>
      </c>
      <c r="K778" s="61"/>
      <c r="M778" s="38" t="str">
        <f>IF([1]totrevprm!O778="","",[1]totrevprm!O778)</f>
        <v/>
      </c>
    </row>
    <row r="779" spans="1:13">
      <c r="A779" s="49" t="s">
        <v>45</v>
      </c>
      <c r="B779" s="46" t="s">
        <v>779</v>
      </c>
      <c r="C779" s="50" t="s">
        <v>732</v>
      </c>
      <c r="D779" s="51">
        <v>2000</v>
      </c>
      <c r="E779" s="53">
        <v>1718273738</v>
      </c>
      <c r="F779" s="53">
        <v>1438550088</v>
      </c>
      <c r="G779" s="53">
        <v>2130025155</v>
      </c>
      <c r="H779" s="53">
        <v>0</v>
      </c>
      <c r="I779" s="54">
        <f t="shared" si="14"/>
        <v>5286848981</v>
      </c>
      <c r="J779" s="52">
        <v>0</v>
      </c>
      <c r="K779" s="61"/>
      <c r="M779" s="38" t="str">
        <f>IF([1]totrevprm!O779="","",[1]totrevprm!O779)</f>
        <v/>
      </c>
    </row>
    <row r="780" spans="1:13">
      <c r="A780" s="49" t="s">
        <v>45</v>
      </c>
      <c r="B780" s="46" t="s">
        <v>779</v>
      </c>
      <c r="C780" s="50" t="s">
        <v>732</v>
      </c>
      <c r="D780" s="51">
        <v>2001</v>
      </c>
      <c r="E780" s="53">
        <v>1703241352</v>
      </c>
      <c r="F780" s="53">
        <v>2078864778.2</v>
      </c>
      <c r="G780" s="53">
        <v>2254660723</v>
      </c>
      <c r="H780" s="53">
        <v>0</v>
      </c>
      <c r="I780" s="54">
        <f t="shared" si="14"/>
        <v>6036766853.1999998</v>
      </c>
      <c r="J780" s="52">
        <v>0</v>
      </c>
      <c r="K780" s="61"/>
      <c r="M780" s="38" t="str">
        <f>IF([1]totrevprm!O780="","",[1]totrevprm!O780)</f>
        <v/>
      </c>
    </row>
    <row r="781" spans="1:13">
      <c r="A781" s="49" t="s">
        <v>45</v>
      </c>
      <c r="B781" s="46" t="s">
        <v>779</v>
      </c>
      <c r="C781" s="50" t="s">
        <v>732</v>
      </c>
      <c r="D781" s="51">
        <v>2002</v>
      </c>
      <c r="E781" s="53">
        <v>1744145980</v>
      </c>
      <c r="F781" s="53">
        <v>2629263391</v>
      </c>
      <c r="G781" s="53">
        <v>2378845571</v>
      </c>
      <c r="H781" s="53">
        <v>0</v>
      </c>
      <c r="I781" s="54">
        <f t="shared" si="14"/>
        <v>6752254942</v>
      </c>
      <c r="J781" s="52">
        <v>0</v>
      </c>
      <c r="K781" s="61"/>
      <c r="M781" s="38" t="str">
        <f>IF([1]totrevprm!O781="","",[1]totrevprm!O781)</f>
        <v/>
      </c>
    </row>
    <row r="782" spans="1:13">
      <c r="A782" s="49" t="s">
        <v>45</v>
      </c>
      <c r="B782" s="46" t="s">
        <v>779</v>
      </c>
      <c r="C782" s="50" t="s">
        <v>732</v>
      </c>
      <c r="D782" s="51">
        <v>2003</v>
      </c>
      <c r="E782" s="55">
        <v>1870965444</v>
      </c>
      <c r="F782" s="55">
        <v>3097895350</v>
      </c>
      <c r="G782" s="55">
        <v>2439223032</v>
      </c>
      <c r="H782" s="53">
        <v>0</v>
      </c>
      <c r="I782" s="54">
        <f t="shared" si="14"/>
        <v>7408083826</v>
      </c>
      <c r="J782" s="52">
        <v>0</v>
      </c>
      <c r="K782" s="61"/>
      <c r="M782" s="38" t="str">
        <f>IF([1]totrevprm!O782="","",[1]totrevprm!O782)</f>
        <v/>
      </c>
    </row>
    <row r="783" spans="1:13">
      <c r="A783" s="49" t="s">
        <v>45</v>
      </c>
      <c r="B783" s="46" t="s">
        <v>779</v>
      </c>
      <c r="C783" s="50" t="s">
        <v>732</v>
      </c>
      <c r="D783" s="51">
        <v>2004</v>
      </c>
      <c r="E783" s="55">
        <v>1954175819</v>
      </c>
      <c r="F783" s="55">
        <v>2228188227</v>
      </c>
      <c r="G783" s="55">
        <v>2492018708</v>
      </c>
      <c r="H783" s="53">
        <v>0</v>
      </c>
      <c r="I783" s="54">
        <f t="shared" si="14"/>
        <v>6674382754</v>
      </c>
      <c r="J783" s="52">
        <v>0</v>
      </c>
      <c r="K783" s="61"/>
      <c r="M783" s="38" t="str">
        <f>IF([1]totrevprm!O783="","",[1]totrevprm!O783)</f>
        <v/>
      </c>
    </row>
    <row r="784" spans="1:13">
      <c r="A784" s="49" t="s">
        <v>45</v>
      </c>
      <c r="B784" s="46" t="s">
        <v>779</v>
      </c>
      <c r="C784" s="50"/>
      <c r="D784" s="51">
        <v>2005</v>
      </c>
      <c r="E784" s="55">
        <v>1965492865</v>
      </c>
      <c r="F784" s="55">
        <v>2274841052</v>
      </c>
      <c r="G784" s="55">
        <v>2688549703.5900002</v>
      </c>
      <c r="H784" s="53">
        <v>0</v>
      </c>
      <c r="I784" s="54">
        <f t="shared" si="14"/>
        <v>6928883620.5900002</v>
      </c>
      <c r="J784" s="52">
        <v>0</v>
      </c>
      <c r="K784" s="61"/>
      <c r="M784" s="38" t="str">
        <f>IF([1]totrevprm!O784="","",[1]totrevprm!O784)</f>
        <v/>
      </c>
    </row>
    <row r="785" spans="1:13">
      <c r="A785" s="49" t="s">
        <v>45</v>
      </c>
      <c r="B785" s="46" t="s">
        <v>779</v>
      </c>
      <c r="C785" s="50"/>
      <c r="D785" s="51">
        <v>2006</v>
      </c>
      <c r="E785" s="56">
        <v>2143588207</v>
      </c>
      <c r="F785" s="56">
        <v>2123976820</v>
      </c>
      <c r="G785" s="56">
        <v>3202480666</v>
      </c>
      <c r="H785" s="56">
        <v>0</v>
      </c>
      <c r="I785" s="54">
        <f t="shared" si="14"/>
        <v>7470045693</v>
      </c>
      <c r="J785" s="52">
        <v>0</v>
      </c>
      <c r="K785" s="61"/>
      <c r="M785" s="38" t="str">
        <f>IF([1]totrevprm!O785="","",[1]totrevprm!O785)</f>
        <v/>
      </c>
    </row>
    <row r="786" spans="1:13">
      <c r="A786" s="49" t="s">
        <v>45</v>
      </c>
      <c r="B786" s="46" t="s">
        <v>779</v>
      </c>
      <c r="C786" s="50"/>
      <c r="D786" s="51">
        <v>2007</v>
      </c>
      <c r="E786" s="56">
        <v>2204212801</v>
      </c>
      <c r="F786" s="56">
        <v>2403527601</v>
      </c>
      <c r="G786" s="56">
        <v>3773154488</v>
      </c>
      <c r="H786" s="56">
        <v>0</v>
      </c>
      <c r="I786" s="54">
        <f t="shared" si="14"/>
        <v>8380894890</v>
      </c>
      <c r="J786" s="52">
        <v>0</v>
      </c>
      <c r="K786" s="61"/>
      <c r="M786" s="38" t="str">
        <f>IF([1]totrevprm!O786="","",[1]totrevprm!O786)</f>
        <v/>
      </c>
    </row>
    <row r="787" spans="1:13">
      <c r="A787" s="49" t="s">
        <v>45</v>
      </c>
      <c r="B787" s="46" t="s">
        <v>779</v>
      </c>
      <c r="C787" s="50"/>
      <c r="D787" s="51">
        <v>2008</v>
      </c>
      <c r="E787" s="56">
        <v>2346014021</v>
      </c>
      <c r="F787" s="56">
        <v>3374285781</v>
      </c>
      <c r="G787" s="56">
        <v>3955739445</v>
      </c>
      <c r="H787" s="56">
        <v>0</v>
      </c>
      <c r="I787" s="54">
        <f t="shared" si="14"/>
        <v>9676039247</v>
      </c>
      <c r="J787" s="52">
        <v>0</v>
      </c>
      <c r="K787" s="61"/>
      <c r="M787" s="38" t="str">
        <f>IF([1]totrevprm!O787="","",[1]totrevprm!O787)</f>
        <v/>
      </c>
    </row>
    <row r="788" spans="1:13">
      <c r="A788" s="49" t="s">
        <v>45</v>
      </c>
      <c r="B788" s="46" t="s">
        <v>779</v>
      </c>
      <c r="C788" s="50"/>
      <c r="D788" s="51">
        <v>2009</v>
      </c>
      <c r="E788" s="56">
        <v>2490791657</v>
      </c>
      <c r="F788" s="56">
        <v>3523331529</v>
      </c>
      <c r="G788" s="56">
        <v>4137086391</v>
      </c>
      <c r="H788" s="56">
        <v>0</v>
      </c>
      <c r="I788" s="54">
        <f t="shared" si="14"/>
        <v>10151209577</v>
      </c>
      <c r="J788" s="52">
        <v>0</v>
      </c>
      <c r="K788" s="61"/>
      <c r="M788" s="38" t="str">
        <f>IF([1]totrevprm!O788="","",[1]totrevprm!O788)</f>
        <v/>
      </c>
    </row>
    <row r="789" spans="1:13">
      <c r="A789" s="49" t="s">
        <v>45</v>
      </c>
      <c r="B789" s="46" t="s">
        <v>779</v>
      </c>
      <c r="C789" s="50"/>
      <c r="D789" s="51">
        <v>2010</v>
      </c>
      <c r="E789" s="56">
        <v>2612384311</v>
      </c>
      <c r="F789" s="56">
        <v>3139196728</v>
      </c>
      <c r="G789" s="56">
        <v>4261358993</v>
      </c>
      <c r="H789" s="56">
        <v>0</v>
      </c>
      <c r="I789" s="54">
        <f t="shared" si="14"/>
        <v>10012940032</v>
      </c>
      <c r="J789" s="52">
        <v>0</v>
      </c>
      <c r="K789" s="61"/>
      <c r="M789" s="38" t="str">
        <f>IF([1]totrevprm!O789="","",[1]totrevprm!O789)</f>
        <v/>
      </c>
    </row>
    <row r="790" spans="1:13">
      <c r="A790" s="49" t="s">
        <v>45</v>
      </c>
      <c r="B790" s="46" t="s">
        <v>779</v>
      </c>
      <c r="C790" s="50"/>
      <c r="D790" s="51">
        <v>2011</v>
      </c>
      <c r="E790" s="56">
        <v>2723229675</v>
      </c>
      <c r="F790" s="56">
        <v>2868331167</v>
      </c>
      <c r="G790" s="56">
        <v>4393026859.3699999</v>
      </c>
      <c r="H790" s="56">
        <v>0</v>
      </c>
      <c r="I790" s="54">
        <f t="shared" si="14"/>
        <v>9984587701.3699989</v>
      </c>
      <c r="J790" s="52">
        <v>0</v>
      </c>
      <c r="K790" s="61"/>
      <c r="M790" s="38" t="str">
        <f>IF([1]totrevprm!O790="","",[1]totrevprm!O790)</f>
        <v/>
      </c>
    </row>
    <row r="791" spans="1:13">
      <c r="A791" s="49" t="s">
        <v>45</v>
      </c>
      <c r="B791" s="46" t="s">
        <v>779</v>
      </c>
      <c r="C791" s="50"/>
      <c r="D791" s="51">
        <v>2012</v>
      </c>
      <c r="E791" s="56">
        <v>2816230110</v>
      </c>
      <c r="F791" s="56">
        <v>3388564402</v>
      </c>
      <c r="G791" s="56">
        <v>4050785188</v>
      </c>
      <c r="H791" s="56">
        <v>0</v>
      </c>
      <c r="I791" s="54">
        <f t="shared" si="14"/>
        <v>10255579700</v>
      </c>
      <c r="J791" s="52">
        <v>0</v>
      </c>
      <c r="K791" s="61"/>
      <c r="M791" s="38" t="str">
        <f>IF([1]totrevprm!O791="","",[1]totrevprm!O791)</f>
        <v/>
      </c>
    </row>
    <row r="792" spans="1:13">
      <c r="A792" s="49" t="s">
        <v>45</v>
      </c>
      <c r="B792" s="46" t="s">
        <v>779</v>
      </c>
      <c r="C792" s="50"/>
      <c r="D792" s="51">
        <v>2013</v>
      </c>
      <c r="E792" s="56">
        <v>2870612075</v>
      </c>
      <c r="F792" s="56">
        <v>3238434822</v>
      </c>
      <c r="G792" s="56">
        <v>4031316015</v>
      </c>
      <c r="H792" s="56">
        <v>0</v>
      </c>
      <c r="I792" s="54">
        <f t="shared" si="14"/>
        <v>10140362912</v>
      </c>
      <c r="J792" s="52">
        <v>0</v>
      </c>
      <c r="K792" s="61"/>
      <c r="M792" s="38" t="str">
        <f>IF([1]totrevprm!O792="","",[1]totrevprm!O792)</f>
        <v/>
      </c>
    </row>
    <row r="793" spans="1:13">
      <c r="A793" s="49" t="s">
        <v>45</v>
      </c>
      <c r="B793" s="46" t="s">
        <v>779</v>
      </c>
      <c r="C793" s="50"/>
      <c r="D793" s="51">
        <v>2014</v>
      </c>
      <c r="E793" s="56">
        <v>2937936849</v>
      </c>
      <c r="F793" s="56">
        <v>3350187348</v>
      </c>
      <c r="G793" s="56">
        <v>4232194224.4499998</v>
      </c>
      <c r="H793" s="56">
        <v>0</v>
      </c>
      <c r="I793" s="54">
        <f t="shared" si="14"/>
        <v>10520318421.450001</v>
      </c>
      <c r="J793" s="52">
        <v>0</v>
      </c>
      <c r="K793" s="61"/>
      <c r="M793" s="38" t="str">
        <f>IF([1]totrevprm!O793="","",[1]totrevprm!O793)</f>
        <v/>
      </c>
    </row>
    <row r="794" spans="1:13">
      <c r="A794" s="49" t="s">
        <v>45</v>
      </c>
      <c r="B794" s="46" t="s">
        <v>779</v>
      </c>
      <c r="C794" s="50"/>
      <c r="D794" s="51">
        <v>2015</v>
      </c>
      <c r="E794" s="56">
        <v>2976639670</v>
      </c>
      <c r="F794" s="56">
        <v>3377788782</v>
      </c>
      <c r="G794" s="56">
        <v>4049752600</v>
      </c>
      <c r="H794" s="56">
        <v>0</v>
      </c>
      <c r="I794" s="54">
        <f t="shared" si="14"/>
        <v>10404181052</v>
      </c>
      <c r="J794" s="52">
        <v>0</v>
      </c>
      <c r="K794" s="61"/>
      <c r="M794" s="38" t="str">
        <f>IF([1]totrevprm!O794="","",[1]totrevprm!O794)</f>
        <v/>
      </c>
    </row>
    <row r="795" spans="1:13">
      <c r="A795" s="49" t="s">
        <v>45</v>
      </c>
      <c r="B795" s="46" t="s">
        <v>779</v>
      </c>
      <c r="C795" s="50"/>
      <c r="D795" s="51">
        <v>2016</v>
      </c>
      <c r="E795" s="56">
        <v>3029402742</v>
      </c>
      <c r="F795" s="56">
        <v>4149649643</v>
      </c>
      <c r="G795" s="56">
        <v>4059641835</v>
      </c>
      <c r="H795" s="56">
        <v>0</v>
      </c>
      <c r="I795" s="54">
        <f t="shared" si="14"/>
        <v>11238694220</v>
      </c>
      <c r="J795" s="52">
        <v>0</v>
      </c>
      <c r="K795" s="61"/>
      <c r="M795" s="38" t="str">
        <f>IF([1]totrevprm!O795="","",[1]totrevprm!O795)</f>
        <v/>
      </c>
    </row>
    <row r="796" spans="1:13">
      <c r="A796" s="49" t="s">
        <v>45</v>
      </c>
      <c r="B796" s="46" t="s">
        <v>779</v>
      </c>
      <c r="C796" s="50"/>
      <c r="D796" s="51">
        <v>2017</v>
      </c>
      <c r="E796" s="56">
        <v>3101906744</v>
      </c>
      <c r="F796" s="56">
        <v>3781620121</v>
      </c>
      <c r="G796" s="56">
        <v>4273960303.3199997</v>
      </c>
      <c r="H796" s="56">
        <v>0</v>
      </c>
      <c r="I796" s="54">
        <f t="shared" si="14"/>
        <v>11157487168.32</v>
      </c>
      <c r="J796" s="52">
        <v>0</v>
      </c>
      <c r="K796" s="61"/>
      <c r="M796" s="38" t="str">
        <f>IF([1]totrevprm!O796="","",[1]totrevprm!O796)</f>
        <v/>
      </c>
    </row>
    <row r="797" spans="1:13">
      <c r="A797" s="49" t="s">
        <v>45</v>
      </c>
      <c r="B797" s="46" t="s">
        <v>779</v>
      </c>
      <c r="C797" s="50"/>
      <c r="D797" s="51">
        <v>2018</v>
      </c>
      <c r="E797" s="56">
        <v>3188615165</v>
      </c>
      <c r="F797" s="56">
        <v>4422283199</v>
      </c>
      <c r="G797" s="56">
        <v>4297782758.0599995</v>
      </c>
      <c r="H797" s="56">
        <v>0</v>
      </c>
      <c r="I797" s="54">
        <f t="shared" si="14"/>
        <v>11908681122.059999</v>
      </c>
      <c r="J797" s="56">
        <v>0</v>
      </c>
      <c r="K797" s="61"/>
      <c r="M797" s="38" t="str">
        <f>IF([1]totrevprm!O797="","",[1]totrevprm!O797)</f>
        <v/>
      </c>
    </row>
    <row r="798" spans="1:13">
      <c r="A798" s="49" t="s">
        <v>45</v>
      </c>
      <c r="B798" s="46" t="s">
        <v>779</v>
      </c>
      <c r="C798" s="50"/>
      <c r="D798" s="51">
        <v>2019</v>
      </c>
      <c r="E798" s="56">
        <v>3280751411</v>
      </c>
      <c r="F798" s="56">
        <v>4556501025</v>
      </c>
      <c r="G798" s="56">
        <v>4335130528.3813</v>
      </c>
      <c r="H798" s="56">
        <v>0</v>
      </c>
      <c r="I798" s="54">
        <f t="shared" si="14"/>
        <v>12172382964.3813</v>
      </c>
      <c r="J798" s="56">
        <v>0</v>
      </c>
      <c r="K798" s="61"/>
      <c r="M798" s="38" t="str">
        <f>IF([1]totrevprm!O798="","",[1]totrevprm!O798)</f>
        <v/>
      </c>
    </row>
    <row r="799" spans="1:13">
      <c r="A799" s="49" t="s">
        <v>45</v>
      </c>
      <c r="B799" s="46" t="s">
        <v>779</v>
      </c>
      <c r="C799" s="50"/>
      <c r="D799" s="51">
        <v>2020</v>
      </c>
      <c r="E799" s="56">
        <v>3282937315</v>
      </c>
      <c r="F799" s="56">
        <v>5313348456</v>
      </c>
      <c r="G799" s="56">
        <v>7952968577</v>
      </c>
      <c r="H799" s="56">
        <v>0</v>
      </c>
      <c r="I799" s="54">
        <f t="shared" si="14"/>
        <v>16549254348</v>
      </c>
      <c r="J799" s="56">
        <v>0</v>
      </c>
      <c r="K799" s="61" t="s">
        <v>763</v>
      </c>
      <c r="L799" t="s">
        <v>720</v>
      </c>
      <c r="M799" s="38" t="str">
        <f>IF([1]totrevprm!O799="","",[1]totrevprm!O799)</f>
        <v>Yes</v>
      </c>
    </row>
    <row r="800" spans="1:13">
      <c r="A800" s="49" t="s">
        <v>45</v>
      </c>
      <c r="B800" s="46" t="s">
        <v>779</v>
      </c>
      <c r="C800" s="50"/>
      <c r="D800" s="51">
        <v>2021</v>
      </c>
      <c r="E800" s="56">
        <v>3594117983</v>
      </c>
      <c r="F800" s="56">
        <v>4802380412</v>
      </c>
      <c r="G800" s="56">
        <v>8042452208.9200001</v>
      </c>
      <c r="H800" s="56">
        <v>0</v>
      </c>
      <c r="I800" s="54">
        <f t="shared" si="14"/>
        <v>16438950603.92</v>
      </c>
      <c r="J800" s="56">
        <v>0</v>
      </c>
      <c r="K800" s="61" t="s">
        <v>739</v>
      </c>
      <c r="L800" t="s">
        <v>720</v>
      </c>
      <c r="M800" s="38"/>
    </row>
    <row r="801" spans="1:13">
      <c r="A801" s="49" t="s">
        <v>45</v>
      </c>
      <c r="B801" s="46" t="s">
        <v>779</v>
      </c>
      <c r="C801" s="50"/>
      <c r="D801" s="51">
        <v>2022</v>
      </c>
      <c r="E801" s="56">
        <v>3505490213</v>
      </c>
      <c r="F801" s="56">
        <v>6184991654</v>
      </c>
      <c r="G801" s="56">
        <v>8318319957</v>
      </c>
      <c r="H801" s="56">
        <v>0</v>
      </c>
      <c r="I801" s="54">
        <f t="shared" si="14"/>
        <v>18008801824</v>
      </c>
      <c r="J801" s="56">
        <v>0</v>
      </c>
      <c r="K801" s="61" t="s">
        <v>739</v>
      </c>
      <c r="M801" s="38" t="str">
        <f>IF([1]totrevprm!O804="","",[1]totrevprm!O804)</f>
        <v/>
      </c>
    </row>
    <row r="802" spans="1:13">
      <c r="A802" s="49" t="s">
        <v>45</v>
      </c>
      <c r="B802" s="46" t="s">
        <v>779</v>
      </c>
      <c r="C802" s="50"/>
      <c r="D802" s="51">
        <v>2023</v>
      </c>
      <c r="E802" s="56">
        <v>3589151510</v>
      </c>
      <c r="F802" s="56">
        <v>7113698977.0423002</v>
      </c>
      <c r="G802" s="56">
        <v>8561675974.8909998</v>
      </c>
      <c r="H802" s="56">
        <v>0</v>
      </c>
      <c r="I802" s="54">
        <f t="shared" si="14"/>
        <v>19264526461.9333</v>
      </c>
      <c r="J802" s="52">
        <v>0</v>
      </c>
      <c r="K802" s="61" t="s">
        <v>739</v>
      </c>
      <c r="M802" s="38"/>
    </row>
    <row r="803" spans="1:13">
      <c r="A803" s="49" t="s">
        <v>45</v>
      </c>
      <c r="B803" s="46" t="s">
        <v>779</v>
      </c>
      <c r="C803" s="50"/>
      <c r="D803" s="57">
        <v>2024</v>
      </c>
      <c r="E803" s="52">
        <v>3693292699.8200002</v>
      </c>
      <c r="F803" s="52">
        <v>8533921594.6700001</v>
      </c>
      <c r="G803" s="52">
        <v>9194067968.8143005</v>
      </c>
      <c r="H803" s="52">
        <v>0</v>
      </c>
      <c r="I803" s="54">
        <f t="shared" si="14"/>
        <v>21421282263.304298</v>
      </c>
      <c r="J803" s="56">
        <v>0</v>
      </c>
      <c r="K803" s="61" t="s">
        <v>739</v>
      </c>
      <c r="M803" s="38"/>
    </row>
    <row r="804" spans="1:13">
      <c r="A804" s="49"/>
      <c r="B804" s="50"/>
      <c r="C804" s="50"/>
      <c r="E804" s="53"/>
      <c r="F804" s="53"/>
      <c r="G804" s="53"/>
      <c r="H804" s="53"/>
      <c r="I804" s="54"/>
      <c r="J804" s="52"/>
      <c r="K804" s="61"/>
      <c r="M804" s="38"/>
    </row>
    <row r="805" spans="1:13">
      <c r="A805" s="49" t="s">
        <v>47</v>
      </c>
      <c r="B805" s="46" t="s">
        <v>193</v>
      </c>
      <c r="C805" s="50" t="s">
        <v>731</v>
      </c>
      <c r="D805" s="51">
        <v>1988</v>
      </c>
      <c r="E805" s="53">
        <v>1495903361</v>
      </c>
      <c r="F805" s="53">
        <v>1449017699</v>
      </c>
      <c r="G805" s="53">
        <v>1099039902</v>
      </c>
      <c r="H805" s="53">
        <v>0</v>
      </c>
      <c r="I805" s="54">
        <f t="shared" si="14"/>
        <v>4043960962</v>
      </c>
      <c r="J805" s="52">
        <v>0</v>
      </c>
      <c r="K805" s="61"/>
      <c r="M805" s="38" t="str">
        <f>IF([1]totrevprm!O805="","",[1]totrevprm!O805)</f>
        <v/>
      </c>
    </row>
    <row r="806" spans="1:13">
      <c r="A806" s="49" t="s">
        <v>47</v>
      </c>
      <c r="B806" s="46" t="s">
        <v>193</v>
      </c>
      <c r="C806" s="50" t="s">
        <v>732</v>
      </c>
      <c r="D806" s="51">
        <v>1989</v>
      </c>
      <c r="E806" s="53">
        <v>1474726661</v>
      </c>
      <c r="F806" s="53">
        <v>1432451148</v>
      </c>
      <c r="G806" s="53">
        <v>1227571030</v>
      </c>
      <c r="H806" s="53">
        <v>0</v>
      </c>
      <c r="I806" s="54">
        <f t="shared" si="14"/>
        <v>4134748839</v>
      </c>
      <c r="J806" s="52">
        <v>0</v>
      </c>
      <c r="K806" s="61"/>
      <c r="M806" s="38" t="str">
        <f>IF([1]totrevprm!O806="","",[1]totrevprm!O806)</f>
        <v/>
      </c>
    </row>
    <row r="807" spans="1:13">
      <c r="A807" s="49" t="s">
        <v>47</v>
      </c>
      <c r="B807" s="46" t="s">
        <v>193</v>
      </c>
      <c r="C807" s="50" t="s">
        <v>732</v>
      </c>
      <c r="D807" s="51">
        <v>1990</v>
      </c>
      <c r="E807" s="53">
        <v>1540835162</v>
      </c>
      <c r="F807" s="53">
        <v>2036694414.5599999</v>
      </c>
      <c r="G807" s="53">
        <v>1262552408</v>
      </c>
      <c r="H807" s="53">
        <v>0</v>
      </c>
      <c r="I807" s="54">
        <f t="shared" si="14"/>
        <v>4840081984.5599995</v>
      </c>
      <c r="J807" s="52">
        <v>0</v>
      </c>
      <c r="K807" s="61"/>
      <c r="M807" s="38" t="str">
        <f>IF([1]totrevprm!O807="","",[1]totrevprm!O807)</f>
        <v/>
      </c>
    </row>
    <row r="808" spans="1:13">
      <c r="A808" s="49" t="s">
        <v>47</v>
      </c>
      <c r="B808" s="46" t="s">
        <v>193</v>
      </c>
      <c r="C808" s="50" t="s">
        <v>732</v>
      </c>
      <c r="D808" s="51">
        <v>1991</v>
      </c>
      <c r="E808" s="53">
        <v>1639871965</v>
      </c>
      <c r="F808" s="53">
        <v>1557117445</v>
      </c>
      <c r="G808" s="53">
        <v>1302733826</v>
      </c>
      <c r="H808" s="53">
        <v>0</v>
      </c>
      <c r="I808" s="54">
        <f t="shared" si="14"/>
        <v>4499723236</v>
      </c>
      <c r="J808" s="52">
        <v>0</v>
      </c>
      <c r="K808" s="61"/>
      <c r="M808" s="38" t="str">
        <f>IF([1]totrevprm!O808="","",[1]totrevprm!O808)</f>
        <v/>
      </c>
    </row>
    <row r="809" spans="1:13">
      <c r="A809" s="49" t="s">
        <v>47</v>
      </c>
      <c r="B809" s="46" t="s">
        <v>193</v>
      </c>
      <c r="C809" s="50" t="s">
        <v>732</v>
      </c>
      <c r="D809" s="51">
        <v>1992</v>
      </c>
      <c r="E809" s="53">
        <v>1795643916</v>
      </c>
      <c r="F809" s="53">
        <v>1468916212.6800001</v>
      </c>
      <c r="G809" s="53">
        <v>1284972004</v>
      </c>
      <c r="H809" s="53">
        <v>0</v>
      </c>
      <c r="I809" s="54">
        <f t="shared" si="14"/>
        <v>4549532132.6800003</v>
      </c>
      <c r="J809" s="52">
        <v>0</v>
      </c>
      <c r="K809" s="61"/>
      <c r="M809" s="38" t="str">
        <f>IF([1]totrevprm!O809="","",[1]totrevprm!O809)</f>
        <v/>
      </c>
    </row>
    <row r="810" spans="1:13">
      <c r="A810" s="49" t="s">
        <v>47</v>
      </c>
      <c r="B810" s="46" t="s">
        <v>193</v>
      </c>
      <c r="C810" s="50" t="s">
        <v>732</v>
      </c>
      <c r="D810" s="51">
        <v>1993</v>
      </c>
      <c r="E810" s="53">
        <v>1773549766</v>
      </c>
      <c r="F810" s="53">
        <v>1336044258</v>
      </c>
      <c r="G810" s="53">
        <v>1306814253</v>
      </c>
      <c r="H810" s="53">
        <v>0</v>
      </c>
      <c r="I810" s="54">
        <f t="shared" si="14"/>
        <v>4416408277</v>
      </c>
      <c r="J810" s="52">
        <v>0</v>
      </c>
      <c r="K810" s="61"/>
      <c r="M810" s="38" t="str">
        <f>IF([1]totrevprm!O810="","",[1]totrevprm!O810)</f>
        <v/>
      </c>
    </row>
    <row r="811" spans="1:13">
      <c r="A811" s="49" t="s">
        <v>47</v>
      </c>
      <c r="B811" s="46" t="s">
        <v>193</v>
      </c>
      <c r="C811" s="50" t="s">
        <v>732</v>
      </c>
      <c r="D811" s="51">
        <v>1994</v>
      </c>
      <c r="E811" s="53">
        <v>1952761854</v>
      </c>
      <c r="F811" s="53">
        <v>1683031581</v>
      </c>
      <c r="G811" s="53">
        <v>1351159104</v>
      </c>
      <c r="H811" s="53">
        <v>0</v>
      </c>
      <c r="I811" s="54">
        <f t="shared" si="14"/>
        <v>4986952539</v>
      </c>
      <c r="J811" s="52">
        <v>0</v>
      </c>
      <c r="K811" s="61"/>
      <c r="M811" s="38" t="str">
        <f>IF([1]totrevprm!O811="","",[1]totrevprm!O811)</f>
        <v/>
      </c>
    </row>
    <row r="812" spans="1:13">
      <c r="A812" s="49" t="s">
        <v>47</v>
      </c>
      <c r="B812" s="46" t="s">
        <v>193</v>
      </c>
      <c r="C812" s="50" t="s">
        <v>732</v>
      </c>
      <c r="D812" s="51">
        <v>1995</v>
      </c>
      <c r="E812" s="53">
        <v>2016029763</v>
      </c>
      <c r="F812" s="53">
        <v>1636478483</v>
      </c>
      <c r="G812" s="53">
        <v>1402023700</v>
      </c>
      <c r="H812" s="53">
        <v>0</v>
      </c>
      <c r="I812" s="54">
        <f t="shared" si="14"/>
        <v>5054531946</v>
      </c>
      <c r="J812" s="52">
        <v>0</v>
      </c>
      <c r="K812" s="61"/>
      <c r="M812" s="38" t="str">
        <f>IF([1]totrevprm!O812="","",[1]totrevprm!O812)</f>
        <v/>
      </c>
    </row>
    <row r="813" spans="1:13">
      <c r="A813" s="49" t="s">
        <v>47</v>
      </c>
      <c r="B813" s="46" t="s">
        <v>193</v>
      </c>
      <c r="C813" s="50" t="s">
        <v>732</v>
      </c>
      <c r="D813" s="51">
        <v>1996</v>
      </c>
      <c r="E813" s="53">
        <v>2126058141</v>
      </c>
      <c r="F813" s="53">
        <v>1685437475</v>
      </c>
      <c r="G813" s="53">
        <v>1421531435</v>
      </c>
      <c r="H813" s="53">
        <v>0</v>
      </c>
      <c r="I813" s="54">
        <f t="shared" si="14"/>
        <v>5233027051</v>
      </c>
      <c r="J813" s="52">
        <v>0</v>
      </c>
      <c r="K813" s="61"/>
      <c r="M813" s="38" t="str">
        <f>IF([1]totrevprm!O813="","",[1]totrevprm!O813)</f>
        <v/>
      </c>
    </row>
    <row r="814" spans="1:13">
      <c r="A814" s="49" t="s">
        <v>47</v>
      </c>
      <c r="B814" s="46" t="s">
        <v>193</v>
      </c>
      <c r="C814" s="50" t="s">
        <v>732</v>
      </c>
      <c r="D814" s="51">
        <v>1997</v>
      </c>
      <c r="E814" s="53">
        <v>2015196332</v>
      </c>
      <c r="F814" s="53">
        <v>2237016754</v>
      </c>
      <c r="G814" s="53">
        <v>1447797964</v>
      </c>
      <c r="H814" s="53">
        <v>0</v>
      </c>
      <c r="I814" s="54">
        <f t="shared" si="14"/>
        <v>5700011050</v>
      </c>
      <c r="J814" s="52">
        <v>0</v>
      </c>
      <c r="K814" s="61"/>
      <c r="M814" s="38" t="str">
        <f>IF([1]totrevprm!O814="","",[1]totrevprm!O814)</f>
        <v/>
      </c>
    </row>
    <row r="815" spans="1:13">
      <c r="A815" s="49" t="s">
        <v>47</v>
      </c>
      <c r="B815" s="46" t="s">
        <v>193</v>
      </c>
      <c r="C815" s="50" t="s">
        <v>732</v>
      </c>
      <c r="D815" s="51">
        <v>1998</v>
      </c>
      <c r="E815" s="53">
        <v>2178082597</v>
      </c>
      <c r="F815" s="53">
        <v>2045636611</v>
      </c>
      <c r="G815" s="53">
        <v>1461570316</v>
      </c>
      <c r="H815" s="53">
        <v>0</v>
      </c>
      <c r="I815" s="54">
        <f t="shared" si="14"/>
        <v>5685289524</v>
      </c>
      <c r="J815" s="52">
        <v>0</v>
      </c>
      <c r="K815" s="61"/>
      <c r="M815" s="38" t="str">
        <f>IF([1]totrevprm!O815="","",[1]totrevprm!O815)</f>
        <v/>
      </c>
    </row>
    <row r="816" spans="1:13">
      <c r="A816" s="49" t="s">
        <v>47</v>
      </c>
      <c r="B816" s="46" t="s">
        <v>193</v>
      </c>
      <c r="C816" s="50" t="s">
        <v>732</v>
      </c>
      <c r="D816" s="51">
        <v>1999</v>
      </c>
      <c r="E816" s="53">
        <v>2251025613</v>
      </c>
      <c r="F816" s="53">
        <v>1973735739</v>
      </c>
      <c r="G816" s="53">
        <v>1517335968</v>
      </c>
      <c r="H816" s="53">
        <v>0</v>
      </c>
      <c r="I816" s="54">
        <f t="shared" si="14"/>
        <v>5742097320</v>
      </c>
      <c r="J816" s="52">
        <v>0</v>
      </c>
      <c r="K816" s="61"/>
      <c r="M816" s="38" t="str">
        <f>IF([1]totrevprm!O816="","",[1]totrevprm!O816)</f>
        <v/>
      </c>
    </row>
    <row r="817" spans="1:13">
      <c r="A817" s="49" t="s">
        <v>47</v>
      </c>
      <c r="B817" s="46" t="s">
        <v>193</v>
      </c>
      <c r="C817" s="50" t="s">
        <v>732</v>
      </c>
      <c r="D817" s="51">
        <v>2000</v>
      </c>
      <c r="E817" s="53">
        <v>2317918323</v>
      </c>
      <c r="F817" s="53">
        <v>2356065929</v>
      </c>
      <c r="G817" s="53">
        <v>1564452794</v>
      </c>
      <c r="H817" s="53">
        <v>0</v>
      </c>
      <c r="I817" s="54">
        <f t="shared" si="14"/>
        <v>6238437046</v>
      </c>
      <c r="J817" s="52">
        <v>0</v>
      </c>
      <c r="K817" s="61"/>
      <c r="M817" s="38" t="str">
        <f>IF([1]totrevprm!O817="","",[1]totrevprm!O817)</f>
        <v/>
      </c>
    </row>
    <row r="818" spans="1:13">
      <c r="A818" s="49" t="s">
        <v>47</v>
      </c>
      <c r="B818" s="46" t="s">
        <v>193</v>
      </c>
      <c r="C818" s="50" t="s">
        <v>732</v>
      </c>
      <c r="D818" s="51">
        <v>2001</v>
      </c>
      <c r="E818" s="53">
        <v>2465063164</v>
      </c>
      <c r="F818" s="53">
        <v>4309396314</v>
      </c>
      <c r="G818" s="53">
        <v>1549668704</v>
      </c>
      <c r="H818" s="53">
        <v>0</v>
      </c>
      <c r="I818" s="54">
        <f t="shared" si="14"/>
        <v>8324128182</v>
      </c>
      <c r="J818" s="52">
        <v>0</v>
      </c>
      <c r="K818" s="61"/>
      <c r="M818" s="38" t="str">
        <f>IF([1]totrevprm!O818="","",[1]totrevprm!O818)</f>
        <v/>
      </c>
    </row>
    <row r="819" spans="1:13">
      <c r="A819" s="49" t="s">
        <v>47</v>
      </c>
      <c r="B819" s="46" t="s">
        <v>193</v>
      </c>
      <c r="C819" s="50" t="s">
        <v>732</v>
      </c>
      <c r="D819" s="51">
        <v>2002</v>
      </c>
      <c r="E819" s="53">
        <v>2394220913</v>
      </c>
      <c r="F819" s="53">
        <v>5838753349</v>
      </c>
      <c r="G819" s="53">
        <v>1572629131</v>
      </c>
      <c r="H819" s="53">
        <v>0</v>
      </c>
      <c r="I819" s="54">
        <f t="shared" si="14"/>
        <v>9805603393</v>
      </c>
      <c r="J819" s="52">
        <v>0</v>
      </c>
      <c r="K819" s="61"/>
      <c r="M819" s="38" t="str">
        <f>IF([1]totrevprm!O819="","",[1]totrevprm!O819)</f>
        <v/>
      </c>
    </row>
    <row r="820" spans="1:13">
      <c r="A820" s="49" t="s">
        <v>47</v>
      </c>
      <c r="B820" s="46" t="s">
        <v>193</v>
      </c>
      <c r="C820" s="50" t="s">
        <v>732</v>
      </c>
      <c r="D820" s="51">
        <v>2003</v>
      </c>
      <c r="E820" s="55">
        <v>2497037709</v>
      </c>
      <c r="F820" s="55">
        <v>4533721741</v>
      </c>
      <c r="G820" s="55">
        <v>1623672778</v>
      </c>
      <c r="H820" s="53">
        <v>0</v>
      </c>
      <c r="I820" s="54">
        <f t="shared" si="14"/>
        <v>8654432228</v>
      </c>
      <c r="J820" s="52">
        <v>0</v>
      </c>
      <c r="K820" s="61"/>
      <c r="M820" s="38" t="str">
        <f>IF([1]totrevprm!O820="","",[1]totrevprm!O820)</f>
        <v/>
      </c>
    </row>
    <row r="821" spans="1:13">
      <c r="A821" s="49" t="s">
        <v>47</v>
      </c>
      <c r="B821" s="46" t="s">
        <v>193</v>
      </c>
      <c r="C821" s="50" t="s">
        <v>732</v>
      </c>
      <c r="D821" s="51">
        <v>2004</v>
      </c>
      <c r="E821" s="55">
        <v>2609697872</v>
      </c>
      <c r="F821" s="55">
        <v>3606044777</v>
      </c>
      <c r="G821" s="55">
        <v>1721880477</v>
      </c>
      <c r="H821" s="53">
        <v>0</v>
      </c>
      <c r="I821" s="54">
        <f t="shared" si="14"/>
        <v>7937623126</v>
      </c>
      <c r="J821" s="52">
        <v>0</v>
      </c>
      <c r="K821" s="61"/>
      <c r="M821" s="38" t="str">
        <f>IF([1]totrevprm!O821="","",[1]totrevprm!O821)</f>
        <v/>
      </c>
    </row>
    <row r="822" spans="1:13">
      <c r="A822" s="49" t="s">
        <v>47</v>
      </c>
      <c r="B822" s="46" t="s">
        <v>193</v>
      </c>
      <c r="C822" s="50"/>
      <c r="D822" s="51">
        <v>2005</v>
      </c>
      <c r="E822" s="55">
        <v>2531002994</v>
      </c>
      <c r="F822" s="55">
        <v>2729911928</v>
      </c>
      <c r="G822" s="55">
        <v>1857261232.1099999</v>
      </c>
      <c r="H822" s="53">
        <v>0</v>
      </c>
      <c r="I822" s="54">
        <f t="shared" si="14"/>
        <v>7118176154.1099997</v>
      </c>
      <c r="J822" s="52">
        <v>0</v>
      </c>
      <c r="K822" s="61"/>
      <c r="M822" s="38" t="str">
        <f>IF([1]totrevprm!O822="","",[1]totrevprm!O822)</f>
        <v/>
      </c>
    </row>
    <row r="823" spans="1:13">
      <c r="A823" s="49" t="s">
        <v>47</v>
      </c>
      <c r="B823" s="46" t="s">
        <v>193</v>
      </c>
      <c r="C823" s="50"/>
      <c r="D823" s="51">
        <v>2006</v>
      </c>
      <c r="E823" s="56">
        <v>2741722639</v>
      </c>
      <c r="F823" s="56">
        <v>3119107409</v>
      </c>
      <c r="G823" s="56">
        <v>2222285352</v>
      </c>
      <c r="H823" s="56">
        <v>0</v>
      </c>
      <c r="I823" s="54">
        <f t="shared" si="14"/>
        <v>8083115400</v>
      </c>
      <c r="J823" s="52">
        <v>0</v>
      </c>
      <c r="K823" s="61"/>
      <c r="M823" s="38" t="str">
        <f>IF([1]totrevprm!O823="","",[1]totrevprm!O823)</f>
        <v/>
      </c>
    </row>
    <row r="824" spans="1:13">
      <c r="A824" s="49" t="s">
        <v>47</v>
      </c>
      <c r="B824" s="46" t="s">
        <v>193</v>
      </c>
      <c r="C824" s="50"/>
      <c r="D824" s="51">
        <v>2007</v>
      </c>
      <c r="E824" s="56">
        <v>2866121147</v>
      </c>
      <c r="F824" s="56">
        <v>3878282223</v>
      </c>
      <c r="G824" s="56">
        <v>2561300175</v>
      </c>
      <c r="H824" s="56">
        <v>0</v>
      </c>
      <c r="I824" s="54">
        <f t="shared" si="14"/>
        <v>9305703545</v>
      </c>
      <c r="J824" s="52">
        <v>0</v>
      </c>
      <c r="K824" s="61"/>
      <c r="M824" s="38" t="str">
        <f>IF([1]totrevprm!O824="","",[1]totrevprm!O824)</f>
        <v/>
      </c>
    </row>
    <row r="825" spans="1:13">
      <c r="A825" s="49" t="s">
        <v>47</v>
      </c>
      <c r="B825" s="46" t="s">
        <v>193</v>
      </c>
      <c r="C825" s="50"/>
      <c r="D825" s="51">
        <v>2008</v>
      </c>
      <c r="E825" s="56">
        <v>2862374744</v>
      </c>
      <c r="F825" s="56">
        <v>4933584934</v>
      </c>
      <c r="G825" s="56">
        <v>2813788101</v>
      </c>
      <c r="H825" s="56">
        <v>0</v>
      </c>
      <c r="I825" s="54">
        <f t="shared" si="14"/>
        <v>10609747779</v>
      </c>
      <c r="J825" s="52">
        <v>0</v>
      </c>
      <c r="K825" s="61"/>
      <c r="M825" s="38" t="str">
        <f>IF([1]totrevprm!O825="","",[1]totrevprm!O825)</f>
        <v/>
      </c>
    </row>
    <row r="826" spans="1:13">
      <c r="A826" s="49" t="s">
        <v>47</v>
      </c>
      <c r="B826" s="46" t="s">
        <v>193</v>
      </c>
      <c r="C826" s="50"/>
      <c r="D826" s="51">
        <v>2009</v>
      </c>
      <c r="E826" s="56">
        <v>2934503382</v>
      </c>
      <c r="F826" s="56">
        <v>4606503746</v>
      </c>
      <c r="G826" s="56">
        <v>2946206681</v>
      </c>
      <c r="H826" s="56">
        <v>0</v>
      </c>
      <c r="I826" s="54">
        <f t="shared" si="14"/>
        <v>10487213809</v>
      </c>
      <c r="J826" s="52">
        <v>0</v>
      </c>
      <c r="K826" s="61"/>
      <c r="M826" s="38" t="str">
        <f>IF([1]totrevprm!O826="","",[1]totrevprm!O826)</f>
        <v/>
      </c>
    </row>
    <row r="827" spans="1:13">
      <c r="A827" s="49" t="s">
        <v>47</v>
      </c>
      <c r="B827" s="46" t="s">
        <v>193</v>
      </c>
      <c r="C827" s="50"/>
      <c r="D827" s="51">
        <v>2010</v>
      </c>
      <c r="E827" s="56">
        <v>3064249995</v>
      </c>
      <c r="F827" s="56">
        <v>3761822132</v>
      </c>
      <c r="G827" s="56">
        <v>3075005043</v>
      </c>
      <c r="H827" s="56">
        <v>0</v>
      </c>
      <c r="I827" s="54">
        <f t="shared" si="14"/>
        <v>9901077170</v>
      </c>
      <c r="J827" s="52">
        <v>0</v>
      </c>
      <c r="K827" s="61"/>
      <c r="M827" s="38" t="str">
        <f>IF([1]totrevprm!O827="","",[1]totrevprm!O827)</f>
        <v/>
      </c>
    </row>
    <row r="828" spans="1:13">
      <c r="A828" s="49" t="s">
        <v>47</v>
      </c>
      <c r="B828" s="46" t="s">
        <v>193</v>
      </c>
      <c r="C828" s="50"/>
      <c r="D828" s="51">
        <v>2011</v>
      </c>
      <c r="E828" s="56">
        <v>3199273283</v>
      </c>
      <c r="F828" s="56">
        <v>3379995532</v>
      </c>
      <c r="G828" s="56">
        <v>3247956300.2200003</v>
      </c>
      <c r="H828" s="56">
        <v>0</v>
      </c>
      <c r="I828" s="54">
        <f t="shared" si="14"/>
        <v>9827225115.2200012</v>
      </c>
      <c r="J828" s="52">
        <v>0</v>
      </c>
      <c r="K828" s="61"/>
      <c r="M828" s="38" t="str">
        <f>IF([1]totrevprm!O828="","",[1]totrevprm!O828)</f>
        <v/>
      </c>
    </row>
    <row r="829" spans="1:13">
      <c r="A829" s="49" t="s">
        <v>47</v>
      </c>
      <c r="B829" s="46" t="s">
        <v>193</v>
      </c>
      <c r="C829" s="50"/>
      <c r="D829" s="51">
        <v>2012</v>
      </c>
      <c r="E829" s="56">
        <v>3279323453</v>
      </c>
      <c r="F829" s="56">
        <v>4835724938</v>
      </c>
      <c r="G829" s="56">
        <v>3510145409</v>
      </c>
      <c r="H829" s="56">
        <v>0</v>
      </c>
      <c r="I829" s="54">
        <f t="shared" si="14"/>
        <v>11625193800</v>
      </c>
      <c r="J829" s="52">
        <v>0</v>
      </c>
      <c r="K829" s="61"/>
      <c r="M829" s="38" t="str">
        <f>IF([1]totrevprm!O829="","",[1]totrevprm!O829)</f>
        <v/>
      </c>
    </row>
    <row r="830" spans="1:13">
      <c r="A830" s="49" t="s">
        <v>47</v>
      </c>
      <c r="B830" s="46" t="s">
        <v>193</v>
      </c>
      <c r="C830" s="50"/>
      <c r="D830" s="51">
        <v>2013</v>
      </c>
      <c r="E830" s="56">
        <v>3620831372</v>
      </c>
      <c r="F830" s="56">
        <v>4379749719</v>
      </c>
      <c r="G830" s="56">
        <v>3725971919</v>
      </c>
      <c r="H830" s="56">
        <v>0</v>
      </c>
      <c r="I830" s="54">
        <f t="shared" si="14"/>
        <v>11726553010</v>
      </c>
      <c r="J830" s="52">
        <v>0</v>
      </c>
      <c r="K830" s="61"/>
      <c r="M830" s="38" t="str">
        <f>IF([1]totrevprm!O830="","",[1]totrevprm!O830)</f>
        <v/>
      </c>
    </row>
    <row r="831" spans="1:13">
      <c r="A831" s="49" t="s">
        <v>47</v>
      </c>
      <c r="B831" s="46" t="s">
        <v>193</v>
      </c>
      <c r="C831" s="50"/>
      <c r="D831" s="51">
        <v>2014</v>
      </c>
      <c r="E831" s="56">
        <v>3387253143</v>
      </c>
      <c r="F831" s="56">
        <v>4671860252</v>
      </c>
      <c r="G831" s="56">
        <v>3831889599.73</v>
      </c>
      <c r="H831" s="56">
        <v>0</v>
      </c>
      <c r="I831" s="54">
        <f t="shared" si="14"/>
        <v>11891002994.73</v>
      </c>
      <c r="J831" s="52">
        <v>0</v>
      </c>
      <c r="K831" s="61"/>
      <c r="M831" s="38" t="str">
        <f>IF([1]totrevprm!O831="","",[1]totrevprm!O831)</f>
        <v/>
      </c>
    </row>
    <row r="832" spans="1:13">
      <c r="A832" s="49" t="s">
        <v>47</v>
      </c>
      <c r="B832" s="46" t="s">
        <v>193</v>
      </c>
      <c r="C832" s="50"/>
      <c r="D832" s="51">
        <v>2015</v>
      </c>
      <c r="E832" s="56">
        <v>3475484404</v>
      </c>
      <c r="F832" s="56">
        <v>4812704772</v>
      </c>
      <c r="G832" s="56">
        <v>3429949951</v>
      </c>
      <c r="H832" s="56">
        <v>0</v>
      </c>
      <c r="I832" s="54">
        <f t="shared" si="14"/>
        <v>11718139127</v>
      </c>
      <c r="J832" s="52">
        <v>0</v>
      </c>
      <c r="K832" s="61"/>
      <c r="M832" s="38" t="str">
        <f>IF([1]totrevprm!O832="","",[1]totrevprm!O832)</f>
        <v/>
      </c>
    </row>
    <row r="833" spans="1:13">
      <c r="A833" s="49" t="s">
        <v>47</v>
      </c>
      <c r="B833" s="46" t="s">
        <v>193</v>
      </c>
      <c r="C833" s="50"/>
      <c r="D833" s="51">
        <v>2016</v>
      </c>
      <c r="E833" s="56">
        <v>3540577331</v>
      </c>
      <c r="F833" s="56">
        <v>5692813011</v>
      </c>
      <c r="G833" s="56">
        <v>3497093574</v>
      </c>
      <c r="H833" s="56">
        <v>0</v>
      </c>
      <c r="I833" s="54">
        <f t="shared" ref="I833:I898" si="15">SUM(E833:H833)</f>
        <v>12730483916</v>
      </c>
      <c r="J833" s="52">
        <v>0</v>
      </c>
      <c r="K833" s="61"/>
      <c r="M833" s="38" t="str">
        <f>IF([1]totrevprm!O833="","",[1]totrevprm!O833)</f>
        <v/>
      </c>
    </row>
    <row r="834" spans="1:13">
      <c r="A834" s="49" t="s">
        <v>47</v>
      </c>
      <c r="B834" s="46" t="s">
        <v>193</v>
      </c>
      <c r="C834" s="50"/>
      <c r="D834" s="51">
        <v>2017</v>
      </c>
      <c r="E834" s="56">
        <v>3679188258</v>
      </c>
      <c r="F834" s="56">
        <v>5495401723</v>
      </c>
      <c r="G834" s="56">
        <v>3749654886.2799997</v>
      </c>
      <c r="H834" s="56">
        <v>0</v>
      </c>
      <c r="I834" s="54">
        <f t="shared" si="15"/>
        <v>12924244867.279999</v>
      </c>
      <c r="J834" s="52">
        <v>0</v>
      </c>
      <c r="K834" s="61"/>
      <c r="M834" s="38" t="str">
        <f>IF([1]totrevprm!O834="","",[1]totrevprm!O834)</f>
        <v/>
      </c>
    </row>
    <row r="835" spans="1:13">
      <c r="A835" s="49" t="s">
        <v>47</v>
      </c>
      <c r="B835" s="46" t="s">
        <v>193</v>
      </c>
      <c r="C835" s="50"/>
      <c r="D835" s="51">
        <v>2018</v>
      </c>
      <c r="E835" s="56">
        <v>3688771108</v>
      </c>
      <c r="F835" s="56">
        <v>6664576940</v>
      </c>
      <c r="G835" s="56">
        <v>3863195096.6800003</v>
      </c>
      <c r="H835" s="56">
        <v>0</v>
      </c>
      <c r="I835" s="54">
        <f t="shared" si="15"/>
        <v>14216543144.68</v>
      </c>
      <c r="J835" s="56">
        <v>0</v>
      </c>
      <c r="K835" s="61"/>
      <c r="M835" s="38" t="str">
        <f>IF([1]totrevprm!O835="","",[1]totrevprm!O835)</f>
        <v/>
      </c>
    </row>
    <row r="836" spans="1:13">
      <c r="A836" s="49" t="s">
        <v>47</v>
      </c>
      <c r="B836" s="46" t="s">
        <v>193</v>
      </c>
      <c r="C836" s="50"/>
      <c r="D836" s="51">
        <v>2019</v>
      </c>
      <c r="E836" s="56">
        <v>4012490300</v>
      </c>
      <c r="F836" s="56">
        <v>6281641121</v>
      </c>
      <c r="G836" s="56">
        <v>4098550585.7911997</v>
      </c>
      <c r="H836" s="56">
        <v>0</v>
      </c>
      <c r="I836" s="54">
        <f t="shared" si="15"/>
        <v>14392682006.791199</v>
      </c>
      <c r="J836" s="56">
        <v>0</v>
      </c>
      <c r="K836" s="61"/>
      <c r="M836" s="38" t="str">
        <f>IF([1]totrevprm!O836="","",[1]totrevprm!O836)</f>
        <v/>
      </c>
    </row>
    <row r="837" spans="1:13">
      <c r="A837" s="49" t="s">
        <v>47</v>
      </c>
      <c r="B837" s="46" t="s">
        <v>193</v>
      </c>
      <c r="C837" s="50"/>
      <c r="D837" s="51">
        <v>2020</v>
      </c>
      <c r="E837" s="56">
        <v>3762212398</v>
      </c>
      <c r="F837" s="56">
        <v>6360388132</v>
      </c>
      <c r="G837" s="56">
        <v>3889894003</v>
      </c>
      <c r="H837" s="56">
        <v>0</v>
      </c>
      <c r="I837" s="54">
        <f t="shared" si="15"/>
        <v>14012494533</v>
      </c>
      <c r="J837" s="56">
        <v>0</v>
      </c>
      <c r="K837" s="61"/>
      <c r="M837" s="38" t="str">
        <f>IF([1]totrevprm!O837="","",[1]totrevprm!O837)</f>
        <v/>
      </c>
    </row>
    <row r="838" spans="1:13">
      <c r="A838" s="49" t="s">
        <v>47</v>
      </c>
      <c r="B838" s="46" t="s">
        <v>193</v>
      </c>
      <c r="C838" s="50"/>
      <c r="D838" s="51">
        <v>2021</v>
      </c>
      <c r="E838" s="56">
        <v>4155260900</v>
      </c>
      <c r="F838" s="56">
        <v>6587843262</v>
      </c>
      <c r="G838" s="56">
        <v>4295978576.1999998</v>
      </c>
      <c r="H838" s="56">
        <v>0</v>
      </c>
      <c r="I838" s="54">
        <f t="shared" si="15"/>
        <v>15039082738.200001</v>
      </c>
      <c r="J838" s="56">
        <v>0</v>
      </c>
      <c r="K838" s="61"/>
      <c r="M838" s="38"/>
    </row>
    <row r="839" spans="1:13">
      <c r="A839" s="49" t="s">
        <v>47</v>
      </c>
      <c r="B839" s="46" t="s">
        <v>193</v>
      </c>
      <c r="C839" s="50"/>
      <c r="D839" s="51">
        <v>2022</v>
      </c>
      <c r="E839" s="56">
        <v>4057327044</v>
      </c>
      <c r="F839" s="56">
        <v>10089076473</v>
      </c>
      <c r="G839" s="56">
        <v>4722865893</v>
      </c>
      <c r="H839" s="56">
        <v>0</v>
      </c>
      <c r="I839" s="54">
        <f t="shared" si="15"/>
        <v>18869269410</v>
      </c>
      <c r="J839" s="56">
        <v>0</v>
      </c>
      <c r="K839" s="61"/>
      <c r="M839" s="38" t="str">
        <f>IF([1]totrevprm!O842="","",[1]totrevprm!O842)</f>
        <v/>
      </c>
    </row>
    <row r="840" spans="1:13">
      <c r="A840" s="49" t="s">
        <v>47</v>
      </c>
      <c r="B840" s="46" t="s">
        <v>193</v>
      </c>
      <c r="C840" s="50"/>
      <c r="D840" s="51">
        <v>2023</v>
      </c>
      <c r="E840" s="56">
        <v>4134897948</v>
      </c>
      <c r="F840" s="56">
        <v>11076641670.312</v>
      </c>
      <c r="G840" s="56">
        <v>4947617051.0846004</v>
      </c>
      <c r="H840" s="56">
        <v>0</v>
      </c>
      <c r="I840" s="54">
        <f t="shared" si="15"/>
        <v>20159156669.396599</v>
      </c>
      <c r="J840" s="52">
        <v>0</v>
      </c>
      <c r="K840" s="61"/>
      <c r="M840" s="38"/>
    </row>
    <row r="841" spans="1:13">
      <c r="A841" s="49" t="s">
        <v>47</v>
      </c>
      <c r="B841" s="46" t="s">
        <v>193</v>
      </c>
      <c r="C841" s="50"/>
      <c r="D841" s="57">
        <v>2024</v>
      </c>
      <c r="E841" s="52">
        <v>4260228287.0500002</v>
      </c>
      <c r="F841" s="52">
        <v>13780817667.049999</v>
      </c>
      <c r="G841" s="52">
        <v>5132198021.3628006</v>
      </c>
      <c r="H841" s="52">
        <v>0</v>
      </c>
      <c r="I841" s="54">
        <f t="shared" si="15"/>
        <v>23173243975.462799</v>
      </c>
      <c r="J841" s="56">
        <v>0</v>
      </c>
      <c r="K841" s="60"/>
      <c r="M841" s="38"/>
    </row>
    <row r="842" spans="1:13">
      <c r="D842" s="47"/>
      <c r="E842" s="53"/>
      <c r="F842" s="53"/>
      <c r="G842" s="53"/>
      <c r="H842" s="53"/>
      <c r="I842" s="54"/>
      <c r="J842" s="52"/>
      <c r="K842" s="61"/>
      <c r="M842" s="38"/>
    </row>
    <row r="843" spans="1:13">
      <c r="A843" s="49" t="s">
        <v>49</v>
      </c>
      <c r="B843" s="46" t="s">
        <v>431</v>
      </c>
      <c r="C843" s="50" t="s">
        <v>762</v>
      </c>
      <c r="D843" s="51">
        <v>1988</v>
      </c>
      <c r="E843" s="53">
        <v>1855610143</v>
      </c>
      <c r="F843" s="53">
        <v>1553938792</v>
      </c>
      <c r="G843" s="53">
        <v>1453410515</v>
      </c>
      <c r="H843" s="53">
        <v>1109329044</v>
      </c>
      <c r="I843" s="54">
        <f t="shared" si="15"/>
        <v>5972288494</v>
      </c>
      <c r="J843" s="52">
        <v>0</v>
      </c>
      <c r="K843" s="61"/>
      <c r="M843" s="38" t="str">
        <f>IF([1]totrevprm!O843="","",[1]totrevprm!O843)</f>
        <v/>
      </c>
    </row>
    <row r="844" spans="1:13">
      <c r="A844" s="49" t="s">
        <v>49</v>
      </c>
      <c r="B844" s="46" t="s">
        <v>431</v>
      </c>
      <c r="C844" s="50" t="s">
        <v>732</v>
      </c>
      <c r="D844" s="51">
        <v>1989</v>
      </c>
      <c r="E844" s="53">
        <v>1857049022</v>
      </c>
      <c r="F844" s="53">
        <v>1735316639</v>
      </c>
      <c r="G844" s="53">
        <v>1545578978</v>
      </c>
      <c r="H844" s="53">
        <v>1163623048</v>
      </c>
      <c r="I844" s="54">
        <f t="shared" si="15"/>
        <v>6301567687</v>
      </c>
      <c r="J844" s="52">
        <v>0</v>
      </c>
      <c r="K844" s="61"/>
      <c r="M844" s="38" t="str">
        <f>IF([1]totrevprm!O844="","",[1]totrevprm!O844)</f>
        <v/>
      </c>
    </row>
    <row r="845" spans="1:13">
      <c r="A845" s="49" t="s">
        <v>49</v>
      </c>
      <c r="B845" s="46" t="s">
        <v>431</v>
      </c>
      <c r="C845" s="50" t="s">
        <v>732</v>
      </c>
      <c r="D845" s="51">
        <v>1990</v>
      </c>
      <c r="E845" s="53">
        <v>2000769568</v>
      </c>
      <c r="F845" s="53">
        <v>1777661273.8399999</v>
      </c>
      <c r="G845" s="53">
        <v>1589421636</v>
      </c>
      <c r="H845" s="53">
        <v>1362796754</v>
      </c>
      <c r="I845" s="54">
        <f t="shared" si="15"/>
        <v>6730649231.8400002</v>
      </c>
      <c r="J845" s="52">
        <v>0</v>
      </c>
      <c r="K845" s="61"/>
      <c r="M845" s="38" t="str">
        <f>IF([1]totrevprm!O845="","",[1]totrevprm!O845)</f>
        <v/>
      </c>
    </row>
    <row r="846" spans="1:13">
      <c r="A846" s="49" t="s">
        <v>49</v>
      </c>
      <c r="B846" s="46" t="s">
        <v>431</v>
      </c>
      <c r="C846" s="50" t="s">
        <v>732</v>
      </c>
      <c r="D846" s="51">
        <v>1991</v>
      </c>
      <c r="E846" s="53">
        <v>2210053550</v>
      </c>
      <c r="F846" s="53">
        <v>1668950527</v>
      </c>
      <c r="G846" s="53">
        <v>1581154698</v>
      </c>
      <c r="H846" s="53">
        <v>1384626158</v>
      </c>
      <c r="I846" s="54">
        <f t="shared" si="15"/>
        <v>6844784933</v>
      </c>
      <c r="J846" s="52">
        <v>0</v>
      </c>
      <c r="K846" s="61"/>
      <c r="M846" s="38" t="str">
        <f>IF([1]totrevprm!O846="","",[1]totrevprm!O846)</f>
        <v/>
      </c>
    </row>
    <row r="847" spans="1:13">
      <c r="A847" s="49" t="s">
        <v>49</v>
      </c>
      <c r="B847" s="46" t="s">
        <v>431</v>
      </c>
      <c r="C847" s="50" t="s">
        <v>732</v>
      </c>
      <c r="D847" s="51">
        <v>1992</v>
      </c>
      <c r="E847" s="53">
        <v>2248287675</v>
      </c>
      <c r="F847" s="53">
        <v>1792416490.0799999</v>
      </c>
      <c r="G847" s="53">
        <v>1601874646</v>
      </c>
      <c r="H847" s="53">
        <v>1070650293</v>
      </c>
      <c r="I847" s="54">
        <f t="shared" si="15"/>
        <v>6713229104.0799999</v>
      </c>
      <c r="J847" s="52">
        <v>0</v>
      </c>
      <c r="K847" s="61"/>
      <c r="M847" s="38" t="str">
        <f>IF([1]totrevprm!O847="","",[1]totrevprm!O847)</f>
        <v/>
      </c>
    </row>
    <row r="848" spans="1:13">
      <c r="A848" s="49" t="s">
        <v>49</v>
      </c>
      <c r="B848" s="46" t="s">
        <v>431</v>
      </c>
      <c r="C848" s="50" t="s">
        <v>732</v>
      </c>
      <c r="D848" s="51">
        <v>1993</v>
      </c>
      <c r="E848" s="53">
        <v>2485353453</v>
      </c>
      <c r="F848" s="53">
        <v>1736664084</v>
      </c>
      <c r="G848" s="53">
        <v>1604167301</v>
      </c>
      <c r="H848" s="53">
        <v>867041942</v>
      </c>
      <c r="I848" s="54">
        <f t="shared" si="15"/>
        <v>6693226780</v>
      </c>
      <c r="J848" s="52">
        <v>0</v>
      </c>
      <c r="K848" s="61"/>
      <c r="M848" s="38" t="str">
        <f>IF([1]totrevprm!O848="","",[1]totrevprm!O848)</f>
        <v/>
      </c>
    </row>
    <row r="849" spans="1:13">
      <c r="A849" s="49" t="s">
        <v>49</v>
      </c>
      <c r="B849" s="46" t="s">
        <v>431</v>
      </c>
      <c r="C849" s="50" t="s">
        <v>732</v>
      </c>
      <c r="D849" s="51">
        <v>1994</v>
      </c>
      <c r="E849" s="53">
        <v>2978805847</v>
      </c>
      <c r="F849" s="53">
        <v>2297267431</v>
      </c>
      <c r="G849" s="53">
        <v>1706897004</v>
      </c>
      <c r="H849" s="53">
        <v>1011661921</v>
      </c>
      <c r="I849" s="54">
        <f t="shared" si="15"/>
        <v>7994632203</v>
      </c>
      <c r="J849" s="52">
        <v>0</v>
      </c>
      <c r="K849" s="61"/>
      <c r="M849" s="38" t="str">
        <f>IF([1]totrevprm!O849="","",[1]totrevprm!O849)</f>
        <v/>
      </c>
    </row>
    <row r="850" spans="1:13">
      <c r="A850" s="49" t="s">
        <v>49</v>
      </c>
      <c r="B850" s="46" t="s">
        <v>431</v>
      </c>
      <c r="C850" s="50" t="s">
        <v>732</v>
      </c>
      <c r="D850" s="51">
        <v>1995</v>
      </c>
      <c r="E850" s="53">
        <v>2918346470</v>
      </c>
      <c r="F850" s="53">
        <v>2171776437</v>
      </c>
      <c r="G850" s="53">
        <v>1859132636</v>
      </c>
      <c r="H850" s="53">
        <v>1022581380</v>
      </c>
      <c r="I850" s="54">
        <f t="shared" si="15"/>
        <v>7971836923</v>
      </c>
      <c r="J850" s="52">
        <v>0</v>
      </c>
      <c r="K850" s="61"/>
      <c r="M850" s="38" t="str">
        <f>IF([1]totrevprm!O850="","",[1]totrevprm!O850)</f>
        <v/>
      </c>
    </row>
    <row r="851" spans="1:13">
      <c r="A851" s="49" t="s">
        <v>49</v>
      </c>
      <c r="B851" s="46" t="s">
        <v>431</v>
      </c>
      <c r="C851" s="50" t="s">
        <v>732</v>
      </c>
      <c r="D851" s="51">
        <v>1996</v>
      </c>
      <c r="E851" s="53">
        <v>3063404886</v>
      </c>
      <c r="F851" s="53">
        <v>1979040338</v>
      </c>
      <c r="G851" s="53">
        <v>1985247343</v>
      </c>
      <c r="H851" s="53">
        <v>820203637</v>
      </c>
      <c r="I851" s="54">
        <f t="shared" si="15"/>
        <v>7847896204</v>
      </c>
      <c r="J851" s="52">
        <v>0</v>
      </c>
      <c r="K851" s="61"/>
      <c r="M851" s="38" t="str">
        <f>IF([1]totrevprm!O851="","",[1]totrevprm!O851)</f>
        <v/>
      </c>
    </row>
    <row r="852" spans="1:13">
      <c r="A852" s="49" t="s">
        <v>49</v>
      </c>
      <c r="B852" s="46" t="s">
        <v>431</v>
      </c>
      <c r="C852" s="50" t="s">
        <v>732</v>
      </c>
      <c r="D852" s="51">
        <v>1997</v>
      </c>
      <c r="E852" s="53">
        <v>3007994700</v>
      </c>
      <c r="F852" s="53">
        <v>1957958270</v>
      </c>
      <c r="G852" s="53">
        <v>2034634179</v>
      </c>
      <c r="H852" s="53">
        <v>627329550</v>
      </c>
      <c r="I852" s="54">
        <f t="shared" si="15"/>
        <v>7627916699</v>
      </c>
      <c r="J852" s="52">
        <v>0</v>
      </c>
      <c r="K852" s="61"/>
      <c r="M852" s="38" t="str">
        <f>IF([1]totrevprm!O852="","",[1]totrevprm!O852)</f>
        <v/>
      </c>
    </row>
    <row r="853" spans="1:13">
      <c r="A853" s="49" t="s">
        <v>49</v>
      </c>
      <c r="B853" s="46" t="s">
        <v>431</v>
      </c>
      <c r="C853" s="50" t="s">
        <v>732</v>
      </c>
      <c r="D853" s="51">
        <v>1998</v>
      </c>
      <c r="E853" s="53">
        <v>2705992023</v>
      </c>
      <c r="F853" s="53">
        <v>1898792707</v>
      </c>
      <c r="G853" s="53">
        <v>2066435426</v>
      </c>
      <c r="H853" s="53">
        <v>713488177</v>
      </c>
      <c r="I853" s="54">
        <f t="shared" si="15"/>
        <v>7384708333</v>
      </c>
      <c r="J853" s="52">
        <v>0</v>
      </c>
      <c r="K853" s="61"/>
      <c r="M853" s="38" t="str">
        <f>IF([1]totrevprm!O853="","",[1]totrevprm!O853)</f>
        <v/>
      </c>
    </row>
    <row r="854" spans="1:13">
      <c r="A854" s="49" t="s">
        <v>49</v>
      </c>
      <c r="B854" s="46" t="s">
        <v>431</v>
      </c>
      <c r="C854" s="50" t="s">
        <v>732</v>
      </c>
      <c r="D854" s="51">
        <v>1999</v>
      </c>
      <c r="E854" s="53">
        <v>2763504926</v>
      </c>
      <c r="F854" s="53">
        <v>2594015398</v>
      </c>
      <c r="G854" s="53">
        <v>2216388274</v>
      </c>
      <c r="H854" s="53">
        <v>966991661</v>
      </c>
      <c r="I854" s="54">
        <f t="shared" si="15"/>
        <v>8540900259</v>
      </c>
      <c r="J854" s="52">
        <v>0</v>
      </c>
      <c r="K854" s="61"/>
      <c r="M854" s="38" t="str">
        <f>IF([1]totrevprm!O854="","",[1]totrevprm!O854)</f>
        <v/>
      </c>
    </row>
    <row r="855" spans="1:13">
      <c r="A855" s="49" t="s">
        <v>49</v>
      </c>
      <c r="B855" s="46" t="s">
        <v>431</v>
      </c>
      <c r="C855" s="50" t="s">
        <v>732</v>
      </c>
      <c r="D855" s="51">
        <v>2000</v>
      </c>
      <c r="E855" s="53">
        <v>2744918659</v>
      </c>
      <c r="F855" s="53">
        <v>2813655418</v>
      </c>
      <c r="G855" s="53">
        <v>2350271075</v>
      </c>
      <c r="H855" s="53">
        <v>589261451</v>
      </c>
      <c r="I855" s="54">
        <f t="shared" si="15"/>
        <v>8498106603</v>
      </c>
      <c r="J855" s="52">
        <v>0</v>
      </c>
      <c r="K855" s="61"/>
      <c r="M855" s="38" t="str">
        <f>IF([1]totrevprm!O855="","",[1]totrevprm!O855)</f>
        <v/>
      </c>
    </row>
    <row r="856" spans="1:13">
      <c r="A856" s="49" t="s">
        <v>49</v>
      </c>
      <c r="B856" s="46" t="s">
        <v>431</v>
      </c>
      <c r="C856" s="50" t="s">
        <v>732</v>
      </c>
      <c r="D856" s="51">
        <v>2001</v>
      </c>
      <c r="E856" s="53">
        <v>2887372556</v>
      </c>
      <c r="F856" s="53">
        <v>3677775868</v>
      </c>
      <c r="G856" s="53">
        <v>2519311845</v>
      </c>
      <c r="H856" s="53">
        <v>610006815</v>
      </c>
      <c r="I856" s="54">
        <f t="shared" si="15"/>
        <v>9694467084</v>
      </c>
      <c r="J856" s="52">
        <v>0</v>
      </c>
      <c r="K856" s="61"/>
      <c r="M856" s="38" t="str">
        <f>IF([1]totrevprm!O856="","",[1]totrevprm!O856)</f>
        <v/>
      </c>
    </row>
    <row r="857" spans="1:13">
      <c r="A857" s="49" t="s">
        <v>49</v>
      </c>
      <c r="B857" s="46" t="s">
        <v>431</v>
      </c>
      <c r="C857" s="50" t="s">
        <v>732</v>
      </c>
      <c r="D857" s="51">
        <v>2002</v>
      </c>
      <c r="E857" s="53">
        <v>2850227855</v>
      </c>
      <c r="F857" s="53">
        <v>5533889969</v>
      </c>
      <c r="G857" s="53">
        <v>2596503507</v>
      </c>
      <c r="H857" s="53">
        <v>870994054</v>
      </c>
      <c r="I857" s="54">
        <f t="shared" si="15"/>
        <v>11851615385</v>
      </c>
      <c r="J857" s="52">
        <v>0</v>
      </c>
      <c r="K857" s="61"/>
      <c r="M857" s="38" t="str">
        <f>IF([1]totrevprm!O857="","",[1]totrevprm!O857)</f>
        <v/>
      </c>
    </row>
    <row r="858" spans="1:13">
      <c r="A858" s="49" t="s">
        <v>49</v>
      </c>
      <c r="B858" s="46" t="s">
        <v>431</v>
      </c>
      <c r="C858" s="50" t="s">
        <v>732</v>
      </c>
      <c r="D858" s="51">
        <v>2003</v>
      </c>
      <c r="E858" s="55">
        <v>2963186613</v>
      </c>
      <c r="F858" s="55">
        <v>5222886535</v>
      </c>
      <c r="G858" s="55">
        <v>2869234562</v>
      </c>
      <c r="H858" s="55">
        <v>673768879</v>
      </c>
      <c r="I858" s="54">
        <f t="shared" si="15"/>
        <v>11729076589</v>
      </c>
      <c r="J858" s="52">
        <v>0</v>
      </c>
      <c r="K858" s="61"/>
      <c r="M858" s="38" t="str">
        <f>IF([1]totrevprm!O858="","",[1]totrevprm!O858)</f>
        <v/>
      </c>
    </row>
    <row r="859" spans="1:13">
      <c r="A859" s="49" t="s">
        <v>49</v>
      </c>
      <c r="B859" s="46" t="s">
        <v>431</v>
      </c>
      <c r="C859" s="50" t="s">
        <v>732</v>
      </c>
      <c r="D859" s="51">
        <v>2004</v>
      </c>
      <c r="E859" s="55">
        <v>2979157174</v>
      </c>
      <c r="F859" s="55">
        <v>5118497631</v>
      </c>
      <c r="G859" s="55">
        <v>3072445243</v>
      </c>
      <c r="H859" s="55">
        <v>831153682</v>
      </c>
      <c r="I859" s="54">
        <f t="shared" si="15"/>
        <v>12001253730</v>
      </c>
      <c r="J859" s="52">
        <v>0</v>
      </c>
      <c r="K859" s="61"/>
      <c r="M859" s="38" t="str">
        <f>IF([1]totrevprm!O859="","",[1]totrevprm!O859)</f>
        <v/>
      </c>
    </row>
    <row r="860" spans="1:13">
      <c r="A860" s="49" t="s">
        <v>49</v>
      </c>
      <c r="B860" s="46" t="s">
        <v>431</v>
      </c>
      <c r="C860" s="50"/>
      <c r="D860" s="51">
        <v>2005</v>
      </c>
      <c r="E860" s="55">
        <v>3108986092</v>
      </c>
      <c r="F860" s="55">
        <v>3484001258</v>
      </c>
      <c r="G860" s="55">
        <v>3247417326.4699998</v>
      </c>
      <c r="H860" s="55">
        <v>863608289</v>
      </c>
      <c r="I860" s="54">
        <f t="shared" si="15"/>
        <v>10704012965.469999</v>
      </c>
      <c r="J860" s="52">
        <v>0</v>
      </c>
      <c r="K860" s="61"/>
      <c r="M860" s="38" t="str">
        <f>IF([1]totrevprm!O860="","",[1]totrevprm!O860)</f>
        <v/>
      </c>
    </row>
    <row r="861" spans="1:13">
      <c r="A861" s="49" t="s">
        <v>49</v>
      </c>
      <c r="B861" s="46" t="s">
        <v>431</v>
      </c>
      <c r="C861" s="50"/>
      <c r="D861" s="51">
        <v>2006</v>
      </c>
      <c r="E861" s="56">
        <v>3240263338</v>
      </c>
      <c r="F861" s="56">
        <v>3346004387</v>
      </c>
      <c r="G861" s="56">
        <v>3513831752</v>
      </c>
      <c r="H861" s="56">
        <v>1000164584</v>
      </c>
      <c r="I861" s="54">
        <f t="shared" si="15"/>
        <v>11100264061</v>
      </c>
      <c r="J861" s="52">
        <v>0</v>
      </c>
      <c r="K861" s="61"/>
      <c r="M861" s="38" t="str">
        <f>IF([1]totrevprm!O861="","",[1]totrevprm!O861)</f>
        <v/>
      </c>
    </row>
    <row r="862" spans="1:13">
      <c r="A862" s="49" t="s">
        <v>49</v>
      </c>
      <c r="B862" s="46" t="s">
        <v>431</v>
      </c>
      <c r="C862" s="50"/>
      <c r="D862" s="51">
        <v>2007</v>
      </c>
      <c r="E862" s="56">
        <v>3378928574</v>
      </c>
      <c r="F862" s="56">
        <v>5199853673</v>
      </c>
      <c r="G862" s="56">
        <v>3625761777</v>
      </c>
      <c r="H862" s="56">
        <v>204765259</v>
      </c>
      <c r="I862" s="54">
        <f t="shared" si="15"/>
        <v>12409309283</v>
      </c>
      <c r="J862" s="37">
        <v>32267065</v>
      </c>
      <c r="K862" s="61" t="s">
        <v>736</v>
      </c>
      <c r="L862" t="s">
        <v>720</v>
      </c>
      <c r="M862" s="38" t="str">
        <f>IF([1]totrevprm!O862="","",[1]totrevprm!O862)</f>
        <v/>
      </c>
    </row>
    <row r="863" spans="1:13">
      <c r="A863" s="49" t="s">
        <v>49</v>
      </c>
      <c r="B863" s="46" t="s">
        <v>431</v>
      </c>
      <c r="C863" s="50"/>
      <c r="D863" s="51">
        <v>2008</v>
      </c>
      <c r="E863" s="56">
        <v>3398242792</v>
      </c>
      <c r="F863" s="56">
        <v>6971365843</v>
      </c>
      <c r="G863" s="56">
        <v>3735958190</v>
      </c>
      <c r="H863" s="56">
        <v>181782106</v>
      </c>
      <c r="I863" s="54">
        <f t="shared" si="15"/>
        <v>14287348931</v>
      </c>
      <c r="J863" s="37">
        <v>74124946</v>
      </c>
      <c r="K863" s="61" t="s">
        <v>736</v>
      </c>
      <c r="L863" t="s">
        <v>720</v>
      </c>
      <c r="M863" s="38" t="str">
        <f>IF([1]totrevprm!O863="","",[1]totrevprm!O863)</f>
        <v/>
      </c>
    </row>
    <row r="864" spans="1:13">
      <c r="A864" s="49" t="s">
        <v>49</v>
      </c>
      <c r="B864" s="46" t="s">
        <v>431</v>
      </c>
      <c r="C864" s="50"/>
      <c r="D864" s="51">
        <v>2009</v>
      </c>
      <c r="E864" s="56">
        <v>3496112436</v>
      </c>
      <c r="F864" s="56">
        <v>6774875329</v>
      </c>
      <c r="G864" s="56">
        <v>3862073413</v>
      </c>
      <c r="H864" s="56">
        <v>239954343</v>
      </c>
      <c r="I864" s="54">
        <f t="shared" si="15"/>
        <v>14373015521</v>
      </c>
      <c r="J864" s="37">
        <v>52294332</v>
      </c>
      <c r="K864" s="61" t="s">
        <v>736</v>
      </c>
      <c r="L864" t="s">
        <v>720</v>
      </c>
      <c r="M864" s="38" t="str">
        <f>IF([1]totrevprm!O864="","",[1]totrevprm!O864)</f>
        <v/>
      </c>
    </row>
    <row r="865" spans="1:13">
      <c r="A865" s="49" t="s">
        <v>49</v>
      </c>
      <c r="B865" s="46" t="s">
        <v>431</v>
      </c>
      <c r="C865" s="50"/>
      <c r="D865" s="51">
        <v>2010</v>
      </c>
      <c r="E865" s="56">
        <v>3367282320</v>
      </c>
      <c r="F865" s="52">
        <v>5752143799</v>
      </c>
      <c r="G865" s="56">
        <v>3872365308</v>
      </c>
      <c r="H865" s="56">
        <v>448725475</v>
      </c>
      <c r="I865" s="54">
        <f t="shared" si="15"/>
        <v>13440516902</v>
      </c>
      <c r="J865" s="37">
        <v>55951011</v>
      </c>
      <c r="K865" s="61" t="s">
        <v>736</v>
      </c>
      <c r="L865" t="s">
        <v>720</v>
      </c>
      <c r="M865" s="38" t="str">
        <f>IF([1]totrevprm!O865="","",[1]totrevprm!O865)</f>
        <v/>
      </c>
    </row>
    <row r="866" spans="1:13">
      <c r="A866" s="49" t="s">
        <v>49</v>
      </c>
      <c r="B866" s="46" t="s">
        <v>431</v>
      </c>
      <c r="C866" s="50"/>
      <c r="D866" s="51">
        <v>2011</v>
      </c>
      <c r="E866" s="56">
        <v>3587277632</v>
      </c>
      <c r="F866" s="52">
        <v>5302074085</v>
      </c>
      <c r="G866" s="56">
        <v>3850455944</v>
      </c>
      <c r="H866" s="56">
        <v>220526904</v>
      </c>
      <c r="I866" s="54">
        <f t="shared" si="15"/>
        <v>12960334565</v>
      </c>
      <c r="J866" s="37">
        <v>50897064</v>
      </c>
      <c r="K866" s="61" t="s">
        <v>736</v>
      </c>
      <c r="L866" t="s">
        <v>720</v>
      </c>
      <c r="M866" s="38" t="str">
        <f>IF([1]totrevprm!O866="","",[1]totrevprm!O866)</f>
        <v/>
      </c>
    </row>
    <row r="867" spans="1:13">
      <c r="A867" s="49" t="s">
        <v>49</v>
      </c>
      <c r="B867" s="46" t="s">
        <v>431</v>
      </c>
      <c r="C867" s="50"/>
      <c r="D867" s="51">
        <v>2012</v>
      </c>
      <c r="E867" s="56">
        <v>3785248974</v>
      </c>
      <c r="F867" s="52">
        <v>16699152333</v>
      </c>
      <c r="G867" s="56">
        <v>3919552247</v>
      </c>
      <c r="H867" s="56">
        <v>133108327</v>
      </c>
      <c r="I867" s="54">
        <f t="shared" si="15"/>
        <v>24537061881</v>
      </c>
      <c r="J867" s="37">
        <v>51358217</v>
      </c>
      <c r="K867" s="61" t="s">
        <v>736</v>
      </c>
      <c r="L867" t="s">
        <v>720</v>
      </c>
      <c r="M867" s="38" t="str">
        <f>IF([1]totrevprm!O867="","",[1]totrevprm!O867)</f>
        <v/>
      </c>
    </row>
    <row r="868" spans="1:13">
      <c r="A868" s="49" t="s">
        <v>49</v>
      </c>
      <c r="B868" s="46" t="s">
        <v>431</v>
      </c>
      <c r="C868" s="50"/>
      <c r="D868" s="51">
        <v>2013</v>
      </c>
      <c r="E868" s="56">
        <v>3790056019</v>
      </c>
      <c r="F868" s="52">
        <v>6239406900</v>
      </c>
      <c r="G868" s="56">
        <v>3847629926</v>
      </c>
      <c r="H868" s="56">
        <v>118106896</v>
      </c>
      <c r="I868" s="54">
        <f t="shared" si="15"/>
        <v>13995199741</v>
      </c>
      <c r="J868" s="37">
        <v>52841229</v>
      </c>
      <c r="K868" s="61" t="s">
        <v>736</v>
      </c>
      <c r="L868" t="s">
        <v>720</v>
      </c>
      <c r="M868" s="38" t="str">
        <f>IF([1]totrevprm!O868="","",[1]totrevprm!O868)</f>
        <v/>
      </c>
    </row>
    <row r="869" spans="1:13">
      <c r="A869" s="49" t="s">
        <v>49</v>
      </c>
      <c r="B869" s="46" t="s">
        <v>431</v>
      </c>
      <c r="C869" s="50"/>
      <c r="D869" s="51">
        <v>2014</v>
      </c>
      <c r="E869" s="56">
        <v>3965582164</v>
      </c>
      <c r="F869" s="56">
        <v>8010524609</v>
      </c>
      <c r="G869" s="56">
        <v>9436172712</v>
      </c>
      <c r="H869" s="56">
        <v>126587043</v>
      </c>
      <c r="I869" s="54">
        <f t="shared" si="15"/>
        <v>21538866528</v>
      </c>
      <c r="J869" s="52">
        <v>67468573</v>
      </c>
      <c r="K869" s="61" t="s">
        <v>736</v>
      </c>
      <c r="L869" t="s">
        <v>720</v>
      </c>
      <c r="M869" s="38" t="str">
        <f>IF([1]totrevprm!O869="","",[1]totrevprm!O869)</f>
        <v/>
      </c>
    </row>
    <row r="870" spans="1:13">
      <c r="A870" s="49" t="s">
        <v>49</v>
      </c>
      <c r="B870" s="46" t="s">
        <v>431</v>
      </c>
      <c r="C870" s="50"/>
      <c r="D870" s="51">
        <v>2015</v>
      </c>
      <c r="E870" s="56">
        <v>4215382978</v>
      </c>
      <c r="F870" s="56">
        <v>6576078638</v>
      </c>
      <c r="G870" s="56">
        <v>9030456530</v>
      </c>
      <c r="H870" s="56">
        <v>285603574</v>
      </c>
      <c r="I870" s="54">
        <f t="shared" si="15"/>
        <v>20107521720</v>
      </c>
      <c r="J870" s="52">
        <v>66193155</v>
      </c>
      <c r="K870" s="61" t="s">
        <v>736</v>
      </c>
      <c r="L870" t="s">
        <v>720</v>
      </c>
      <c r="M870" s="38" t="str">
        <f>IF([1]totrevprm!O870="","",[1]totrevprm!O870)</f>
        <v/>
      </c>
    </row>
    <row r="871" spans="1:13">
      <c r="A871" s="49" t="s">
        <v>49</v>
      </c>
      <c r="B871" s="46" t="s">
        <v>431</v>
      </c>
      <c r="C871" s="50"/>
      <c r="D871" s="51">
        <v>2016</v>
      </c>
      <c r="E871" s="56">
        <v>4355023563</v>
      </c>
      <c r="F871" s="56">
        <v>7704579141</v>
      </c>
      <c r="G871" s="56">
        <v>9196305834</v>
      </c>
      <c r="H871" s="71">
        <v>-44728692</v>
      </c>
      <c r="I871" s="54">
        <f t="shared" si="15"/>
        <v>21211179846</v>
      </c>
      <c r="J871" s="52">
        <v>146593924</v>
      </c>
      <c r="K871" s="61" t="s">
        <v>736</v>
      </c>
      <c r="L871" t="s">
        <v>720</v>
      </c>
      <c r="M871" s="38" t="str">
        <f>IF([1]totrevprm!O871="","",[1]totrevprm!O871)</f>
        <v/>
      </c>
    </row>
    <row r="872" spans="1:13">
      <c r="A872" s="49" t="s">
        <v>49</v>
      </c>
      <c r="B872" s="46" t="s">
        <v>431</v>
      </c>
      <c r="C872" s="50"/>
      <c r="D872" s="51">
        <v>2017</v>
      </c>
      <c r="E872" s="56">
        <v>4477076744</v>
      </c>
      <c r="F872" s="56">
        <v>7877477596</v>
      </c>
      <c r="G872" s="56">
        <v>9254706503</v>
      </c>
      <c r="H872" s="56">
        <v>162285916</v>
      </c>
      <c r="I872" s="54">
        <f t="shared" si="15"/>
        <v>21771546759</v>
      </c>
      <c r="J872" s="56">
        <v>71587545</v>
      </c>
      <c r="K872" s="61" t="s">
        <v>736</v>
      </c>
      <c r="L872" t="s">
        <v>720</v>
      </c>
      <c r="M872" s="38" t="str">
        <f>IF([1]totrevprm!O872="","",[1]totrevprm!O872)</f>
        <v/>
      </c>
    </row>
    <row r="873" spans="1:13">
      <c r="A873" s="49" t="s">
        <v>49</v>
      </c>
      <c r="B873" s="46" t="s">
        <v>431</v>
      </c>
      <c r="C873" s="50"/>
      <c r="D873" s="51">
        <v>2018</v>
      </c>
      <c r="E873" s="56">
        <v>4467037550</v>
      </c>
      <c r="F873" s="56">
        <v>9119518396</v>
      </c>
      <c r="G873" s="56">
        <v>9462296645</v>
      </c>
      <c r="H873" s="56">
        <v>227047283</v>
      </c>
      <c r="I873" s="54">
        <f t="shared" si="15"/>
        <v>23275899874</v>
      </c>
      <c r="J873" s="56">
        <v>230027973</v>
      </c>
      <c r="K873" s="61" t="s">
        <v>736</v>
      </c>
      <c r="L873" t="s">
        <v>720</v>
      </c>
      <c r="M873" s="38" t="str">
        <f>IF([1]totrevprm!O873="","",[1]totrevprm!O873)</f>
        <v/>
      </c>
    </row>
    <row r="874" spans="1:13">
      <c r="A874" s="49" t="s">
        <v>49</v>
      </c>
      <c r="B874" s="46" t="s">
        <v>431</v>
      </c>
      <c r="C874" s="50"/>
      <c r="D874" s="51">
        <v>2019</v>
      </c>
      <c r="E874" s="56">
        <v>4555090603</v>
      </c>
      <c r="F874" s="56">
        <v>8836725438</v>
      </c>
      <c r="G874" s="56">
        <v>9603630594</v>
      </c>
      <c r="H874" s="56">
        <v>148298458</v>
      </c>
      <c r="I874" s="54">
        <f t="shared" si="15"/>
        <v>23143745093</v>
      </c>
      <c r="J874" s="56">
        <v>155386036</v>
      </c>
      <c r="K874" s="61" t="s">
        <v>736</v>
      </c>
      <c r="L874" t="s">
        <v>720</v>
      </c>
      <c r="M874" s="38" t="str">
        <f>IF([1]totrevprm!O874="","",[1]totrevprm!O874)</f>
        <v/>
      </c>
    </row>
    <row r="875" spans="1:13">
      <c r="A875" s="49" t="s">
        <v>49</v>
      </c>
      <c r="B875" s="46" t="s">
        <v>431</v>
      </c>
      <c r="C875" s="50"/>
      <c r="D875" s="51">
        <v>2020</v>
      </c>
      <c r="E875" s="56">
        <v>4665676710</v>
      </c>
      <c r="F875" s="56">
        <v>10038894722</v>
      </c>
      <c r="G875" s="56">
        <v>9521557405</v>
      </c>
      <c r="H875" s="56">
        <v>257796271</v>
      </c>
      <c r="I875" s="54">
        <f t="shared" si="15"/>
        <v>24483925108</v>
      </c>
      <c r="J875" s="56">
        <v>123593299</v>
      </c>
      <c r="K875" s="61" t="s">
        <v>736</v>
      </c>
      <c r="L875" t="s">
        <v>720</v>
      </c>
      <c r="M875" s="38" t="str">
        <f>IF([1]totrevprm!O875="","",[1]totrevprm!O875)</f>
        <v/>
      </c>
    </row>
    <row r="876" spans="1:13">
      <c r="A876" s="49" t="s">
        <v>49</v>
      </c>
      <c r="B876" s="46" t="s">
        <v>431</v>
      </c>
      <c r="C876" s="50"/>
      <c r="D876" s="51">
        <v>2021</v>
      </c>
      <c r="E876" s="56">
        <v>4864164404</v>
      </c>
      <c r="F876" s="56">
        <v>10896766078</v>
      </c>
      <c r="G876" s="56">
        <v>9741553372</v>
      </c>
      <c r="H876" s="56">
        <v>162303083</v>
      </c>
      <c r="I876" s="54">
        <f t="shared" si="15"/>
        <v>25664786937</v>
      </c>
      <c r="J876" s="53">
        <v>0</v>
      </c>
      <c r="K876" s="61"/>
      <c r="L876" t="s">
        <v>720</v>
      </c>
      <c r="M876" s="38"/>
    </row>
    <row r="877" spans="1:13">
      <c r="A877" s="49" t="s">
        <v>49</v>
      </c>
      <c r="B877" s="46" t="s">
        <v>431</v>
      </c>
      <c r="C877" s="50"/>
      <c r="D877" s="51">
        <v>2022</v>
      </c>
      <c r="E877" s="56">
        <v>5010798310</v>
      </c>
      <c r="F877" s="56">
        <v>12516056446</v>
      </c>
      <c r="G877" s="56">
        <v>10165217252</v>
      </c>
      <c r="H877" s="56">
        <v>267324049</v>
      </c>
      <c r="I877" s="54">
        <f t="shared" si="15"/>
        <v>27959396057</v>
      </c>
      <c r="J877" s="53">
        <v>0</v>
      </c>
      <c r="K877" s="61"/>
      <c r="M877" s="38" t="str">
        <f>IF([1]totrevprm!O880="","",[1]totrevprm!O880)</f>
        <v/>
      </c>
    </row>
    <row r="878" spans="1:13">
      <c r="A878" s="49" t="s">
        <v>49</v>
      </c>
      <c r="B878" s="46" t="s">
        <v>431</v>
      </c>
      <c r="C878" s="50"/>
      <c r="D878" s="51">
        <v>2023</v>
      </c>
      <c r="E878" s="56">
        <v>5026068161</v>
      </c>
      <c r="F878" s="56">
        <v>18002680028.471298</v>
      </c>
      <c r="G878" s="56">
        <v>10795591334.794399</v>
      </c>
      <c r="H878" s="56">
        <v>128015446</v>
      </c>
      <c r="I878" s="54">
        <f t="shared" si="15"/>
        <v>33952354970.265697</v>
      </c>
      <c r="J878" s="52">
        <v>0</v>
      </c>
      <c r="K878" s="61"/>
      <c r="M878" s="38"/>
    </row>
    <row r="879" spans="1:13">
      <c r="A879" s="49" t="s">
        <v>49</v>
      </c>
      <c r="B879" s="46" t="s">
        <v>431</v>
      </c>
      <c r="C879" s="50"/>
      <c r="D879" s="57">
        <v>2024</v>
      </c>
      <c r="E879" s="52">
        <v>5014550952.8599997</v>
      </c>
      <c r="F879" s="52">
        <v>17671587283.059998</v>
      </c>
      <c r="G879" s="52">
        <v>11432884921.2309</v>
      </c>
      <c r="H879" s="52">
        <v>236683161.50999999</v>
      </c>
      <c r="I879" s="54">
        <f t="shared" si="15"/>
        <v>34355706318.660896</v>
      </c>
      <c r="J879" s="56">
        <v>0</v>
      </c>
      <c r="K879" s="60"/>
      <c r="M879" s="38"/>
    </row>
    <row r="880" spans="1:13">
      <c r="A880" s="49"/>
      <c r="B880" s="50"/>
      <c r="C880" s="50"/>
      <c r="E880" s="53"/>
      <c r="F880" s="53"/>
      <c r="G880" s="53"/>
      <c r="H880" s="53"/>
      <c r="I880" s="54"/>
      <c r="J880" s="52"/>
      <c r="K880" s="61"/>
      <c r="M880" s="38"/>
    </row>
    <row r="881" spans="1:13">
      <c r="A881" s="49" t="s">
        <v>50</v>
      </c>
      <c r="B881" s="46" t="s">
        <v>780</v>
      </c>
      <c r="C881" s="50" t="s">
        <v>769</v>
      </c>
      <c r="D881" s="51">
        <v>1988</v>
      </c>
      <c r="E881" s="53">
        <v>991844422</v>
      </c>
      <c r="F881" s="53">
        <v>1418175077</v>
      </c>
      <c r="G881" s="53">
        <v>1233459613</v>
      </c>
      <c r="H881" s="53">
        <v>983453342</v>
      </c>
      <c r="I881" s="54">
        <f t="shared" si="15"/>
        <v>4626932454</v>
      </c>
      <c r="J881" s="52">
        <v>0</v>
      </c>
      <c r="K881" s="61"/>
      <c r="M881" s="38" t="str">
        <f>IF([1]totrevprm!O881="","",[1]totrevprm!O881)</f>
        <v/>
      </c>
    </row>
    <row r="882" spans="1:13">
      <c r="A882" s="49" t="s">
        <v>50</v>
      </c>
      <c r="B882" s="46" t="s">
        <v>780</v>
      </c>
      <c r="C882" s="50" t="s">
        <v>742</v>
      </c>
      <c r="D882" s="51">
        <v>1989</v>
      </c>
      <c r="E882" s="53">
        <v>968227631</v>
      </c>
      <c r="F882" s="53">
        <v>1294142928</v>
      </c>
      <c r="G882" s="53">
        <v>1350007713</v>
      </c>
      <c r="H882" s="53">
        <v>1215429982</v>
      </c>
      <c r="I882" s="54">
        <f t="shared" si="15"/>
        <v>4827808254</v>
      </c>
      <c r="J882" s="52">
        <v>0</v>
      </c>
      <c r="K882" s="61"/>
      <c r="M882" s="38" t="str">
        <f>IF([1]totrevprm!O882="","",[1]totrevprm!O882)</f>
        <v/>
      </c>
    </row>
    <row r="883" spans="1:13">
      <c r="A883" s="49" t="s">
        <v>50</v>
      </c>
      <c r="B883" s="46" t="s">
        <v>780</v>
      </c>
      <c r="C883" s="50" t="s">
        <v>732</v>
      </c>
      <c r="D883" s="51">
        <v>1990</v>
      </c>
      <c r="E883" s="53">
        <v>994401925</v>
      </c>
      <c r="F883" s="53">
        <v>1569795249.96</v>
      </c>
      <c r="G883" s="53">
        <v>1448296965</v>
      </c>
      <c r="H883" s="53">
        <v>1216892120</v>
      </c>
      <c r="I883" s="54">
        <f t="shared" si="15"/>
        <v>5229386259.96</v>
      </c>
      <c r="J883" s="52">
        <v>0</v>
      </c>
      <c r="K883" s="61"/>
      <c r="M883" s="38" t="str">
        <f>IF([1]totrevprm!O883="","",[1]totrevprm!O883)</f>
        <v/>
      </c>
    </row>
    <row r="884" spans="1:13">
      <c r="A884" s="49" t="s">
        <v>50</v>
      </c>
      <c r="B884" s="46" t="s">
        <v>780</v>
      </c>
      <c r="C884" s="50" t="s">
        <v>732</v>
      </c>
      <c r="D884" s="51">
        <v>1991</v>
      </c>
      <c r="E884" s="53">
        <v>1064724119</v>
      </c>
      <c r="F884" s="53">
        <v>1424229703</v>
      </c>
      <c r="G884" s="53">
        <v>1519551252</v>
      </c>
      <c r="H884" s="53">
        <v>1338071746</v>
      </c>
      <c r="I884" s="54">
        <f t="shared" si="15"/>
        <v>5346576820</v>
      </c>
      <c r="J884" s="52">
        <v>0</v>
      </c>
      <c r="K884" s="61"/>
      <c r="M884" s="38" t="str">
        <f>IF([1]totrevprm!O884="","",[1]totrevprm!O884)</f>
        <v/>
      </c>
    </row>
    <row r="885" spans="1:13">
      <c r="A885" s="49" t="s">
        <v>50</v>
      </c>
      <c r="B885" s="46" t="s">
        <v>780</v>
      </c>
      <c r="C885" s="50" t="s">
        <v>732</v>
      </c>
      <c r="D885" s="51">
        <v>1992</v>
      </c>
      <c r="E885" s="53">
        <v>1158658257</v>
      </c>
      <c r="F885" s="53">
        <v>1448974791.52</v>
      </c>
      <c r="G885" s="53">
        <v>1555354126</v>
      </c>
      <c r="H885" s="53">
        <v>888891302</v>
      </c>
      <c r="I885" s="54">
        <f t="shared" si="15"/>
        <v>5051878476.5200005</v>
      </c>
      <c r="J885" s="52">
        <v>0</v>
      </c>
      <c r="K885" s="61"/>
      <c r="M885" s="38" t="str">
        <f>IF([1]totrevprm!O885="","",[1]totrevprm!O885)</f>
        <v/>
      </c>
    </row>
    <row r="886" spans="1:13">
      <c r="A886" s="49" t="s">
        <v>50</v>
      </c>
      <c r="B886" s="46" t="s">
        <v>780</v>
      </c>
      <c r="C886" s="50" t="s">
        <v>732</v>
      </c>
      <c r="D886" s="51">
        <v>1993</v>
      </c>
      <c r="E886" s="53">
        <v>1284114347</v>
      </c>
      <c r="F886" s="53">
        <v>1140639810</v>
      </c>
      <c r="G886" s="53">
        <v>1559418881</v>
      </c>
      <c r="H886" s="53">
        <v>834483520</v>
      </c>
      <c r="I886" s="54">
        <f t="shared" si="15"/>
        <v>4818656558</v>
      </c>
      <c r="J886" s="52">
        <v>0</v>
      </c>
      <c r="K886" s="61"/>
      <c r="M886" s="38" t="str">
        <f>IF([1]totrevprm!O886="","",[1]totrevprm!O886)</f>
        <v/>
      </c>
    </row>
    <row r="887" spans="1:13">
      <c r="A887" s="49" t="s">
        <v>50</v>
      </c>
      <c r="B887" s="46" t="s">
        <v>780</v>
      </c>
      <c r="C887" s="50" t="s">
        <v>781</v>
      </c>
      <c r="D887" s="51">
        <v>1994</v>
      </c>
      <c r="E887" s="53">
        <v>1364401005</v>
      </c>
      <c r="F887" s="53">
        <v>1584920701</v>
      </c>
      <c r="G887" s="53">
        <v>1678238765</v>
      </c>
      <c r="H887" s="53">
        <v>448280320</v>
      </c>
      <c r="I887" s="54">
        <f t="shared" si="15"/>
        <v>5075840791</v>
      </c>
      <c r="J887" s="52">
        <v>0</v>
      </c>
      <c r="K887" s="61"/>
      <c r="M887" s="38" t="str">
        <f>IF([1]totrevprm!O887="","",[1]totrevprm!O887)</f>
        <v/>
      </c>
    </row>
    <row r="888" spans="1:13">
      <c r="A888" s="49" t="s">
        <v>50</v>
      </c>
      <c r="B888" s="46" t="s">
        <v>780</v>
      </c>
      <c r="C888" s="50" t="s">
        <v>782</v>
      </c>
      <c r="D888" s="51">
        <v>1995</v>
      </c>
      <c r="E888" s="53">
        <v>1382653488</v>
      </c>
      <c r="F888" s="53">
        <v>1654876679</v>
      </c>
      <c r="G888" s="53">
        <v>1694532847</v>
      </c>
      <c r="H888" s="53">
        <v>433050125</v>
      </c>
      <c r="I888" s="54">
        <f t="shared" si="15"/>
        <v>5165113139</v>
      </c>
      <c r="J888" s="52">
        <v>0</v>
      </c>
      <c r="K888" s="61"/>
      <c r="M888" s="38" t="str">
        <f>IF([1]totrevprm!O888="","",[1]totrevprm!O888)</f>
        <v/>
      </c>
    </row>
    <row r="889" spans="1:13">
      <c r="A889" s="49" t="s">
        <v>50</v>
      </c>
      <c r="B889" s="46" t="s">
        <v>780</v>
      </c>
      <c r="C889" s="50" t="s">
        <v>783</v>
      </c>
      <c r="D889" s="51">
        <v>1996</v>
      </c>
      <c r="E889" s="53">
        <v>1409650986</v>
      </c>
      <c r="F889" s="53">
        <v>1216614999</v>
      </c>
      <c r="G889" s="53">
        <v>1767595582</v>
      </c>
      <c r="H889" s="53">
        <v>297909322</v>
      </c>
      <c r="I889" s="54">
        <f t="shared" si="15"/>
        <v>4691770889</v>
      </c>
      <c r="J889" s="52">
        <v>0</v>
      </c>
      <c r="K889" s="61"/>
      <c r="M889" s="38" t="str">
        <f>IF([1]totrevprm!O889="","",[1]totrevprm!O889)</f>
        <v/>
      </c>
    </row>
    <row r="890" spans="1:13">
      <c r="A890" s="49" t="s">
        <v>50</v>
      </c>
      <c r="B890" s="46" t="s">
        <v>780</v>
      </c>
      <c r="C890" s="50" t="s">
        <v>732</v>
      </c>
      <c r="D890" s="51">
        <v>1997</v>
      </c>
      <c r="E890" s="53">
        <v>1391785466</v>
      </c>
      <c r="F890" s="53">
        <v>1345345297</v>
      </c>
      <c r="G890" s="53">
        <v>1835812601</v>
      </c>
      <c r="H890" s="53">
        <v>268445977</v>
      </c>
      <c r="I890" s="54">
        <f t="shared" si="15"/>
        <v>4841389341</v>
      </c>
      <c r="J890" s="52">
        <v>0</v>
      </c>
      <c r="K890" s="61"/>
      <c r="M890" s="38" t="str">
        <f>IF([1]totrevprm!O890="","",[1]totrevprm!O890)</f>
        <v/>
      </c>
    </row>
    <row r="891" spans="1:13">
      <c r="A891" s="49" t="s">
        <v>50</v>
      </c>
      <c r="B891" s="46" t="s">
        <v>780</v>
      </c>
      <c r="C891" s="50" t="s">
        <v>732</v>
      </c>
      <c r="D891" s="51">
        <v>1998</v>
      </c>
      <c r="E891" s="53">
        <v>1435675392</v>
      </c>
      <c r="F891" s="53">
        <v>1225045708</v>
      </c>
      <c r="G891" s="53">
        <v>2055019175</v>
      </c>
      <c r="H891" s="53">
        <v>65945886</v>
      </c>
      <c r="I891" s="54">
        <f t="shared" si="15"/>
        <v>4781686161</v>
      </c>
      <c r="J891" s="52">
        <v>0</v>
      </c>
      <c r="K891" s="61"/>
      <c r="M891" s="38" t="str">
        <f>IF([1]totrevprm!O891="","",[1]totrevprm!O891)</f>
        <v/>
      </c>
    </row>
    <row r="892" spans="1:13">
      <c r="A892" s="49" t="s">
        <v>50</v>
      </c>
      <c r="B892" s="46" t="s">
        <v>780</v>
      </c>
      <c r="C892" s="50" t="s">
        <v>784</v>
      </c>
      <c r="D892" s="51">
        <v>1999</v>
      </c>
      <c r="E892" s="53">
        <v>1446767351</v>
      </c>
      <c r="F892" s="53">
        <v>1594298274</v>
      </c>
      <c r="G892" s="53">
        <v>2349723395</v>
      </c>
      <c r="H892" s="53">
        <v>336956565</v>
      </c>
      <c r="I892" s="54">
        <f t="shared" si="15"/>
        <v>5727745585</v>
      </c>
      <c r="J892" s="52">
        <v>0</v>
      </c>
      <c r="K892" s="61"/>
      <c r="M892" s="38" t="str">
        <f>IF([1]totrevprm!O892="","",[1]totrevprm!O892)</f>
        <v/>
      </c>
    </row>
    <row r="893" spans="1:13">
      <c r="A893" s="49" t="s">
        <v>50</v>
      </c>
      <c r="B893" s="46" t="s">
        <v>780</v>
      </c>
      <c r="C893" s="50" t="s">
        <v>732</v>
      </c>
      <c r="D893" s="51">
        <v>2000</v>
      </c>
      <c r="E893" s="53">
        <v>1468443440</v>
      </c>
      <c r="F893" s="53">
        <v>1685016555</v>
      </c>
      <c r="G893" s="53">
        <v>2650474393</v>
      </c>
      <c r="H893" s="53">
        <v>476722944</v>
      </c>
      <c r="I893" s="54">
        <f t="shared" si="15"/>
        <v>6280657332</v>
      </c>
      <c r="J893" s="52">
        <v>0</v>
      </c>
      <c r="K893" s="61"/>
      <c r="M893" s="38" t="str">
        <f>IF([1]totrevprm!O893="","",[1]totrevprm!O893)</f>
        <v/>
      </c>
    </row>
    <row r="894" spans="1:13">
      <c r="A894" s="49" t="s">
        <v>50</v>
      </c>
      <c r="B894" s="46" t="s">
        <v>780</v>
      </c>
      <c r="C894" s="50" t="s">
        <v>785</v>
      </c>
      <c r="D894" s="51">
        <v>2001</v>
      </c>
      <c r="E894" s="53">
        <v>1489895293</v>
      </c>
      <c r="F894" s="53">
        <v>2312407536</v>
      </c>
      <c r="G894" s="53">
        <v>2644246213</v>
      </c>
      <c r="H894" s="52">
        <v>-141523048</v>
      </c>
      <c r="I894" s="54">
        <f t="shared" si="15"/>
        <v>6305025994</v>
      </c>
      <c r="J894" s="52">
        <v>0</v>
      </c>
      <c r="K894" s="61"/>
      <c r="M894" s="38" t="str">
        <f>IF([1]totrevprm!O894="","",[1]totrevprm!O894)</f>
        <v/>
      </c>
    </row>
    <row r="895" spans="1:13">
      <c r="A895" s="49" t="s">
        <v>50</v>
      </c>
      <c r="B895" s="46" t="s">
        <v>780</v>
      </c>
      <c r="C895" s="50" t="s">
        <v>732</v>
      </c>
      <c r="D895" s="51">
        <v>2002</v>
      </c>
      <c r="E895" s="53">
        <v>1558159332</v>
      </c>
      <c r="F895" s="53">
        <v>3145136369</v>
      </c>
      <c r="G895" s="53">
        <v>2812149147</v>
      </c>
      <c r="H895" s="52">
        <v>293849038</v>
      </c>
      <c r="I895" s="54">
        <f t="shared" si="15"/>
        <v>7809293886</v>
      </c>
      <c r="J895" s="52">
        <v>0</v>
      </c>
      <c r="K895" s="61"/>
      <c r="M895" s="38" t="str">
        <f>IF([1]totrevprm!O895="","",[1]totrevprm!O895)</f>
        <v/>
      </c>
    </row>
    <row r="896" spans="1:13">
      <c r="A896" s="49" t="s">
        <v>50</v>
      </c>
      <c r="B896" s="46" t="s">
        <v>780</v>
      </c>
      <c r="C896" s="50" t="s">
        <v>732</v>
      </c>
      <c r="D896" s="51">
        <v>2003</v>
      </c>
      <c r="E896" s="55">
        <v>1733966356</v>
      </c>
      <c r="F896" s="55">
        <v>2587566336</v>
      </c>
      <c r="G896" s="55">
        <v>2776652838</v>
      </c>
      <c r="H896" s="55">
        <v>379280123</v>
      </c>
      <c r="I896" s="54">
        <f t="shared" si="15"/>
        <v>7477465653</v>
      </c>
      <c r="J896" s="52">
        <v>0</v>
      </c>
      <c r="K896" s="61"/>
      <c r="M896" s="38" t="str">
        <f>IF([1]totrevprm!O896="","",[1]totrevprm!O896)</f>
        <v/>
      </c>
    </row>
    <row r="897" spans="1:13">
      <c r="A897" s="49" t="s">
        <v>50</v>
      </c>
      <c r="B897" s="46" t="s">
        <v>780</v>
      </c>
      <c r="C897" s="50" t="s">
        <v>732</v>
      </c>
      <c r="D897" s="51">
        <v>2004</v>
      </c>
      <c r="E897" s="55">
        <v>1778181090</v>
      </c>
      <c r="F897" s="55">
        <v>2145415855</v>
      </c>
      <c r="G897" s="55">
        <v>3058272941</v>
      </c>
      <c r="H897" s="55">
        <v>352756324</v>
      </c>
      <c r="I897" s="54">
        <f t="shared" si="15"/>
        <v>7334626210</v>
      </c>
      <c r="J897" s="52">
        <v>0</v>
      </c>
      <c r="K897" s="61"/>
      <c r="M897" s="38" t="str">
        <f>IF([1]totrevprm!O897="","",[1]totrevprm!O897)</f>
        <v/>
      </c>
    </row>
    <row r="898" spans="1:13">
      <c r="A898" s="49" t="s">
        <v>50</v>
      </c>
      <c r="B898" s="46" t="s">
        <v>780</v>
      </c>
      <c r="C898" s="50"/>
      <c r="D898" s="51">
        <v>2005</v>
      </c>
      <c r="E898" s="55">
        <v>1868080318</v>
      </c>
      <c r="F898" s="55">
        <v>1774289630</v>
      </c>
      <c r="G898" s="55">
        <v>3379656672.29</v>
      </c>
      <c r="H898" s="55">
        <v>735902246</v>
      </c>
      <c r="I898" s="54">
        <f t="shared" si="15"/>
        <v>7757928866.29</v>
      </c>
      <c r="J898" s="52">
        <v>0</v>
      </c>
      <c r="K898" s="61"/>
      <c r="M898" s="38" t="str">
        <f>IF([1]totrevprm!O898="","",[1]totrevprm!O898)</f>
        <v/>
      </c>
    </row>
    <row r="899" spans="1:13">
      <c r="A899" s="49" t="s">
        <v>50</v>
      </c>
      <c r="B899" s="46" t="s">
        <v>780</v>
      </c>
      <c r="C899" s="50"/>
      <c r="D899" s="51">
        <v>2006</v>
      </c>
      <c r="E899" s="56">
        <v>2014372636</v>
      </c>
      <c r="F899" s="56">
        <v>1937282341</v>
      </c>
      <c r="G899" s="56">
        <v>3772395104</v>
      </c>
      <c r="H899" s="56">
        <v>682474923</v>
      </c>
      <c r="I899" s="54">
        <f t="shared" ref="I899:I963" si="16">SUM(E899:H899)</f>
        <v>8406525004</v>
      </c>
      <c r="J899" s="52">
        <v>0</v>
      </c>
      <c r="K899" s="61"/>
      <c r="M899" s="38" t="str">
        <f>IF([1]totrevprm!O899="","",[1]totrevprm!O899)</f>
        <v/>
      </c>
    </row>
    <row r="900" spans="1:13">
      <c r="A900" s="49" t="s">
        <v>50</v>
      </c>
      <c r="B900" s="46" t="s">
        <v>780</v>
      </c>
      <c r="C900" s="50"/>
      <c r="D900" s="51">
        <v>2007</v>
      </c>
      <c r="E900" s="56">
        <v>2342853339</v>
      </c>
      <c r="F900" s="56">
        <v>2183826216</v>
      </c>
      <c r="G900" s="56">
        <v>5381282507</v>
      </c>
      <c r="H900" s="56">
        <v>516033798</v>
      </c>
      <c r="I900" s="54">
        <f t="shared" si="16"/>
        <v>10423995860</v>
      </c>
      <c r="J900" s="52">
        <v>0</v>
      </c>
      <c r="K900" s="61"/>
      <c r="M900" s="38" t="str">
        <f>IF([1]totrevprm!O900="","",[1]totrevprm!O900)</f>
        <v/>
      </c>
    </row>
    <row r="901" spans="1:13">
      <c r="A901" s="49" t="s">
        <v>50</v>
      </c>
      <c r="B901" s="46" t="s">
        <v>780</v>
      </c>
      <c r="C901" s="50"/>
      <c r="D901" s="51">
        <v>2008</v>
      </c>
      <c r="E901" s="56">
        <v>2535397174</v>
      </c>
      <c r="F901" s="56">
        <v>2931594740</v>
      </c>
      <c r="G901" s="56">
        <v>5813000116</v>
      </c>
      <c r="H901" s="56">
        <v>642987124</v>
      </c>
      <c r="I901" s="54">
        <f t="shared" si="16"/>
        <v>11922979154</v>
      </c>
      <c r="J901" s="52">
        <v>0</v>
      </c>
      <c r="K901" s="61"/>
      <c r="M901" s="38" t="str">
        <f>IF([1]totrevprm!O901="","",[1]totrevprm!O901)</f>
        <v/>
      </c>
    </row>
    <row r="902" spans="1:13">
      <c r="A902" s="49" t="s">
        <v>50</v>
      </c>
      <c r="B902" s="46" t="s">
        <v>780</v>
      </c>
      <c r="C902" s="50"/>
      <c r="D902" s="51">
        <v>2009</v>
      </c>
      <c r="E902" s="56">
        <v>2709225893</v>
      </c>
      <c r="F902" s="56">
        <v>2776868677</v>
      </c>
      <c r="G902" s="56">
        <v>5931961888</v>
      </c>
      <c r="H902" s="56">
        <v>414008153</v>
      </c>
      <c r="I902" s="54">
        <f t="shared" si="16"/>
        <v>11832064611</v>
      </c>
      <c r="J902" s="52">
        <v>0</v>
      </c>
      <c r="K902" s="61"/>
      <c r="M902" s="38" t="str">
        <f>IF([1]totrevprm!O902="","",[1]totrevprm!O902)</f>
        <v/>
      </c>
    </row>
    <row r="903" spans="1:13">
      <c r="A903" s="49" t="s">
        <v>50</v>
      </c>
      <c r="B903" s="46" t="s">
        <v>780</v>
      </c>
      <c r="C903" s="50"/>
      <c r="D903" s="51">
        <v>2010</v>
      </c>
      <c r="E903" s="56">
        <v>2754984565</v>
      </c>
      <c r="F903" s="56">
        <v>2402283581</v>
      </c>
      <c r="G903" s="56">
        <v>6058044159</v>
      </c>
      <c r="H903" s="56">
        <v>527791143</v>
      </c>
      <c r="I903" s="54">
        <f t="shared" si="16"/>
        <v>11743103448</v>
      </c>
      <c r="J903" s="52">
        <v>0</v>
      </c>
      <c r="K903" s="61"/>
      <c r="M903" s="38" t="str">
        <f>IF([1]totrevprm!O903="","",[1]totrevprm!O903)</f>
        <v/>
      </c>
    </row>
    <row r="904" spans="1:13">
      <c r="A904" s="49" t="s">
        <v>50</v>
      </c>
      <c r="B904" s="46" t="s">
        <v>780</v>
      </c>
      <c r="C904" s="50"/>
      <c r="D904" s="51">
        <v>2011</v>
      </c>
      <c r="E904" s="56">
        <v>2873422036</v>
      </c>
      <c r="F904" s="56">
        <v>2300498589</v>
      </c>
      <c r="G904" s="56">
        <v>6506864484.5100002</v>
      </c>
      <c r="H904" s="56">
        <v>520992918</v>
      </c>
      <c r="I904" s="54">
        <f t="shared" si="16"/>
        <v>12201778027.51</v>
      </c>
      <c r="J904" s="52">
        <v>0</v>
      </c>
      <c r="K904" s="61"/>
      <c r="M904" s="38" t="str">
        <f>IF([1]totrevprm!O904="","",[1]totrevprm!O904)</f>
        <v/>
      </c>
    </row>
    <row r="905" spans="1:13">
      <c r="A905" s="49" t="s">
        <v>50</v>
      </c>
      <c r="B905" s="46" t="s">
        <v>780</v>
      </c>
      <c r="C905" s="50"/>
      <c r="D905" s="51">
        <v>2012</v>
      </c>
      <c r="E905" s="56">
        <v>3558872999</v>
      </c>
      <c r="F905" s="56">
        <v>2600062114</v>
      </c>
      <c r="G905" s="56">
        <v>6428098461</v>
      </c>
      <c r="H905" s="56">
        <v>397346397</v>
      </c>
      <c r="I905" s="54">
        <f t="shared" si="16"/>
        <v>12984379971</v>
      </c>
      <c r="J905" s="52">
        <v>0</v>
      </c>
      <c r="K905" s="61"/>
      <c r="M905" s="38" t="str">
        <f>IF([1]totrevprm!O905="","",[1]totrevprm!O905)</f>
        <v/>
      </c>
    </row>
    <row r="906" spans="1:13">
      <c r="A906" s="49" t="s">
        <v>50</v>
      </c>
      <c r="B906" s="46" t="s">
        <v>780</v>
      </c>
      <c r="C906" s="50"/>
      <c r="D906" s="51">
        <v>2013</v>
      </c>
      <c r="E906" s="56">
        <v>3711468826</v>
      </c>
      <c r="F906" s="56">
        <v>2820828786</v>
      </c>
      <c r="G906" s="56">
        <v>5666908680</v>
      </c>
      <c r="H906" s="56">
        <v>290966434</v>
      </c>
      <c r="I906" s="54">
        <f t="shared" si="16"/>
        <v>12490172726</v>
      </c>
      <c r="J906" s="52">
        <v>0</v>
      </c>
      <c r="K906" s="61"/>
      <c r="M906" s="38" t="str">
        <f>IF([1]totrevprm!O906="","",[1]totrevprm!O906)</f>
        <v/>
      </c>
    </row>
    <row r="907" spans="1:13">
      <c r="A907" s="49" t="s">
        <v>50</v>
      </c>
      <c r="B907" s="46" t="s">
        <v>780</v>
      </c>
      <c r="C907" s="50"/>
      <c r="D907" s="51">
        <v>2014</v>
      </c>
      <c r="E907" s="56">
        <v>3797848198</v>
      </c>
      <c r="F907" s="56">
        <v>2841210929</v>
      </c>
      <c r="G907" s="56">
        <v>5912388458.6499996</v>
      </c>
      <c r="H907" s="56">
        <v>223305268</v>
      </c>
      <c r="I907" s="54">
        <f t="shared" si="16"/>
        <v>12774752853.65</v>
      </c>
      <c r="J907" s="52">
        <v>0</v>
      </c>
      <c r="K907" s="61"/>
      <c r="M907" s="38" t="str">
        <f>IF([1]totrevprm!O907="","",[1]totrevprm!O907)</f>
        <v/>
      </c>
    </row>
    <row r="908" spans="1:13">
      <c r="A908" s="49" t="s">
        <v>50</v>
      </c>
      <c r="B908" s="46" t="s">
        <v>780</v>
      </c>
      <c r="C908" s="50"/>
      <c r="D908" s="51">
        <v>2015</v>
      </c>
      <c r="E908" s="56">
        <v>3995755823</v>
      </c>
      <c r="F908" s="56">
        <v>3145534769</v>
      </c>
      <c r="G908" s="56">
        <v>6176865567</v>
      </c>
      <c r="H908" s="56">
        <v>251398291</v>
      </c>
      <c r="I908" s="54">
        <f t="shared" si="16"/>
        <v>13569554450</v>
      </c>
      <c r="J908" s="52">
        <v>0</v>
      </c>
      <c r="K908" s="61"/>
      <c r="M908" s="38" t="str">
        <f>IF([1]totrevprm!O908="","",[1]totrevprm!O908)</f>
        <v/>
      </c>
    </row>
    <row r="909" spans="1:13">
      <c r="A909" s="49" t="s">
        <v>50</v>
      </c>
      <c r="B909" s="46" t="s">
        <v>780</v>
      </c>
      <c r="C909" s="50"/>
      <c r="D909" s="51">
        <v>2016</v>
      </c>
      <c r="E909" s="56">
        <v>4381411573</v>
      </c>
      <c r="F909" s="56">
        <v>3788658325</v>
      </c>
      <c r="G909" s="56">
        <v>6290892708</v>
      </c>
      <c r="H909" s="56">
        <v>278250584</v>
      </c>
      <c r="I909" s="54">
        <f t="shared" si="16"/>
        <v>14739213190</v>
      </c>
      <c r="J909" s="52">
        <v>0</v>
      </c>
      <c r="K909" s="61"/>
      <c r="M909" s="38" t="str">
        <f>IF([1]totrevprm!O909="","",[1]totrevprm!O909)</f>
        <v/>
      </c>
    </row>
    <row r="910" spans="1:13">
      <c r="A910" s="49" t="s">
        <v>50</v>
      </c>
      <c r="B910" s="46" t="s">
        <v>780</v>
      </c>
      <c r="C910" s="50"/>
      <c r="D910" s="51">
        <v>2017</v>
      </c>
      <c r="E910" s="56">
        <v>4495024401</v>
      </c>
      <c r="F910" s="56">
        <v>3588322662</v>
      </c>
      <c r="G910" s="56">
        <v>5873299874.8099995</v>
      </c>
      <c r="H910" s="56">
        <v>346438453</v>
      </c>
      <c r="I910" s="54">
        <f t="shared" si="16"/>
        <v>14303085390.809999</v>
      </c>
      <c r="J910" s="52">
        <v>0</v>
      </c>
      <c r="K910" s="61"/>
      <c r="M910" s="38" t="str">
        <f>IF([1]totrevprm!O910="","",[1]totrevprm!O910)</f>
        <v/>
      </c>
    </row>
    <row r="911" spans="1:13">
      <c r="A911" s="49" t="s">
        <v>50</v>
      </c>
      <c r="B911" s="46" t="s">
        <v>780</v>
      </c>
      <c r="C911" s="50"/>
      <c r="D911" s="51">
        <v>2018</v>
      </c>
      <c r="E911" s="56">
        <v>4546520313</v>
      </c>
      <c r="F911" s="56">
        <v>4298044147</v>
      </c>
      <c r="G911" s="56">
        <v>6246186136.6900005</v>
      </c>
      <c r="H911" s="56">
        <v>452859183</v>
      </c>
      <c r="I911" s="54">
        <f t="shared" si="16"/>
        <v>15543609779.690001</v>
      </c>
      <c r="J911" s="56">
        <v>0</v>
      </c>
      <c r="K911" s="61"/>
      <c r="M911" s="38" t="str">
        <f>IF([1]totrevprm!O911="","",[1]totrevprm!O911)</f>
        <v/>
      </c>
    </row>
    <row r="912" spans="1:13">
      <c r="A912" s="49" t="s">
        <v>50</v>
      </c>
      <c r="B912" s="46" t="s">
        <v>780</v>
      </c>
      <c r="C912" s="50"/>
      <c r="D912" s="51">
        <v>2019</v>
      </c>
      <c r="E912" s="56">
        <v>4660655395</v>
      </c>
      <c r="F912" s="56">
        <v>4339648390</v>
      </c>
      <c r="G912" s="56">
        <v>6414016915.2448006</v>
      </c>
      <c r="H912" s="56">
        <v>807277258</v>
      </c>
      <c r="I912" s="54">
        <f t="shared" si="16"/>
        <v>16221597958.244801</v>
      </c>
      <c r="J912" s="56">
        <v>0</v>
      </c>
      <c r="K912" s="61"/>
      <c r="M912" s="38" t="str">
        <f>IF([1]totrevprm!O912="","",[1]totrevprm!O912)</f>
        <v/>
      </c>
    </row>
    <row r="913" spans="1:13">
      <c r="A913" s="49" t="s">
        <v>50</v>
      </c>
      <c r="B913" s="46" t="s">
        <v>780</v>
      </c>
      <c r="C913" s="50"/>
      <c r="D913" s="51">
        <v>2020</v>
      </c>
      <c r="E913" s="56">
        <v>4723069163</v>
      </c>
      <c r="F913" s="56">
        <v>4167676045</v>
      </c>
      <c r="G913" s="56">
        <v>7722049186</v>
      </c>
      <c r="H913" s="56">
        <v>814216654</v>
      </c>
      <c r="I913" s="54">
        <f t="shared" si="16"/>
        <v>17427011048</v>
      </c>
      <c r="J913" s="56">
        <v>0</v>
      </c>
      <c r="K913" s="61" t="s">
        <v>763</v>
      </c>
      <c r="L913" t="s">
        <v>720</v>
      </c>
      <c r="M913" s="38" t="str">
        <f>IF([1]totrevprm!O913="","",[1]totrevprm!O913)</f>
        <v>Yes</v>
      </c>
    </row>
    <row r="914" spans="1:13">
      <c r="A914" s="49" t="s">
        <v>50</v>
      </c>
      <c r="B914" s="46" t="s">
        <v>780</v>
      </c>
      <c r="C914" s="50"/>
      <c r="D914" s="51">
        <v>2021</v>
      </c>
      <c r="E914" s="56">
        <v>4886855701</v>
      </c>
      <c r="F914" s="56">
        <v>4937502047</v>
      </c>
      <c r="G914" s="56">
        <v>7696854177.0200005</v>
      </c>
      <c r="H914" s="56">
        <v>732957054</v>
      </c>
      <c r="I914" s="54">
        <f t="shared" si="16"/>
        <v>18254168979.02</v>
      </c>
      <c r="J914" s="56">
        <v>0</v>
      </c>
      <c r="K914" s="61" t="s">
        <v>739</v>
      </c>
      <c r="L914" t="s">
        <v>720</v>
      </c>
      <c r="M914" s="38"/>
    </row>
    <row r="915" spans="1:13">
      <c r="A915" s="49" t="s">
        <v>50</v>
      </c>
      <c r="B915" s="46" t="s">
        <v>780</v>
      </c>
      <c r="C915" s="50"/>
      <c r="D915" s="51">
        <v>2022</v>
      </c>
      <c r="E915" s="56">
        <v>5249587328</v>
      </c>
      <c r="F915" s="56">
        <v>5846353778</v>
      </c>
      <c r="G915" s="56">
        <v>7950316105</v>
      </c>
      <c r="H915" s="56">
        <v>776232808</v>
      </c>
      <c r="I915" s="54">
        <f t="shared" si="16"/>
        <v>19822490019</v>
      </c>
      <c r="J915" s="56">
        <v>0</v>
      </c>
      <c r="K915" s="61" t="s">
        <v>739</v>
      </c>
      <c r="M915" s="38" t="str">
        <f>IF([1]totrevprm!O918="","",[1]totrevprm!O918)</f>
        <v/>
      </c>
    </row>
    <row r="916" spans="1:13">
      <c r="A916" s="49" t="s">
        <v>50</v>
      </c>
      <c r="B916" s="46" t="s">
        <v>780</v>
      </c>
      <c r="C916" s="50"/>
      <c r="D916" s="51">
        <v>2023</v>
      </c>
      <c r="E916" s="56">
        <v>4817867932</v>
      </c>
      <c r="F916" s="56">
        <v>7050322692.6174002</v>
      </c>
      <c r="G916" s="56">
        <v>8416312275.9499998</v>
      </c>
      <c r="H916" s="56">
        <v>674208631</v>
      </c>
      <c r="I916" s="54">
        <f t="shared" si="16"/>
        <v>20958711531.567402</v>
      </c>
      <c r="J916" s="52">
        <v>0</v>
      </c>
      <c r="K916" s="61" t="s">
        <v>739</v>
      </c>
      <c r="M916" s="38"/>
    </row>
    <row r="917" spans="1:13">
      <c r="A917" s="49" t="s">
        <v>50</v>
      </c>
      <c r="B917" s="46" t="s">
        <v>780</v>
      </c>
      <c r="C917" s="50"/>
      <c r="D917" s="57">
        <v>2024</v>
      </c>
      <c r="E917" s="52">
        <v>4629177531.0699997</v>
      </c>
      <c r="F917" s="52">
        <v>9505252536.0100002</v>
      </c>
      <c r="G917" s="52">
        <v>8827740451.2999992</v>
      </c>
      <c r="H917" s="52">
        <v>360363579.43000001</v>
      </c>
      <c r="I917" s="54">
        <f t="shared" si="16"/>
        <v>23322534097.809998</v>
      </c>
      <c r="J917" s="56">
        <v>0</v>
      </c>
      <c r="K917" s="61" t="s">
        <v>739</v>
      </c>
      <c r="M917" s="38"/>
    </row>
    <row r="918" spans="1:13">
      <c r="A918" s="49"/>
      <c r="B918" s="50"/>
      <c r="C918" s="50"/>
      <c r="E918" s="53"/>
      <c r="F918" s="53"/>
      <c r="G918" s="53"/>
      <c r="H918" s="53"/>
      <c r="I918" s="54"/>
      <c r="J918" s="52"/>
      <c r="K918" s="61"/>
      <c r="M918" s="38"/>
    </row>
    <row r="919" spans="1:13">
      <c r="A919" s="45" t="s">
        <v>51</v>
      </c>
      <c r="B919" s="46" t="s">
        <v>287</v>
      </c>
      <c r="C919" s="50" t="s">
        <v>751</v>
      </c>
      <c r="D919" s="51">
        <v>1988</v>
      </c>
      <c r="E919" s="53">
        <v>494160311</v>
      </c>
      <c r="F919" s="53">
        <v>139246409</v>
      </c>
      <c r="G919" s="53">
        <v>537561838</v>
      </c>
      <c r="H919" s="53">
        <v>59908525</v>
      </c>
      <c r="I919" s="54">
        <f t="shared" si="16"/>
        <v>1230877083</v>
      </c>
      <c r="J919" s="52">
        <v>0</v>
      </c>
      <c r="K919" s="61"/>
      <c r="M919" s="38" t="str">
        <f>IF([1]totrevprm!O919="","",[1]totrevprm!O919)</f>
        <v/>
      </c>
    </row>
    <row r="920" spans="1:13">
      <c r="A920" s="45" t="s">
        <v>51</v>
      </c>
      <c r="B920" s="46" t="s">
        <v>287</v>
      </c>
      <c r="C920" s="50" t="s">
        <v>732</v>
      </c>
      <c r="D920" s="51">
        <v>1989</v>
      </c>
      <c r="E920" s="53">
        <v>507841813</v>
      </c>
      <c r="F920" s="53">
        <v>169895828</v>
      </c>
      <c r="G920" s="53">
        <v>576016570</v>
      </c>
      <c r="H920" s="53">
        <v>78357618</v>
      </c>
      <c r="I920" s="54">
        <f t="shared" si="16"/>
        <v>1332111829</v>
      </c>
      <c r="J920" s="52">
        <v>0</v>
      </c>
      <c r="K920" s="61"/>
      <c r="M920" s="38" t="str">
        <f>IF([1]totrevprm!O920="","",[1]totrevprm!O920)</f>
        <v/>
      </c>
    </row>
    <row r="921" spans="1:13">
      <c r="A921" s="45" t="s">
        <v>51</v>
      </c>
      <c r="B921" s="46" t="s">
        <v>287</v>
      </c>
      <c r="C921" s="50" t="s">
        <v>732</v>
      </c>
      <c r="D921" s="51">
        <v>1990</v>
      </c>
      <c r="E921" s="53">
        <v>540232035</v>
      </c>
      <c r="F921" s="53">
        <v>210283690.24000001</v>
      </c>
      <c r="G921" s="53">
        <v>603593291</v>
      </c>
      <c r="H921" s="53">
        <v>84560616</v>
      </c>
      <c r="I921" s="54">
        <f t="shared" si="16"/>
        <v>1438669632.24</v>
      </c>
      <c r="J921" s="52">
        <v>0</v>
      </c>
      <c r="K921" s="61"/>
      <c r="M921" s="38" t="str">
        <f>IF([1]totrevprm!O921="","",[1]totrevprm!O921)</f>
        <v/>
      </c>
    </row>
    <row r="922" spans="1:13">
      <c r="A922" s="45" t="s">
        <v>51</v>
      </c>
      <c r="B922" s="46" t="s">
        <v>287</v>
      </c>
      <c r="C922" s="50" t="s">
        <v>732</v>
      </c>
      <c r="D922" s="51">
        <v>1991</v>
      </c>
      <c r="E922" s="53">
        <v>553617397</v>
      </c>
      <c r="F922" s="53">
        <v>194700963</v>
      </c>
      <c r="G922" s="53">
        <v>617080734</v>
      </c>
      <c r="H922" s="53">
        <v>72413418</v>
      </c>
      <c r="I922" s="54">
        <f t="shared" si="16"/>
        <v>1437812512</v>
      </c>
      <c r="J922" s="52">
        <v>0</v>
      </c>
      <c r="K922" s="61"/>
      <c r="M922" s="38" t="str">
        <f>IF([1]totrevprm!O922="","",[1]totrevprm!O922)</f>
        <v/>
      </c>
    </row>
    <row r="923" spans="1:13">
      <c r="A923" s="45" t="s">
        <v>51</v>
      </c>
      <c r="B923" s="46" t="s">
        <v>287</v>
      </c>
      <c r="C923" s="50" t="s">
        <v>732</v>
      </c>
      <c r="D923" s="51">
        <v>1992</v>
      </c>
      <c r="E923" s="53">
        <v>590668261</v>
      </c>
      <c r="F923" s="53">
        <v>228391753.16</v>
      </c>
      <c r="G923" s="53">
        <v>658147869</v>
      </c>
      <c r="H923" s="53">
        <v>57756871</v>
      </c>
      <c r="I923" s="54">
        <f t="shared" si="16"/>
        <v>1534964754.1599998</v>
      </c>
      <c r="J923" s="52">
        <v>0</v>
      </c>
      <c r="K923" s="61"/>
      <c r="M923" s="38" t="str">
        <f>IF([1]totrevprm!O923="","",[1]totrevprm!O923)</f>
        <v/>
      </c>
    </row>
    <row r="924" spans="1:13">
      <c r="A924" s="45" t="s">
        <v>51</v>
      </c>
      <c r="B924" s="46" t="s">
        <v>287</v>
      </c>
      <c r="C924" s="50" t="s">
        <v>732</v>
      </c>
      <c r="D924" s="51">
        <v>1993</v>
      </c>
      <c r="E924" s="53">
        <v>624675929</v>
      </c>
      <c r="F924" s="53">
        <v>201796629</v>
      </c>
      <c r="G924" s="53">
        <v>720034011</v>
      </c>
      <c r="H924" s="53">
        <v>82419318</v>
      </c>
      <c r="I924" s="54">
        <f t="shared" si="16"/>
        <v>1628925887</v>
      </c>
      <c r="J924" s="52">
        <v>0</v>
      </c>
      <c r="K924" s="61"/>
      <c r="M924" s="38" t="str">
        <f>IF([1]totrevprm!O924="","",[1]totrevprm!O924)</f>
        <v/>
      </c>
    </row>
    <row r="925" spans="1:13">
      <c r="A925" s="45" t="s">
        <v>51</v>
      </c>
      <c r="B925" s="46" t="s">
        <v>287</v>
      </c>
      <c r="C925" s="50" t="s">
        <v>732</v>
      </c>
      <c r="D925" s="51">
        <v>1994</v>
      </c>
      <c r="E925" s="53">
        <v>684193956</v>
      </c>
      <c r="F925" s="53">
        <v>259009264</v>
      </c>
      <c r="G925" s="53">
        <v>691777042</v>
      </c>
      <c r="H925" s="53">
        <v>72732935</v>
      </c>
      <c r="I925" s="54">
        <f t="shared" si="16"/>
        <v>1707713197</v>
      </c>
      <c r="J925" s="52">
        <v>0</v>
      </c>
      <c r="K925" s="61"/>
      <c r="M925" s="38" t="str">
        <f>IF([1]totrevprm!O925="","",[1]totrevprm!O925)</f>
        <v/>
      </c>
    </row>
    <row r="926" spans="1:13">
      <c r="A926" s="45" t="s">
        <v>51</v>
      </c>
      <c r="B926" s="46" t="s">
        <v>287</v>
      </c>
      <c r="C926" s="50" t="s">
        <v>732</v>
      </c>
      <c r="D926" s="51">
        <v>1995</v>
      </c>
      <c r="E926" s="53">
        <v>709493426</v>
      </c>
      <c r="F926" s="53">
        <v>243301024</v>
      </c>
      <c r="G926" s="53">
        <v>704786886</v>
      </c>
      <c r="H926" s="53">
        <v>75550966</v>
      </c>
      <c r="I926" s="54">
        <f t="shared" si="16"/>
        <v>1733132302</v>
      </c>
      <c r="J926" s="52">
        <v>0</v>
      </c>
      <c r="K926" s="61"/>
      <c r="M926" s="38" t="str">
        <f>IF([1]totrevprm!O926="","",[1]totrevprm!O926)</f>
        <v/>
      </c>
    </row>
    <row r="927" spans="1:13">
      <c r="A927" s="45" t="s">
        <v>51</v>
      </c>
      <c r="B927" s="46" t="s">
        <v>287</v>
      </c>
      <c r="C927" s="50" t="s">
        <v>732</v>
      </c>
      <c r="D927" s="51">
        <v>1996</v>
      </c>
      <c r="E927" s="53">
        <v>679253235</v>
      </c>
      <c r="F927" s="53">
        <v>238600553</v>
      </c>
      <c r="G927" s="53">
        <v>1146866345</v>
      </c>
      <c r="H927" s="53">
        <v>70332244</v>
      </c>
      <c r="I927" s="54">
        <f t="shared" si="16"/>
        <v>2135052377</v>
      </c>
      <c r="J927" s="52">
        <v>0</v>
      </c>
      <c r="K927" s="61"/>
      <c r="M927" s="38" t="str">
        <f>IF([1]totrevprm!O927="","",[1]totrevprm!O927)</f>
        <v/>
      </c>
    </row>
    <row r="928" spans="1:13">
      <c r="A928" s="45" t="s">
        <v>51</v>
      </c>
      <c r="B928" s="46" t="s">
        <v>287</v>
      </c>
      <c r="C928" s="50" t="s">
        <v>732</v>
      </c>
      <c r="D928" s="51">
        <v>1997</v>
      </c>
      <c r="E928" s="53">
        <v>685764267</v>
      </c>
      <c r="F928" s="53">
        <v>227148652</v>
      </c>
      <c r="G928" s="53">
        <v>1197733300</v>
      </c>
      <c r="H928" s="53">
        <v>80780006</v>
      </c>
      <c r="I928" s="54">
        <f t="shared" si="16"/>
        <v>2191426225</v>
      </c>
      <c r="J928" s="52">
        <v>0</v>
      </c>
      <c r="K928" s="61"/>
      <c r="M928" s="38" t="str">
        <f>IF([1]totrevprm!O928="","",[1]totrevprm!O928)</f>
        <v/>
      </c>
    </row>
    <row r="929" spans="1:13">
      <c r="A929" s="45" t="s">
        <v>51</v>
      </c>
      <c r="B929" s="46" t="s">
        <v>287</v>
      </c>
      <c r="C929" s="50" t="s">
        <v>732</v>
      </c>
      <c r="D929" s="51">
        <v>1998</v>
      </c>
      <c r="E929" s="53">
        <v>717084967</v>
      </c>
      <c r="F929" s="53">
        <v>276999929</v>
      </c>
      <c r="G929" s="53">
        <v>1308400017</v>
      </c>
      <c r="H929" s="53">
        <v>75177676</v>
      </c>
      <c r="I929" s="54">
        <f t="shared" si="16"/>
        <v>2377662589</v>
      </c>
      <c r="J929" s="52">
        <v>0</v>
      </c>
      <c r="K929" s="61"/>
      <c r="M929" s="38" t="str">
        <f>IF([1]totrevprm!O929="","",[1]totrevprm!O929)</f>
        <v/>
      </c>
    </row>
    <row r="930" spans="1:13">
      <c r="A930" s="45" t="s">
        <v>51</v>
      </c>
      <c r="B930" s="46" t="s">
        <v>287</v>
      </c>
      <c r="C930" s="50" t="s">
        <v>786</v>
      </c>
      <c r="D930" s="51">
        <v>1999</v>
      </c>
      <c r="E930" s="53">
        <v>700222456</v>
      </c>
      <c r="F930" s="53">
        <v>467201248</v>
      </c>
      <c r="G930" s="53">
        <v>1491243860</v>
      </c>
      <c r="H930" s="53">
        <v>22795978</v>
      </c>
      <c r="I930" s="54">
        <f t="shared" si="16"/>
        <v>2681463542</v>
      </c>
      <c r="J930" s="52">
        <v>9174563</v>
      </c>
      <c r="K930" s="61" t="s">
        <v>736</v>
      </c>
      <c r="L930" t="s">
        <v>720</v>
      </c>
      <c r="M930" s="38" t="str">
        <f>IF([1]totrevprm!O930="","",[1]totrevprm!O930)</f>
        <v/>
      </c>
    </row>
    <row r="931" spans="1:13">
      <c r="A931" s="45" t="s">
        <v>51</v>
      </c>
      <c r="B931" s="46" t="s">
        <v>287</v>
      </c>
      <c r="C931" s="50" t="s">
        <v>732</v>
      </c>
      <c r="D931" s="51">
        <v>2000</v>
      </c>
      <c r="E931" s="53">
        <v>728558722</v>
      </c>
      <c r="F931" s="53">
        <v>551858802</v>
      </c>
      <c r="G931" s="53">
        <v>1689058813</v>
      </c>
      <c r="H931" s="53">
        <v>32855534</v>
      </c>
      <c r="I931" s="54">
        <f t="shared" si="16"/>
        <v>3002331871</v>
      </c>
      <c r="J931" s="52">
        <v>14578021</v>
      </c>
      <c r="K931" s="61" t="s">
        <v>736</v>
      </c>
      <c r="L931" t="s">
        <v>720</v>
      </c>
      <c r="M931" s="38" t="str">
        <f>IF([1]totrevprm!O931="","",[1]totrevprm!O931)</f>
        <v/>
      </c>
    </row>
    <row r="932" spans="1:13">
      <c r="A932" s="45" t="s">
        <v>51</v>
      </c>
      <c r="B932" s="46" t="s">
        <v>287</v>
      </c>
      <c r="C932" s="50" t="s">
        <v>732</v>
      </c>
      <c r="D932" s="51">
        <v>2001</v>
      </c>
      <c r="E932" s="53">
        <v>766056989</v>
      </c>
      <c r="F932" s="53">
        <v>711026830</v>
      </c>
      <c r="G932" s="53">
        <v>1551481021</v>
      </c>
      <c r="H932" s="53">
        <v>19580221</v>
      </c>
      <c r="I932" s="54">
        <f t="shared" si="16"/>
        <v>3048145061</v>
      </c>
      <c r="J932" s="37">
        <v>9883950</v>
      </c>
      <c r="K932" s="61" t="s">
        <v>736</v>
      </c>
      <c r="L932" t="s">
        <v>720</v>
      </c>
      <c r="M932" s="38" t="str">
        <f>IF([1]totrevprm!O932="","",[1]totrevprm!O932)</f>
        <v/>
      </c>
    </row>
    <row r="933" spans="1:13">
      <c r="A933" s="45" t="s">
        <v>51</v>
      </c>
      <c r="B933" s="46" t="s">
        <v>287</v>
      </c>
      <c r="C933" s="50" t="s">
        <v>732</v>
      </c>
      <c r="D933" s="51">
        <v>2002</v>
      </c>
      <c r="E933" s="53">
        <v>821627437</v>
      </c>
      <c r="F933" s="53">
        <v>935221183</v>
      </c>
      <c r="G933" s="53">
        <v>1642284308</v>
      </c>
      <c r="H933" s="53">
        <v>12123739</v>
      </c>
      <c r="I933" s="54">
        <f t="shared" si="16"/>
        <v>3411256667</v>
      </c>
      <c r="J933" s="37">
        <v>10346312</v>
      </c>
      <c r="K933" s="61" t="s">
        <v>736</v>
      </c>
      <c r="L933" t="s">
        <v>720</v>
      </c>
      <c r="M933" s="38" t="str">
        <f>IF([1]totrevprm!O933="","",[1]totrevprm!O933)</f>
        <v/>
      </c>
    </row>
    <row r="934" spans="1:13">
      <c r="A934" s="45" t="s">
        <v>51</v>
      </c>
      <c r="B934" s="46" t="s">
        <v>287</v>
      </c>
      <c r="C934" s="50" t="s">
        <v>732</v>
      </c>
      <c r="D934" s="51">
        <v>2003</v>
      </c>
      <c r="E934" s="55">
        <v>832258477</v>
      </c>
      <c r="F934" s="55">
        <v>848668057</v>
      </c>
      <c r="G934" s="55">
        <v>1798892605</v>
      </c>
      <c r="H934" s="55">
        <v>30461039</v>
      </c>
      <c r="I934" s="54">
        <f t="shared" si="16"/>
        <v>3510280178</v>
      </c>
      <c r="J934" s="37">
        <v>17292726</v>
      </c>
      <c r="K934" s="61" t="s">
        <v>736</v>
      </c>
      <c r="L934" t="s">
        <v>720</v>
      </c>
      <c r="M934" s="38" t="str">
        <f>IF([1]totrevprm!O934="","",[1]totrevprm!O934)</f>
        <v/>
      </c>
    </row>
    <row r="935" spans="1:13">
      <c r="A935" s="45" t="s">
        <v>51</v>
      </c>
      <c r="B935" s="46" t="s">
        <v>287</v>
      </c>
      <c r="C935" s="50" t="s">
        <v>732</v>
      </c>
      <c r="D935" s="51">
        <v>2004</v>
      </c>
      <c r="E935" s="55">
        <v>878895716</v>
      </c>
      <c r="F935" s="55">
        <v>783998043</v>
      </c>
      <c r="G935" s="55">
        <v>1954734991</v>
      </c>
      <c r="H935" s="55">
        <v>29695704</v>
      </c>
      <c r="I935" s="54">
        <f t="shared" si="16"/>
        <v>3647324454</v>
      </c>
      <c r="J935" s="37">
        <v>27409883</v>
      </c>
      <c r="K935" s="61" t="s">
        <v>736</v>
      </c>
      <c r="L935" t="s">
        <v>720</v>
      </c>
      <c r="M935" s="38" t="str">
        <f>IF([1]totrevprm!O935="","",[1]totrevprm!O935)</f>
        <v/>
      </c>
    </row>
    <row r="936" spans="1:13">
      <c r="A936" s="45" t="s">
        <v>51</v>
      </c>
      <c r="B936" s="46" t="s">
        <v>287</v>
      </c>
      <c r="C936" s="50"/>
      <c r="D936" s="51">
        <v>2005</v>
      </c>
      <c r="E936" s="55">
        <v>843105341</v>
      </c>
      <c r="F936" s="55">
        <v>720107437</v>
      </c>
      <c r="G936" s="55">
        <v>2055542218</v>
      </c>
      <c r="H936" s="55">
        <v>29358605</v>
      </c>
      <c r="I936" s="54">
        <f t="shared" si="16"/>
        <v>3648113601</v>
      </c>
      <c r="J936" s="37">
        <v>18809558</v>
      </c>
      <c r="K936" s="61" t="s">
        <v>736</v>
      </c>
      <c r="L936" t="s">
        <v>720</v>
      </c>
      <c r="M936" s="38" t="str">
        <f>IF([1]totrevprm!O936="","",[1]totrevprm!O936)</f>
        <v/>
      </c>
    </row>
    <row r="937" spans="1:13">
      <c r="A937" s="45" t="s">
        <v>51</v>
      </c>
      <c r="B937" s="46" t="s">
        <v>287</v>
      </c>
      <c r="C937" s="50"/>
      <c r="D937" s="51">
        <v>2006</v>
      </c>
      <c r="E937" s="56">
        <v>871708070</v>
      </c>
      <c r="F937" s="56">
        <v>816857580</v>
      </c>
      <c r="G937" s="56">
        <v>2266617493</v>
      </c>
      <c r="H937" s="56">
        <v>16758849</v>
      </c>
      <c r="I937" s="54">
        <f t="shared" si="16"/>
        <v>3971941992</v>
      </c>
      <c r="J937" s="37">
        <v>11129153</v>
      </c>
      <c r="K937" s="61" t="s">
        <v>736</v>
      </c>
      <c r="L937" t="s">
        <v>720</v>
      </c>
      <c r="M937" s="38" t="str">
        <f>IF([1]totrevprm!O937="","",[1]totrevprm!O937)</f>
        <v/>
      </c>
    </row>
    <row r="938" spans="1:13">
      <c r="A938" s="45" t="s">
        <v>51</v>
      </c>
      <c r="B938" s="46" t="s">
        <v>287</v>
      </c>
      <c r="C938" s="50"/>
      <c r="D938" s="51">
        <v>2007</v>
      </c>
      <c r="E938" s="56">
        <v>900744584</v>
      </c>
      <c r="F938" s="56">
        <v>768621684</v>
      </c>
      <c r="G938" s="56">
        <v>2608752757</v>
      </c>
      <c r="H938" s="56">
        <v>23359188</v>
      </c>
      <c r="I938" s="54">
        <f t="shared" si="16"/>
        <v>4301478213</v>
      </c>
      <c r="J938" s="37">
        <v>7616222</v>
      </c>
      <c r="K938" s="61" t="s">
        <v>736</v>
      </c>
      <c r="L938" t="s">
        <v>720</v>
      </c>
      <c r="M938" s="38" t="str">
        <f>IF([1]totrevprm!O938="","",[1]totrevprm!O938)</f>
        <v/>
      </c>
    </row>
    <row r="939" spans="1:13">
      <c r="A939" s="45" t="s">
        <v>51</v>
      </c>
      <c r="B939" s="46" t="s">
        <v>287</v>
      </c>
      <c r="C939" s="50"/>
      <c r="D939" s="51">
        <v>2008</v>
      </c>
      <c r="E939" s="56">
        <v>977126800</v>
      </c>
      <c r="F939" s="56">
        <v>1042067117</v>
      </c>
      <c r="G939" s="56">
        <v>2378353175</v>
      </c>
      <c r="H939" s="56">
        <v>16162811</v>
      </c>
      <c r="I939" s="54">
        <f t="shared" si="16"/>
        <v>4413709903</v>
      </c>
      <c r="J939" s="37">
        <v>15218500</v>
      </c>
      <c r="K939" s="61" t="s">
        <v>736</v>
      </c>
      <c r="L939" t="s">
        <v>720</v>
      </c>
      <c r="M939" s="38" t="str">
        <f>IF([1]totrevprm!O939="","",[1]totrevprm!O939)</f>
        <v/>
      </c>
    </row>
    <row r="940" spans="1:13">
      <c r="A940" s="45" t="s">
        <v>51</v>
      </c>
      <c r="B940" s="46" t="s">
        <v>287</v>
      </c>
      <c r="C940" s="50"/>
      <c r="D940" s="51">
        <v>2009</v>
      </c>
      <c r="E940" s="56">
        <v>1075876880</v>
      </c>
      <c r="F940" s="56">
        <v>970426265</v>
      </c>
      <c r="G940" s="56">
        <v>2725964489</v>
      </c>
      <c r="H940" s="56">
        <v>34124962</v>
      </c>
      <c r="I940" s="54">
        <f t="shared" si="16"/>
        <v>4806392596</v>
      </c>
      <c r="J940" s="37">
        <v>19947823</v>
      </c>
      <c r="K940" s="61" t="s">
        <v>736</v>
      </c>
      <c r="L940" t="s">
        <v>720</v>
      </c>
      <c r="M940" s="38" t="str">
        <f>IF([1]totrevprm!O940="","",[1]totrevprm!O940)</f>
        <v/>
      </c>
    </row>
    <row r="941" spans="1:13">
      <c r="A941" s="45" t="s">
        <v>51</v>
      </c>
      <c r="B941" s="46" t="s">
        <v>287</v>
      </c>
      <c r="C941" s="50"/>
      <c r="D941" s="51">
        <v>2010</v>
      </c>
      <c r="E941" s="56">
        <v>1046595624</v>
      </c>
      <c r="F941" s="52">
        <v>851655369</v>
      </c>
      <c r="G941" s="56">
        <v>2629420239</v>
      </c>
      <c r="H941" s="56">
        <v>25094358</v>
      </c>
      <c r="I941" s="54">
        <f t="shared" si="16"/>
        <v>4552765590</v>
      </c>
      <c r="J941" s="37">
        <v>2489207</v>
      </c>
      <c r="K941" s="61" t="s">
        <v>736</v>
      </c>
      <c r="L941" t="s">
        <v>720</v>
      </c>
      <c r="M941" s="38" t="str">
        <f>IF([1]totrevprm!O941="","",[1]totrevprm!O941)</f>
        <v/>
      </c>
    </row>
    <row r="942" spans="1:13">
      <c r="A942" s="45" t="s">
        <v>51</v>
      </c>
      <c r="B942" s="46" t="s">
        <v>287</v>
      </c>
      <c r="C942" s="50"/>
      <c r="D942" s="51">
        <v>2011</v>
      </c>
      <c r="E942" s="56">
        <v>1102883385</v>
      </c>
      <c r="F942" s="52">
        <v>949125514</v>
      </c>
      <c r="G942" s="56">
        <v>2506972914</v>
      </c>
      <c r="H942" s="56">
        <v>29818626</v>
      </c>
      <c r="I942" s="54">
        <f t="shared" si="16"/>
        <v>4588800439</v>
      </c>
      <c r="J942" s="37">
        <v>757029</v>
      </c>
      <c r="K942" s="61" t="s">
        <v>736</v>
      </c>
      <c r="L942" t="s">
        <v>720</v>
      </c>
      <c r="M942" s="38" t="str">
        <f>IF([1]totrevprm!O942="","",[1]totrevprm!O942)</f>
        <v/>
      </c>
    </row>
    <row r="943" spans="1:13">
      <c r="A943" s="45" t="s">
        <v>51</v>
      </c>
      <c r="B943" s="46" t="s">
        <v>287</v>
      </c>
      <c r="C943" s="50"/>
      <c r="D943" s="51">
        <v>2012</v>
      </c>
      <c r="E943" s="56">
        <v>1136196014</v>
      </c>
      <c r="F943" s="52">
        <v>955395782</v>
      </c>
      <c r="G943" s="56">
        <v>2555189534</v>
      </c>
      <c r="H943" s="56">
        <v>30682921</v>
      </c>
      <c r="I943" s="54">
        <f t="shared" si="16"/>
        <v>4677464251</v>
      </c>
      <c r="J943" s="37">
        <v>941400</v>
      </c>
      <c r="K943" s="61" t="s">
        <v>736</v>
      </c>
      <c r="L943" t="s">
        <v>720</v>
      </c>
      <c r="M943" s="38" t="str">
        <f>IF([1]totrevprm!O943="","",[1]totrevprm!O943)</f>
        <v/>
      </c>
    </row>
    <row r="944" spans="1:13">
      <c r="A944" s="45" t="s">
        <v>51</v>
      </c>
      <c r="B944" s="46" t="s">
        <v>287</v>
      </c>
      <c r="C944" s="50"/>
      <c r="D944" s="51">
        <v>2013</v>
      </c>
      <c r="E944" s="56">
        <v>1162331712</v>
      </c>
      <c r="F944" s="52">
        <v>1012429718</v>
      </c>
      <c r="G944" s="56">
        <v>2711111873</v>
      </c>
      <c r="H944" s="56">
        <v>63673594</v>
      </c>
      <c r="I944" s="54">
        <f t="shared" si="16"/>
        <v>4949546897</v>
      </c>
      <c r="J944" s="37">
        <v>481812</v>
      </c>
      <c r="K944" s="61" t="s">
        <v>736</v>
      </c>
      <c r="L944" t="s">
        <v>720</v>
      </c>
      <c r="M944" s="38" t="str">
        <f>IF([1]totrevprm!O944="","",[1]totrevprm!O944)</f>
        <v/>
      </c>
    </row>
    <row r="945" spans="1:13">
      <c r="A945" s="45" t="s">
        <v>51</v>
      </c>
      <c r="B945" s="46" t="s">
        <v>287</v>
      </c>
      <c r="C945" s="50"/>
      <c r="D945" s="51">
        <v>2014</v>
      </c>
      <c r="E945" s="56">
        <v>1182573832</v>
      </c>
      <c r="F945" s="56">
        <v>1098734107</v>
      </c>
      <c r="G945" s="56">
        <v>2710125131</v>
      </c>
      <c r="H945" s="56">
        <v>17298773</v>
      </c>
      <c r="I945" s="54">
        <f t="shared" si="16"/>
        <v>5008731843</v>
      </c>
      <c r="J945" s="52">
        <v>47216346</v>
      </c>
      <c r="K945" s="61" t="s">
        <v>736</v>
      </c>
      <c r="L945" t="s">
        <v>720</v>
      </c>
      <c r="M945" s="38" t="str">
        <f>IF([1]totrevprm!O945="","",[1]totrevprm!O945)</f>
        <v/>
      </c>
    </row>
    <row r="946" spans="1:13">
      <c r="A946" s="45" t="s">
        <v>51</v>
      </c>
      <c r="B946" s="46" t="s">
        <v>287</v>
      </c>
      <c r="C946" s="50"/>
      <c r="D946" s="51">
        <v>2015</v>
      </c>
      <c r="E946" s="56">
        <v>1192119346</v>
      </c>
      <c r="F946" s="56">
        <v>1183584489</v>
      </c>
      <c r="G946" s="56">
        <v>2514474358</v>
      </c>
      <c r="H946" s="56">
        <v>17143291</v>
      </c>
      <c r="I946" s="54">
        <f t="shared" si="16"/>
        <v>4907321484</v>
      </c>
      <c r="J946" s="52">
        <v>27277455</v>
      </c>
      <c r="K946" s="61" t="s">
        <v>736</v>
      </c>
      <c r="L946" t="s">
        <v>720</v>
      </c>
      <c r="M946" s="38" t="str">
        <f>IF([1]totrevprm!O946="","",[1]totrevprm!O946)</f>
        <v/>
      </c>
    </row>
    <row r="947" spans="1:13">
      <c r="A947" s="45" t="s">
        <v>51</v>
      </c>
      <c r="B947" s="46" t="s">
        <v>287</v>
      </c>
      <c r="C947" s="50"/>
      <c r="D947" s="51">
        <v>2016</v>
      </c>
      <c r="E947" s="56">
        <v>1240812243</v>
      </c>
      <c r="F947" s="56">
        <v>1179851950</v>
      </c>
      <c r="G947" s="56">
        <v>2516772991</v>
      </c>
      <c r="H947" s="56">
        <v>24824279</v>
      </c>
      <c r="I947" s="54">
        <f t="shared" si="16"/>
        <v>4962261463</v>
      </c>
      <c r="J947" s="52">
        <v>17304043</v>
      </c>
      <c r="K947" s="61" t="s">
        <v>736</v>
      </c>
      <c r="L947" t="s">
        <v>720</v>
      </c>
      <c r="M947" s="38" t="str">
        <f>IF([1]totrevprm!O947="","",[1]totrevprm!O947)</f>
        <v/>
      </c>
    </row>
    <row r="948" spans="1:13">
      <c r="A948" s="45" t="s">
        <v>51</v>
      </c>
      <c r="B948" s="46" t="s">
        <v>287</v>
      </c>
      <c r="C948" s="50"/>
      <c r="D948" s="51">
        <v>2017</v>
      </c>
      <c r="E948" s="56">
        <v>1264287680</v>
      </c>
      <c r="F948" s="56">
        <v>1139859260</v>
      </c>
      <c r="G948" s="56">
        <v>2529044911</v>
      </c>
      <c r="H948" s="56">
        <v>20842640</v>
      </c>
      <c r="I948" s="54">
        <f t="shared" si="16"/>
        <v>4954034491</v>
      </c>
      <c r="J948" s="56">
        <v>13376218</v>
      </c>
      <c r="K948" s="61" t="s">
        <v>736</v>
      </c>
      <c r="L948" t="s">
        <v>720</v>
      </c>
      <c r="M948" s="38" t="str">
        <f>IF([1]totrevprm!O948="","",[1]totrevprm!O948)</f>
        <v/>
      </c>
    </row>
    <row r="949" spans="1:13">
      <c r="A949" s="45" t="s">
        <v>51</v>
      </c>
      <c r="B949" s="46" t="s">
        <v>287</v>
      </c>
      <c r="C949" s="50"/>
      <c r="D949" s="51">
        <v>2018</v>
      </c>
      <c r="E949" s="56">
        <v>1276891322</v>
      </c>
      <c r="F949" s="56">
        <v>1518213551</v>
      </c>
      <c r="G949" s="56">
        <v>2523156105.3899999</v>
      </c>
      <c r="H949" s="56">
        <v>22423238</v>
      </c>
      <c r="I949" s="54">
        <f t="shared" si="16"/>
        <v>5340684216.3899994</v>
      </c>
      <c r="J949" s="56">
        <v>18343559</v>
      </c>
      <c r="K949" s="61" t="s">
        <v>736</v>
      </c>
      <c r="L949" t="s">
        <v>720</v>
      </c>
      <c r="M949" s="38" t="str">
        <f>IF([1]totrevprm!O949="","",[1]totrevprm!O949)</f>
        <v/>
      </c>
    </row>
    <row r="950" spans="1:13">
      <c r="A950" s="45" t="s">
        <v>51</v>
      </c>
      <c r="B950" s="46" t="s">
        <v>287</v>
      </c>
      <c r="C950" s="50"/>
      <c r="D950" s="51">
        <v>2019</v>
      </c>
      <c r="E950" s="56">
        <v>1306124911</v>
      </c>
      <c r="F950" s="56">
        <v>1491395523</v>
      </c>
      <c r="G950" s="56">
        <v>2589221840.46</v>
      </c>
      <c r="H950" s="56">
        <v>11502604</v>
      </c>
      <c r="I950" s="54">
        <f t="shared" si="16"/>
        <v>5398244878.46</v>
      </c>
      <c r="J950" s="56">
        <v>16060349</v>
      </c>
      <c r="K950" s="61" t="s">
        <v>736</v>
      </c>
      <c r="L950" t="s">
        <v>720</v>
      </c>
      <c r="M950" s="38" t="str">
        <f>IF([1]totrevprm!O950="","",[1]totrevprm!O950)</f>
        <v/>
      </c>
    </row>
    <row r="951" spans="1:13">
      <c r="A951" s="45" t="s">
        <v>51</v>
      </c>
      <c r="B951" s="46" t="s">
        <v>287</v>
      </c>
      <c r="C951" s="50"/>
      <c r="D951" s="51">
        <v>2020</v>
      </c>
      <c r="E951" s="56">
        <v>1309004574</v>
      </c>
      <c r="F951" s="56">
        <v>1327339820</v>
      </c>
      <c r="G951" s="56">
        <v>3416643722</v>
      </c>
      <c r="H951" s="56">
        <v>34526554</v>
      </c>
      <c r="I951" s="54">
        <f t="shared" si="16"/>
        <v>6087514670</v>
      </c>
      <c r="J951" s="56">
        <v>14966622</v>
      </c>
      <c r="K951" s="61" t="s">
        <v>787</v>
      </c>
      <c r="L951" t="s">
        <v>720</v>
      </c>
      <c r="M951" s="38" t="str">
        <f>IF([1]totrevprm!O951="","",[1]totrevprm!O951)</f>
        <v>Yes</v>
      </c>
    </row>
    <row r="952" spans="1:13">
      <c r="A952" s="45" t="s">
        <v>51</v>
      </c>
      <c r="B952" s="46" t="s">
        <v>287</v>
      </c>
      <c r="C952" s="50"/>
      <c r="D952" s="51">
        <v>2021</v>
      </c>
      <c r="E952" s="56">
        <v>1421149898</v>
      </c>
      <c r="F952" s="56">
        <v>1435152033</v>
      </c>
      <c r="G952" s="56">
        <v>3570968605.4300003</v>
      </c>
      <c r="H952" s="56">
        <v>25683739</v>
      </c>
      <c r="I952" s="54">
        <f t="shared" si="16"/>
        <v>6452954275.4300003</v>
      </c>
      <c r="J952" s="53">
        <v>0</v>
      </c>
      <c r="K952" s="61" t="s">
        <v>739</v>
      </c>
      <c r="L952" t="s">
        <v>720</v>
      </c>
      <c r="M952" s="38" t="s">
        <v>720</v>
      </c>
    </row>
    <row r="953" spans="1:13">
      <c r="A953" s="45" t="s">
        <v>51</v>
      </c>
      <c r="B953" s="46" t="s">
        <v>287</v>
      </c>
      <c r="C953" s="50"/>
      <c r="D953" s="51">
        <v>2022</v>
      </c>
      <c r="E953" s="56">
        <v>1453898024</v>
      </c>
      <c r="F953" s="56">
        <v>1918639091</v>
      </c>
      <c r="G953" s="56">
        <v>3774395445</v>
      </c>
      <c r="H953" s="56">
        <v>11672864</v>
      </c>
      <c r="I953" s="54">
        <f t="shared" si="16"/>
        <v>7158605424</v>
      </c>
      <c r="J953" s="53">
        <v>0</v>
      </c>
      <c r="K953" s="61" t="s">
        <v>739</v>
      </c>
      <c r="M953" s="38" t="str">
        <f>IF([1]totrevprm!O956="","",[1]totrevprm!O956)</f>
        <v/>
      </c>
    </row>
    <row r="954" spans="1:13">
      <c r="A954" s="45" t="s">
        <v>51</v>
      </c>
      <c r="B954" s="46" t="s">
        <v>287</v>
      </c>
      <c r="C954" s="50"/>
      <c r="D954" s="51">
        <v>2023</v>
      </c>
      <c r="E954" s="56">
        <v>1454436131</v>
      </c>
      <c r="F954" s="56">
        <v>2223742905.0957999</v>
      </c>
      <c r="G954" s="56">
        <v>4145309982.6451001</v>
      </c>
      <c r="H954" s="56">
        <v>37119259</v>
      </c>
      <c r="I954" s="54">
        <f t="shared" si="16"/>
        <v>7860608277.7409</v>
      </c>
      <c r="J954" s="52">
        <v>0</v>
      </c>
      <c r="K954" s="61" t="s">
        <v>739</v>
      </c>
      <c r="M954" s="38"/>
    </row>
    <row r="955" spans="1:13">
      <c r="A955" s="45" t="s">
        <v>51</v>
      </c>
      <c r="B955" s="46" t="s">
        <v>287</v>
      </c>
      <c r="C955" s="50"/>
      <c r="D955" s="57">
        <v>2024</v>
      </c>
      <c r="E955" s="52">
        <v>1499573728.29</v>
      </c>
      <c r="F955" s="52">
        <v>2516751575.3400002</v>
      </c>
      <c r="G955" s="52">
        <v>4888890930.5585995</v>
      </c>
      <c r="H955" s="52">
        <v>29017689.489999998</v>
      </c>
      <c r="I955" s="54">
        <f t="shared" si="16"/>
        <v>8934233923.6785984</v>
      </c>
      <c r="J955" s="56">
        <v>0</v>
      </c>
      <c r="K955" s="61" t="s">
        <v>739</v>
      </c>
      <c r="M955" s="38"/>
    </row>
    <row r="956" spans="1:13">
      <c r="A956" s="49"/>
      <c r="B956" s="50"/>
      <c r="C956" s="50"/>
      <c r="E956" s="53"/>
      <c r="F956" s="53"/>
      <c r="G956" s="53"/>
      <c r="H956" s="53"/>
      <c r="I956" s="54"/>
      <c r="J956" s="52"/>
      <c r="K956" s="61"/>
      <c r="M956" s="38"/>
    </row>
    <row r="957" spans="1:13">
      <c r="A957" s="49" t="s">
        <v>52</v>
      </c>
      <c r="B957" s="46" t="s">
        <v>227</v>
      </c>
      <c r="C957" s="50" t="s">
        <v>731</v>
      </c>
      <c r="D957" s="51">
        <v>1988</v>
      </c>
      <c r="E957" s="53">
        <v>1251563117</v>
      </c>
      <c r="F957" s="53">
        <v>931078974</v>
      </c>
      <c r="G957" s="53">
        <v>2156992186</v>
      </c>
      <c r="H957" s="53">
        <v>0</v>
      </c>
      <c r="I957" s="54">
        <f t="shared" si="16"/>
        <v>4339634277</v>
      </c>
      <c r="J957" s="52">
        <v>0</v>
      </c>
      <c r="K957" s="61"/>
      <c r="M957" s="38" t="str">
        <f>IF([1]totrevprm!O957="","",[1]totrevprm!O957)</f>
        <v/>
      </c>
    </row>
    <row r="958" spans="1:13">
      <c r="A958" s="49" t="s">
        <v>52</v>
      </c>
      <c r="B958" s="46" t="s">
        <v>227</v>
      </c>
      <c r="C958" s="50" t="s">
        <v>732</v>
      </c>
      <c r="D958" s="51">
        <v>1989</v>
      </c>
      <c r="E958" s="53">
        <v>1198180850</v>
      </c>
      <c r="F958" s="53">
        <v>1123059899</v>
      </c>
      <c r="G958" s="53">
        <v>2124022136</v>
      </c>
      <c r="H958" s="53">
        <v>0</v>
      </c>
      <c r="I958" s="54">
        <f t="shared" si="16"/>
        <v>4445262885</v>
      </c>
      <c r="J958" s="52">
        <v>0</v>
      </c>
      <c r="K958" s="61"/>
      <c r="M958" s="38" t="str">
        <f>IF([1]totrevprm!O958="","",[1]totrevprm!O958)</f>
        <v/>
      </c>
    </row>
    <row r="959" spans="1:13">
      <c r="A959" s="49" t="s">
        <v>52</v>
      </c>
      <c r="B959" s="46" t="s">
        <v>227</v>
      </c>
      <c r="C959" s="50" t="s">
        <v>732</v>
      </c>
      <c r="D959" s="51">
        <v>1990</v>
      </c>
      <c r="E959" s="53">
        <v>1240651317</v>
      </c>
      <c r="F959" s="53">
        <v>1097030145.5599999</v>
      </c>
      <c r="G959" s="53">
        <v>2324782100</v>
      </c>
      <c r="H959" s="53">
        <v>0</v>
      </c>
      <c r="I959" s="54">
        <f t="shared" si="16"/>
        <v>4662463562.5599995</v>
      </c>
      <c r="J959" s="52">
        <v>0</v>
      </c>
      <c r="K959" s="61"/>
      <c r="M959" s="38" t="str">
        <f>IF([1]totrevprm!O959="","",[1]totrevprm!O959)</f>
        <v/>
      </c>
    </row>
    <row r="960" spans="1:13">
      <c r="A960" s="49" t="s">
        <v>52</v>
      </c>
      <c r="B960" s="46" t="s">
        <v>227</v>
      </c>
      <c r="C960" s="50" t="s">
        <v>732</v>
      </c>
      <c r="D960" s="51">
        <v>1991</v>
      </c>
      <c r="E960" s="53">
        <v>1349911823</v>
      </c>
      <c r="F960" s="53">
        <v>1389277893</v>
      </c>
      <c r="G960" s="53">
        <v>2060112323</v>
      </c>
      <c r="H960" s="53">
        <v>0</v>
      </c>
      <c r="I960" s="54">
        <f t="shared" si="16"/>
        <v>4799302039</v>
      </c>
      <c r="J960" s="52">
        <v>0</v>
      </c>
      <c r="K960" s="61"/>
      <c r="M960" s="38" t="str">
        <f>IF([1]totrevprm!O960="","",[1]totrevprm!O960)</f>
        <v/>
      </c>
    </row>
    <row r="961" spans="1:13">
      <c r="A961" s="49" t="s">
        <v>52</v>
      </c>
      <c r="B961" s="46" t="s">
        <v>227</v>
      </c>
      <c r="C961" s="50" t="s">
        <v>732</v>
      </c>
      <c r="D961" s="51">
        <v>1992</v>
      </c>
      <c r="E961" s="53">
        <v>1459548738</v>
      </c>
      <c r="F961" s="53">
        <v>1175246705.76</v>
      </c>
      <c r="G961" s="53">
        <v>2124405592</v>
      </c>
      <c r="H961" s="53">
        <v>0</v>
      </c>
      <c r="I961" s="54">
        <f t="shared" si="16"/>
        <v>4759201035.7600002</v>
      </c>
      <c r="J961" s="52">
        <v>0</v>
      </c>
      <c r="K961" s="61"/>
      <c r="M961" s="38" t="str">
        <f>IF([1]totrevprm!O961="","",[1]totrevprm!O961)</f>
        <v/>
      </c>
    </row>
    <row r="962" spans="1:13">
      <c r="A962" s="49" t="s">
        <v>52</v>
      </c>
      <c r="B962" s="46" t="s">
        <v>227</v>
      </c>
      <c r="C962" s="50" t="s">
        <v>732</v>
      </c>
      <c r="D962" s="51">
        <v>1993</v>
      </c>
      <c r="E962" s="53">
        <v>1527419510</v>
      </c>
      <c r="F962" s="53">
        <v>989233343</v>
      </c>
      <c r="G962" s="53">
        <v>2188748651</v>
      </c>
      <c r="H962" s="53">
        <v>0</v>
      </c>
      <c r="I962" s="54">
        <f t="shared" si="16"/>
        <v>4705401504</v>
      </c>
      <c r="J962" s="52">
        <v>0</v>
      </c>
      <c r="K962" s="61"/>
      <c r="M962" s="38" t="str">
        <f>IF([1]totrevprm!O962="","",[1]totrevprm!O962)</f>
        <v/>
      </c>
    </row>
    <row r="963" spans="1:13">
      <c r="A963" s="49" t="s">
        <v>52</v>
      </c>
      <c r="B963" s="46" t="s">
        <v>227</v>
      </c>
      <c r="C963" s="50" t="s">
        <v>732</v>
      </c>
      <c r="D963" s="51">
        <v>1994</v>
      </c>
      <c r="E963" s="53">
        <v>1671769259</v>
      </c>
      <c r="F963" s="53">
        <v>1204134118</v>
      </c>
      <c r="G963" s="53">
        <v>2189107887</v>
      </c>
      <c r="H963" s="53">
        <v>0</v>
      </c>
      <c r="I963" s="54">
        <f t="shared" si="16"/>
        <v>5065011264</v>
      </c>
      <c r="J963" s="52">
        <v>0</v>
      </c>
      <c r="K963" s="61"/>
      <c r="M963" s="38" t="str">
        <f>IF([1]totrevprm!O963="","",[1]totrevprm!O963)</f>
        <v/>
      </c>
    </row>
    <row r="964" spans="1:13">
      <c r="A964" s="49" t="s">
        <v>52</v>
      </c>
      <c r="B964" s="46" t="s">
        <v>227</v>
      </c>
      <c r="C964" s="50" t="s">
        <v>732</v>
      </c>
      <c r="D964" s="51">
        <v>1995</v>
      </c>
      <c r="E964" s="53">
        <v>1839124315</v>
      </c>
      <c r="F964" s="53">
        <v>1188539399</v>
      </c>
      <c r="G964" s="53">
        <v>2347301665</v>
      </c>
      <c r="H964" s="53">
        <v>0</v>
      </c>
      <c r="I964" s="54">
        <f t="shared" ref="I964:I1029" si="17">SUM(E964:H964)</f>
        <v>5374965379</v>
      </c>
      <c r="J964" s="52">
        <v>0</v>
      </c>
      <c r="K964" s="61"/>
      <c r="M964" s="38" t="str">
        <f>IF([1]totrevprm!O964="","",[1]totrevprm!O964)</f>
        <v/>
      </c>
    </row>
    <row r="965" spans="1:13">
      <c r="A965" s="49" t="s">
        <v>52</v>
      </c>
      <c r="B965" s="46" t="s">
        <v>227</v>
      </c>
      <c r="C965" s="50" t="s">
        <v>732</v>
      </c>
      <c r="D965" s="51">
        <v>1996</v>
      </c>
      <c r="E965" s="53">
        <v>1682414277</v>
      </c>
      <c r="F965" s="53">
        <v>1114522624</v>
      </c>
      <c r="G965" s="53">
        <v>2383805840</v>
      </c>
      <c r="H965" s="53">
        <v>0</v>
      </c>
      <c r="I965" s="54">
        <f t="shared" si="17"/>
        <v>5180742741</v>
      </c>
      <c r="J965" s="52">
        <v>0</v>
      </c>
      <c r="K965" s="61"/>
      <c r="M965" s="38" t="str">
        <f>IF([1]totrevprm!O965="","",[1]totrevprm!O965)</f>
        <v/>
      </c>
    </row>
    <row r="966" spans="1:13">
      <c r="A966" s="49" t="s">
        <v>52</v>
      </c>
      <c r="B966" s="46" t="s">
        <v>227</v>
      </c>
      <c r="C966" s="50" t="s">
        <v>732</v>
      </c>
      <c r="D966" s="51">
        <v>1997</v>
      </c>
      <c r="E966" s="53">
        <v>1669250470</v>
      </c>
      <c r="F966" s="53">
        <v>1139674732</v>
      </c>
      <c r="G966" s="53">
        <v>2374229300</v>
      </c>
      <c r="H966" s="53">
        <v>0</v>
      </c>
      <c r="I966" s="54">
        <f t="shared" si="17"/>
        <v>5183154502</v>
      </c>
      <c r="J966" s="52">
        <v>0</v>
      </c>
      <c r="K966" s="61"/>
      <c r="M966" s="38" t="str">
        <f>IF([1]totrevprm!O966="","",[1]totrevprm!O966)</f>
        <v/>
      </c>
    </row>
    <row r="967" spans="1:13">
      <c r="A967" s="49" t="s">
        <v>52</v>
      </c>
      <c r="B967" s="46" t="s">
        <v>227</v>
      </c>
      <c r="C967" s="50" t="s">
        <v>732</v>
      </c>
      <c r="D967" s="51">
        <v>1998</v>
      </c>
      <c r="E967" s="53">
        <v>1637956937</v>
      </c>
      <c r="F967" s="53">
        <v>1032414678</v>
      </c>
      <c r="G967" s="53">
        <v>2420090787</v>
      </c>
      <c r="H967" s="53">
        <v>0</v>
      </c>
      <c r="I967" s="54">
        <f t="shared" si="17"/>
        <v>5090462402</v>
      </c>
      <c r="J967" s="52">
        <v>0</v>
      </c>
      <c r="K967" s="61"/>
      <c r="M967" s="38" t="str">
        <f>IF([1]totrevprm!O967="","",[1]totrevprm!O967)</f>
        <v/>
      </c>
    </row>
    <row r="968" spans="1:13">
      <c r="A968" s="49" t="s">
        <v>52</v>
      </c>
      <c r="B968" s="46" t="s">
        <v>227</v>
      </c>
      <c r="C968" s="50" t="s">
        <v>732</v>
      </c>
      <c r="D968" s="51">
        <v>1999</v>
      </c>
      <c r="E968" s="53">
        <v>1653760006</v>
      </c>
      <c r="F968" s="53">
        <v>1275930746</v>
      </c>
      <c r="G968" s="53">
        <v>2502569907</v>
      </c>
      <c r="H968" s="53">
        <v>0</v>
      </c>
      <c r="I968" s="54">
        <f t="shared" si="17"/>
        <v>5432260659</v>
      </c>
      <c r="J968" s="52">
        <v>0</v>
      </c>
      <c r="K968" s="61"/>
      <c r="M968" s="38" t="str">
        <f>IF([1]totrevprm!O968="","",[1]totrevprm!O968)</f>
        <v/>
      </c>
    </row>
    <row r="969" spans="1:13">
      <c r="A969" s="49" t="s">
        <v>52</v>
      </c>
      <c r="B969" s="46" t="s">
        <v>227</v>
      </c>
      <c r="C969" s="50" t="s">
        <v>732</v>
      </c>
      <c r="D969" s="51">
        <v>2000</v>
      </c>
      <c r="E969" s="53">
        <v>1668186368</v>
      </c>
      <c r="F969" s="53">
        <v>1408762316</v>
      </c>
      <c r="G969" s="53">
        <v>2577689385</v>
      </c>
      <c r="H969" s="53">
        <v>0</v>
      </c>
      <c r="I969" s="54">
        <f t="shared" si="17"/>
        <v>5654638069</v>
      </c>
      <c r="J969" s="52">
        <v>0</v>
      </c>
      <c r="K969" s="61"/>
      <c r="M969" s="38" t="str">
        <f>IF([1]totrevprm!O969="","",[1]totrevprm!O969)</f>
        <v/>
      </c>
    </row>
    <row r="970" spans="1:13">
      <c r="A970" s="49" t="s">
        <v>52</v>
      </c>
      <c r="B970" s="46" t="s">
        <v>227</v>
      </c>
      <c r="C970" s="50" t="s">
        <v>732</v>
      </c>
      <c r="D970" s="51">
        <v>2001</v>
      </c>
      <c r="E970" s="53">
        <v>1736935205</v>
      </c>
      <c r="F970" s="53">
        <v>2505513264.75</v>
      </c>
      <c r="G970" s="53">
        <v>3006597001</v>
      </c>
      <c r="H970" s="53">
        <v>0</v>
      </c>
      <c r="I970" s="54">
        <f t="shared" si="17"/>
        <v>7249045470.75</v>
      </c>
      <c r="J970" s="52">
        <v>0</v>
      </c>
      <c r="K970" s="61"/>
      <c r="M970" s="38" t="str">
        <f>IF([1]totrevprm!O970="","",[1]totrevprm!O970)</f>
        <v/>
      </c>
    </row>
    <row r="971" spans="1:13">
      <c r="A971" s="49" t="s">
        <v>52</v>
      </c>
      <c r="B971" s="46" t="s">
        <v>227</v>
      </c>
      <c r="C971" s="50" t="s">
        <v>732</v>
      </c>
      <c r="D971" s="51">
        <v>2002</v>
      </c>
      <c r="E971" s="53">
        <v>1831224742</v>
      </c>
      <c r="F971" s="53">
        <v>2733458900</v>
      </c>
      <c r="G971" s="53">
        <v>3242178827</v>
      </c>
      <c r="H971" s="53">
        <v>0</v>
      </c>
      <c r="I971" s="54">
        <f t="shared" si="17"/>
        <v>7806862469</v>
      </c>
      <c r="J971" s="52">
        <v>0</v>
      </c>
      <c r="K971" s="61"/>
      <c r="M971" s="38" t="str">
        <f>IF([1]totrevprm!O971="","",[1]totrevprm!O971)</f>
        <v/>
      </c>
    </row>
    <row r="972" spans="1:13">
      <c r="A972" s="49" t="s">
        <v>52</v>
      </c>
      <c r="B972" s="46" t="s">
        <v>227</v>
      </c>
      <c r="C972" s="50" t="s">
        <v>732</v>
      </c>
      <c r="D972" s="51">
        <v>2003</v>
      </c>
      <c r="E972" s="55">
        <v>1943903479</v>
      </c>
      <c r="F972" s="55">
        <v>2479348400</v>
      </c>
      <c r="G972" s="55">
        <v>3659027426</v>
      </c>
      <c r="H972" s="53">
        <v>0</v>
      </c>
      <c r="I972" s="54">
        <f t="shared" si="17"/>
        <v>8082279305</v>
      </c>
      <c r="J972" s="52">
        <v>0</v>
      </c>
      <c r="K972" s="61"/>
      <c r="M972" s="38" t="str">
        <f>IF([1]totrevprm!O972="","",[1]totrevprm!O972)</f>
        <v/>
      </c>
    </row>
    <row r="973" spans="1:13">
      <c r="A973" s="49" t="s">
        <v>52</v>
      </c>
      <c r="B973" s="46" t="s">
        <v>227</v>
      </c>
      <c r="C973" s="50" t="s">
        <v>732</v>
      </c>
      <c r="D973" s="51">
        <v>2004</v>
      </c>
      <c r="E973" s="55">
        <v>2021695012</v>
      </c>
      <c r="F973" s="55">
        <v>2499720306</v>
      </c>
      <c r="G973" s="55">
        <v>4088974451</v>
      </c>
      <c r="H973" s="53">
        <v>0</v>
      </c>
      <c r="I973" s="54">
        <f t="shared" si="17"/>
        <v>8610389769</v>
      </c>
      <c r="J973" s="52">
        <v>0</v>
      </c>
      <c r="K973" s="61"/>
      <c r="M973" s="38" t="str">
        <f>IF([1]totrevprm!O973="","",[1]totrevprm!O973)</f>
        <v/>
      </c>
    </row>
    <row r="974" spans="1:13">
      <c r="A974" s="49" t="s">
        <v>52</v>
      </c>
      <c r="B974" s="46" t="s">
        <v>227</v>
      </c>
      <c r="C974" s="50"/>
      <c r="D974" s="51">
        <v>2005</v>
      </c>
      <c r="E974" s="55">
        <v>1966492499</v>
      </c>
      <c r="F974" s="55">
        <v>2320042164</v>
      </c>
      <c r="G974" s="55">
        <v>4485178309</v>
      </c>
      <c r="H974" s="53">
        <v>0</v>
      </c>
      <c r="I974" s="54">
        <f t="shared" si="17"/>
        <v>8771712972</v>
      </c>
      <c r="J974" s="52">
        <v>0</v>
      </c>
      <c r="K974" s="61"/>
      <c r="M974" s="38" t="str">
        <f>IF([1]totrevprm!O974="","",[1]totrevprm!O974)</f>
        <v/>
      </c>
    </row>
    <row r="975" spans="1:13">
      <c r="A975" s="49" t="s">
        <v>52</v>
      </c>
      <c r="B975" s="46" t="s">
        <v>227</v>
      </c>
      <c r="C975" s="50"/>
      <c r="D975" s="51">
        <v>2006</v>
      </c>
      <c r="E975" s="56">
        <v>2115297355</v>
      </c>
      <c r="F975" s="56">
        <v>2816433582</v>
      </c>
      <c r="G975" s="56">
        <v>5073583309</v>
      </c>
      <c r="H975" s="53">
        <v>0</v>
      </c>
      <c r="I975" s="54">
        <f t="shared" si="17"/>
        <v>10005314246</v>
      </c>
      <c r="J975" s="52">
        <v>0</v>
      </c>
      <c r="K975" s="61"/>
      <c r="M975" s="38" t="str">
        <f>IF([1]totrevprm!O975="","",[1]totrevprm!O975)</f>
        <v/>
      </c>
    </row>
    <row r="976" spans="1:13">
      <c r="A976" s="49" t="s">
        <v>52</v>
      </c>
      <c r="B976" s="46" t="s">
        <v>227</v>
      </c>
      <c r="C976" s="50"/>
      <c r="D976" s="51">
        <v>2007</v>
      </c>
      <c r="E976" s="56">
        <v>2169656374</v>
      </c>
      <c r="F976" s="56">
        <v>2417866053</v>
      </c>
      <c r="G976" s="56">
        <v>5517388174</v>
      </c>
      <c r="H976" s="56">
        <v>0</v>
      </c>
      <c r="I976" s="54">
        <f t="shared" si="17"/>
        <v>10104910601</v>
      </c>
      <c r="J976" s="52">
        <v>0</v>
      </c>
      <c r="K976" s="61"/>
      <c r="M976" s="38" t="str">
        <f>IF([1]totrevprm!O976="","",[1]totrevprm!O976)</f>
        <v/>
      </c>
    </row>
    <row r="977" spans="1:13">
      <c r="A977" s="49" t="s">
        <v>52</v>
      </c>
      <c r="B977" s="46" t="s">
        <v>227</v>
      </c>
      <c r="C977" s="50"/>
      <c r="D977" s="51">
        <v>2008</v>
      </c>
      <c r="E977" s="56">
        <v>2190546307</v>
      </c>
      <c r="F977" s="56">
        <v>3723154933</v>
      </c>
      <c r="G977" s="56">
        <v>6053273728</v>
      </c>
      <c r="H977" s="56">
        <v>0</v>
      </c>
      <c r="I977" s="54">
        <f t="shared" si="17"/>
        <v>11966974968</v>
      </c>
      <c r="J977" s="52">
        <v>0</v>
      </c>
      <c r="K977" s="61"/>
      <c r="M977" s="38" t="str">
        <f>IF([1]totrevprm!O977="","",[1]totrevprm!O977)</f>
        <v/>
      </c>
    </row>
    <row r="978" spans="1:13">
      <c r="A978" s="49" t="s">
        <v>52</v>
      </c>
      <c r="B978" s="46" t="s">
        <v>227</v>
      </c>
      <c r="C978" s="50"/>
      <c r="D978" s="51">
        <v>2009</v>
      </c>
      <c r="E978" s="56">
        <v>2427879062</v>
      </c>
      <c r="F978" s="56">
        <v>3635022384</v>
      </c>
      <c r="G978" s="56">
        <v>6263415684</v>
      </c>
      <c r="H978" s="56">
        <v>0</v>
      </c>
      <c r="I978" s="54">
        <f t="shared" si="17"/>
        <v>12326317130</v>
      </c>
      <c r="J978" s="52">
        <v>0</v>
      </c>
      <c r="K978" s="61"/>
      <c r="M978" s="38" t="str">
        <f>IF([1]totrevprm!O978="","",[1]totrevprm!O978)</f>
        <v/>
      </c>
    </row>
    <row r="979" spans="1:13">
      <c r="A979" s="49" t="s">
        <v>52</v>
      </c>
      <c r="B979" s="46" t="s">
        <v>227</v>
      </c>
      <c r="C979" s="50"/>
      <c r="D979" s="51">
        <v>2010</v>
      </c>
      <c r="E979" s="56">
        <v>2311852743</v>
      </c>
      <c r="F979" s="56">
        <v>3359298780</v>
      </c>
      <c r="G979" s="56">
        <v>6585751698</v>
      </c>
      <c r="H979" s="56">
        <v>0</v>
      </c>
      <c r="I979" s="54">
        <f t="shared" si="17"/>
        <v>12256903221</v>
      </c>
      <c r="J979" s="52">
        <v>0</v>
      </c>
      <c r="K979" s="61"/>
      <c r="M979" s="38" t="str">
        <f>IF([1]totrevprm!O979="","",[1]totrevprm!O979)</f>
        <v/>
      </c>
    </row>
    <row r="980" spans="1:13">
      <c r="A980" s="49" t="s">
        <v>52</v>
      </c>
      <c r="B980" s="46" t="s">
        <v>227</v>
      </c>
      <c r="C980" s="50"/>
      <c r="D980" s="51">
        <v>2011</v>
      </c>
      <c r="E980" s="56">
        <v>2393944168</v>
      </c>
      <c r="F980" s="56">
        <v>3549689210</v>
      </c>
      <c r="G980" s="56">
        <v>6656052457.8199997</v>
      </c>
      <c r="H980" s="56">
        <v>0</v>
      </c>
      <c r="I980" s="54">
        <f t="shared" si="17"/>
        <v>12599685835.82</v>
      </c>
      <c r="J980" s="52">
        <v>0</v>
      </c>
      <c r="K980" s="61"/>
      <c r="M980" s="38" t="str">
        <f>IF([1]totrevprm!O980="","",[1]totrevprm!O980)</f>
        <v/>
      </c>
    </row>
    <row r="981" spans="1:13">
      <c r="A981" s="49" t="s">
        <v>52</v>
      </c>
      <c r="B981" s="46" t="s">
        <v>227</v>
      </c>
      <c r="C981" s="50"/>
      <c r="D981" s="51">
        <v>2012</v>
      </c>
      <c r="E981" s="56">
        <v>2429857507</v>
      </c>
      <c r="F981" s="56">
        <v>4581265853</v>
      </c>
      <c r="G981" s="56">
        <v>6373956489</v>
      </c>
      <c r="H981" s="56">
        <v>0</v>
      </c>
      <c r="I981" s="54">
        <f t="shared" si="17"/>
        <v>13385079849</v>
      </c>
      <c r="J981" s="52">
        <v>0</v>
      </c>
      <c r="K981" s="61"/>
      <c r="M981" s="38" t="str">
        <f>IF([1]totrevprm!O981="","",[1]totrevprm!O981)</f>
        <v/>
      </c>
    </row>
    <row r="982" spans="1:13">
      <c r="A982" s="49" t="s">
        <v>52</v>
      </c>
      <c r="B982" s="46" t="s">
        <v>227</v>
      </c>
      <c r="C982" s="50"/>
      <c r="D982" s="51">
        <v>2013</v>
      </c>
      <c r="E982" s="56">
        <v>2549299523</v>
      </c>
      <c r="F982" s="56">
        <v>4803298659</v>
      </c>
      <c r="G982" s="56">
        <v>6005301222</v>
      </c>
      <c r="H982" s="56">
        <v>0</v>
      </c>
      <c r="I982" s="54">
        <f t="shared" si="17"/>
        <v>13357899404</v>
      </c>
      <c r="J982" s="52">
        <v>0</v>
      </c>
      <c r="K982" s="61"/>
      <c r="M982" s="38" t="str">
        <f>IF([1]totrevprm!O982="","",[1]totrevprm!O982)</f>
        <v/>
      </c>
    </row>
    <row r="983" spans="1:13">
      <c r="A983" s="49" t="s">
        <v>52</v>
      </c>
      <c r="B983" s="46" t="s">
        <v>227</v>
      </c>
      <c r="C983" s="50"/>
      <c r="D983" s="51">
        <v>2014</v>
      </c>
      <c r="E983" s="56">
        <v>2509724699</v>
      </c>
      <c r="F983" s="56">
        <v>5040026573</v>
      </c>
      <c r="G983" s="52">
        <v>6411340847.1800003</v>
      </c>
      <c r="H983" s="56">
        <v>0</v>
      </c>
      <c r="I983" s="54">
        <f t="shared" si="17"/>
        <v>13961092119.18</v>
      </c>
      <c r="J983" s="52">
        <v>0</v>
      </c>
      <c r="K983" s="61"/>
      <c r="M983" s="38" t="str">
        <f>IF([1]totrevprm!O983="","",[1]totrevprm!O983)</f>
        <v/>
      </c>
    </row>
    <row r="984" spans="1:13">
      <c r="A984" s="49" t="s">
        <v>52</v>
      </c>
      <c r="B984" s="46" t="s">
        <v>227</v>
      </c>
      <c r="C984" s="50"/>
      <c r="D984" s="51">
        <v>2015</v>
      </c>
      <c r="E984" s="56">
        <v>2612261230</v>
      </c>
      <c r="F984" s="56">
        <v>4996787466</v>
      </c>
      <c r="G984" s="52">
        <v>6726452857</v>
      </c>
      <c r="H984" s="56">
        <v>0</v>
      </c>
      <c r="I984" s="54">
        <f t="shared" si="17"/>
        <v>14335501553</v>
      </c>
      <c r="J984" s="52">
        <v>0</v>
      </c>
      <c r="K984" s="61"/>
      <c r="M984" s="38" t="str">
        <f>IF([1]totrevprm!O984="","",[1]totrevprm!O984)</f>
        <v/>
      </c>
    </row>
    <row r="985" spans="1:13">
      <c r="A985" s="49" t="s">
        <v>52</v>
      </c>
      <c r="B985" s="46" t="s">
        <v>227</v>
      </c>
      <c r="C985" s="50"/>
      <c r="D985" s="51">
        <v>2016</v>
      </c>
      <c r="E985" s="56">
        <v>2667822141</v>
      </c>
      <c r="F985" s="56">
        <v>5586614426</v>
      </c>
      <c r="G985" s="52">
        <v>7121890967</v>
      </c>
      <c r="H985" s="56">
        <v>0</v>
      </c>
      <c r="I985" s="54">
        <f t="shared" si="17"/>
        <v>15376327534</v>
      </c>
      <c r="J985" s="52">
        <v>0</v>
      </c>
      <c r="K985" s="61"/>
      <c r="M985" s="38" t="str">
        <f>IF([1]totrevprm!O985="","",[1]totrevprm!O985)</f>
        <v/>
      </c>
    </row>
    <row r="986" spans="1:13">
      <c r="A986" s="49" t="s">
        <v>52</v>
      </c>
      <c r="B986" s="46" t="s">
        <v>227</v>
      </c>
      <c r="C986" s="50"/>
      <c r="D986" s="51">
        <v>2017</v>
      </c>
      <c r="E986" s="56">
        <v>2653950275</v>
      </c>
      <c r="F986" s="56">
        <v>5300439063</v>
      </c>
      <c r="G986" s="52">
        <v>7563165008.8199997</v>
      </c>
      <c r="H986" s="56">
        <v>0</v>
      </c>
      <c r="I986" s="54">
        <f t="shared" si="17"/>
        <v>15517554346.82</v>
      </c>
      <c r="J986" s="52">
        <v>0</v>
      </c>
      <c r="K986" s="61" t="s">
        <v>749</v>
      </c>
      <c r="L986" t="s">
        <v>720</v>
      </c>
      <c r="M986" s="38" t="str">
        <f>IF([1]totrevprm!O986="","",[1]totrevprm!O986)</f>
        <v/>
      </c>
    </row>
    <row r="987" spans="1:13">
      <c r="A987" s="49" t="s">
        <v>52</v>
      </c>
      <c r="B987" s="46" t="s">
        <v>227</v>
      </c>
      <c r="C987" s="50"/>
      <c r="D987" s="51">
        <v>2018</v>
      </c>
      <c r="E987" s="56">
        <v>2696231173</v>
      </c>
      <c r="F987" s="56">
        <v>5717725581</v>
      </c>
      <c r="G987" s="52">
        <v>8092192890.8999996</v>
      </c>
      <c r="H987" s="56">
        <v>0</v>
      </c>
      <c r="I987" s="54">
        <f t="shared" si="17"/>
        <v>16506149644.9</v>
      </c>
      <c r="J987" s="56">
        <v>0</v>
      </c>
      <c r="K987" s="61" t="s">
        <v>740</v>
      </c>
      <c r="L987" t="s">
        <v>720</v>
      </c>
      <c r="M987" s="38" t="str">
        <f>IF([1]totrevprm!O987="","",[1]totrevprm!O987)</f>
        <v>Yes</v>
      </c>
    </row>
    <row r="988" spans="1:13">
      <c r="A988" s="49" t="s">
        <v>52</v>
      </c>
      <c r="B988" s="46" t="s">
        <v>227</v>
      </c>
      <c r="C988" s="50"/>
      <c r="D988" s="51">
        <v>2019</v>
      </c>
      <c r="E988" s="56">
        <v>2766982523</v>
      </c>
      <c r="F988" s="56">
        <v>5873796083</v>
      </c>
      <c r="G988" s="56">
        <v>7955102632.8041</v>
      </c>
      <c r="H988" s="56">
        <v>0</v>
      </c>
      <c r="I988" s="54">
        <f t="shared" si="17"/>
        <v>16595881238.8041</v>
      </c>
      <c r="J988" s="56">
        <v>0</v>
      </c>
      <c r="K988" s="61" t="s">
        <v>739</v>
      </c>
      <c r="L988" t="s">
        <v>720</v>
      </c>
      <c r="M988" s="38" t="str">
        <f>IF([1]totrevprm!O988="","",[1]totrevprm!O988)</f>
        <v/>
      </c>
    </row>
    <row r="989" spans="1:13">
      <c r="A989" s="49" t="s">
        <v>52</v>
      </c>
      <c r="B989" s="46" t="s">
        <v>227</v>
      </c>
      <c r="C989" s="50"/>
      <c r="D989" s="51">
        <v>2020</v>
      </c>
      <c r="E989" s="56">
        <v>2781255954</v>
      </c>
      <c r="F989" s="56">
        <v>5147522731</v>
      </c>
      <c r="G989" s="56">
        <v>7520071788</v>
      </c>
      <c r="H989" s="56">
        <v>0</v>
      </c>
      <c r="I989" s="54">
        <f t="shared" si="17"/>
        <v>15448850473</v>
      </c>
      <c r="J989" s="56">
        <v>0</v>
      </c>
      <c r="K989" s="61" t="s">
        <v>739</v>
      </c>
      <c r="L989" t="s">
        <v>720</v>
      </c>
      <c r="M989" s="38" t="str">
        <f>IF([1]totrevprm!O989="","",[1]totrevprm!O989)</f>
        <v/>
      </c>
    </row>
    <row r="990" spans="1:13">
      <c r="A990" s="49" t="s">
        <v>52</v>
      </c>
      <c r="B990" s="46" t="s">
        <v>227</v>
      </c>
      <c r="C990" s="50"/>
      <c r="D990" s="51">
        <v>2021</v>
      </c>
      <c r="E990" s="56">
        <v>2992784398</v>
      </c>
      <c r="F990" s="56">
        <v>6208783286</v>
      </c>
      <c r="G990" s="56">
        <v>7649025891.3599997</v>
      </c>
      <c r="H990" s="56">
        <v>0</v>
      </c>
      <c r="I990" s="54">
        <f t="shared" si="17"/>
        <v>16850593575.360001</v>
      </c>
      <c r="J990" s="56">
        <v>0</v>
      </c>
      <c r="K990" s="61" t="s">
        <v>739</v>
      </c>
      <c r="L990" t="s">
        <v>720</v>
      </c>
      <c r="M990" s="38"/>
    </row>
    <row r="991" spans="1:13">
      <c r="A991" s="49" t="s">
        <v>52</v>
      </c>
      <c r="B991" s="46" t="s">
        <v>227</v>
      </c>
      <c r="C991" s="50"/>
      <c r="D991" s="51">
        <v>2022</v>
      </c>
      <c r="E991" s="56">
        <v>3033758239</v>
      </c>
      <c r="F991" s="56">
        <v>8418832561</v>
      </c>
      <c r="G991" s="56">
        <v>7702744120</v>
      </c>
      <c r="H991" s="56">
        <v>0</v>
      </c>
      <c r="I991" s="54">
        <f t="shared" si="17"/>
        <v>19155334920</v>
      </c>
      <c r="J991" s="56">
        <v>0</v>
      </c>
      <c r="K991" s="61" t="s">
        <v>739</v>
      </c>
      <c r="L991" t="s">
        <v>720</v>
      </c>
      <c r="M991" s="38" t="str">
        <f>IF([1]totrevprm!O994="","",[1]totrevprm!O994)</f>
        <v/>
      </c>
    </row>
    <row r="992" spans="1:13">
      <c r="A992" s="49" t="s">
        <v>52</v>
      </c>
      <c r="B992" s="46" t="s">
        <v>227</v>
      </c>
      <c r="C992" s="50"/>
      <c r="D992" s="51">
        <v>2023</v>
      </c>
      <c r="E992" s="56">
        <v>3030414160</v>
      </c>
      <c r="F992" s="56">
        <v>8946077963.3423996</v>
      </c>
      <c r="G992" s="56">
        <v>8103816506.6385002</v>
      </c>
      <c r="H992" s="56">
        <v>0</v>
      </c>
      <c r="I992" s="54">
        <f t="shared" si="17"/>
        <v>20080308629.9809</v>
      </c>
      <c r="J992" s="52">
        <v>0</v>
      </c>
      <c r="K992" s="61" t="s">
        <v>739</v>
      </c>
      <c r="M992" s="38"/>
    </row>
    <row r="993" spans="1:13">
      <c r="A993" s="49" t="s">
        <v>52</v>
      </c>
      <c r="B993" s="46" t="s">
        <v>227</v>
      </c>
      <c r="C993" s="50"/>
      <c r="D993" s="57">
        <v>2024</v>
      </c>
      <c r="E993" s="52">
        <v>3083500043.0900002</v>
      </c>
      <c r="F993" s="52">
        <v>10502055258.33</v>
      </c>
      <c r="G993" s="52">
        <v>8878213031.9030991</v>
      </c>
      <c r="H993" s="52">
        <v>0</v>
      </c>
      <c r="I993" s="54">
        <f t="shared" si="17"/>
        <v>22463768333.323097</v>
      </c>
      <c r="J993" s="56">
        <v>0</v>
      </c>
      <c r="K993" s="61" t="s">
        <v>739</v>
      </c>
      <c r="M993" s="38"/>
    </row>
    <row r="994" spans="1:13">
      <c r="A994" s="49"/>
      <c r="B994" s="50"/>
      <c r="C994" s="50"/>
      <c r="E994" s="53"/>
      <c r="F994" s="53"/>
      <c r="G994" s="53"/>
      <c r="H994" s="53"/>
      <c r="I994" s="54"/>
      <c r="J994" s="52"/>
      <c r="K994" s="61"/>
      <c r="M994" s="38"/>
    </row>
    <row r="995" spans="1:13">
      <c r="A995" s="49" t="s">
        <v>53</v>
      </c>
      <c r="B995" s="46" t="s">
        <v>788</v>
      </c>
      <c r="C995" s="50" t="s">
        <v>765</v>
      </c>
      <c r="D995" s="51">
        <v>1988</v>
      </c>
      <c r="E995" s="53">
        <v>169041608</v>
      </c>
      <c r="F995" s="53">
        <v>148382870</v>
      </c>
      <c r="G995" s="53">
        <v>143818697</v>
      </c>
      <c r="H995" s="53">
        <v>34022445</v>
      </c>
      <c r="I995" s="54">
        <f t="shared" si="17"/>
        <v>495265620</v>
      </c>
      <c r="J995" s="52">
        <v>0</v>
      </c>
      <c r="K995" s="61"/>
      <c r="M995" s="38" t="str">
        <f>IF([1]totrevprm!O995="","",[1]totrevprm!O995)</f>
        <v/>
      </c>
    </row>
    <row r="996" spans="1:13">
      <c r="A996" s="49" t="s">
        <v>53</v>
      </c>
      <c r="B996" s="46" t="s">
        <v>788</v>
      </c>
      <c r="C996" s="50" t="s">
        <v>732</v>
      </c>
      <c r="D996" s="51">
        <v>1989</v>
      </c>
      <c r="E996" s="53">
        <v>147923715</v>
      </c>
      <c r="F996" s="53">
        <v>178608344</v>
      </c>
      <c r="G996" s="53">
        <v>159327524</v>
      </c>
      <c r="H996" s="53">
        <v>28160686</v>
      </c>
      <c r="I996" s="54">
        <f t="shared" si="17"/>
        <v>514020269</v>
      </c>
      <c r="J996" s="52">
        <v>0</v>
      </c>
      <c r="K996" s="61"/>
      <c r="M996" s="38" t="str">
        <f>IF([1]totrevprm!O996="","",[1]totrevprm!O996)</f>
        <v/>
      </c>
    </row>
    <row r="997" spans="1:13">
      <c r="A997" s="49" t="s">
        <v>53</v>
      </c>
      <c r="B997" s="46" t="s">
        <v>788</v>
      </c>
      <c r="C997" s="50" t="s">
        <v>732</v>
      </c>
      <c r="D997" s="51">
        <v>1990</v>
      </c>
      <c r="E997" s="53">
        <v>151461664</v>
      </c>
      <c r="F997" s="53">
        <v>174514866.52000001</v>
      </c>
      <c r="G997" s="53">
        <v>168978142</v>
      </c>
      <c r="H997" s="53">
        <v>28984099</v>
      </c>
      <c r="I997" s="54">
        <f t="shared" si="17"/>
        <v>523938771.51999998</v>
      </c>
      <c r="J997" s="52">
        <v>0</v>
      </c>
      <c r="K997" s="61"/>
      <c r="M997" s="38" t="str">
        <f>IF([1]totrevprm!O997="","",[1]totrevprm!O997)</f>
        <v/>
      </c>
    </row>
    <row r="998" spans="1:13">
      <c r="A998" s="49" t="s">
        <v>53</v>
      </c>
      <c r="B998" s="46" t="s">
        <v>788</v>
      </c>
      <c r="C998" s="50" t="s">
        <v>731</v>
      </c>
      <c r="D998" s="51">
        <v>1991</v>
      </c>
      <c r="E998" s="53">
        <v>159736732</v>
      </c>
      <c r="F998" s="53">
        <v>168421262</v>
      </c>
      <c r="G998" s="53">
        <v>182006785</v>
      </c>
      <c r="H998" s="53">
        <v>0</v>
      </c>
      <c r="I998" s="54">
        <f t="shared" si="17"/>
        <v>510164779</v>
      </c>
      <c r="J998" s="52">
        <v>0</v>
      </c>
      <c r="K998" s="61"/>
      <c r="M998" s="38" t="str">
        <f>IF([1]totrevprm!O998="","",[1]totrevprm!O998)</f>
        <v/>
      </c>
    </row>
    <row r="999" spans="1:13">
      <c r="A999" s="49" t="s">
        <v>53</v>
      </c>
      <c r="B999" s="46" t="s">
        <v>788</v>
      </c>
      <c r="C999" s="50" t="s">
        <v>732</v>
      </c>
      <c r="D999" s="51">
        <v>1992</v>
      </c>
      <c r="E999" s="53">
        <v>167589649</v>
      </c>
      <c r="F999" s="53">
        <v>177152069.47999999</v>
      </c>
      <c r="G999" s="53">
        <v>194197079</v>
      </c>
      <c r="H999" s="53">
        <v>0</v>
      </c>
      <c r="I999" s="54">
        <f t="shared" si="17"/>
        <v>538938797.48000002</v>
      </c>
      <c r="J999" s="52">
        <v>0</v>
      </c>
      <c r="K999" s="61"/>
      <c r="M999" s="38" t="str">
        <f>IF([1]totrevprm!O999="","",[1]totrevprm!O999)</f>
        <v/>
      </c>
    </row>
    <row r="1000" spans="1:13">
      <c r="A1000" s="49" t="s">
        <v>53</v>
      </c>
      <c r="B1000" s="46" t="s">
        <v>788</v>
      </c>
      <c r="C1000" s="50" t="s">
        <v>751</v>
      </c>
      <c r="D1000" s="51">
        <v>1993</v>
      </c>
      <c r="E1000" s="53">
        <v>176808984</v>
      </c>
      <c r="F1000" s="53">
        <v>137333187</v>
      </c>
      <c r="G1000" s="53">
        <v>206653950</v>
      </c>
      <c r="H1000" s="53">
        <v>40838724</v>
      </c>
      <c r="I1000" s="54">
        <f t="shared" si="17"/>
        <v>561634845</v>
      </c>
      <c r="J1000" s="52">
        <v>0</v>
      </c>
      <c r="K1000" s="61"/>
      <c r="M1000" s="38" t="str">
        <f>IF([1]totrevprm!O1000="","",[1]totrevprm!O1000)</f>
        <v/>
      </c>
    </row>
    <row r="1001" spans="1:13">
      <c r="A1001" s="49" t="s">
        <v>53</v>
      </c>
      <c r="B1001" s="46" t="s">
        <v>788</v>
      </c>
      <c r="C1001" s="50" t="s">
        <v>732</v>
      </c>
      <c r="D1001" s="51">
        <v>1994</v>
      </c>
      <c r="E1001" s="53">
        <v>184354230</v>
      </c>
      <c r="F1001" s="53">
        <v>179294334</v>
      </c>
      <c r="G1001" s="53">
        <v>216362491</v>
      </c>
      <c r="H1001" s="53">
        <v>41066926</v>
      </c>
      <c r="I1001" s="54">
        <f t="shared" si="17"/>
        <v>621077981</v>
      </c>
      <c r="J1001" s="52">
        <v>0</v>
      </c>
      <c r="K1001" s="61"/>
      <c r="M1001" s="38" t="str">
        <f>IF([1]totrevprm!O1001="","",[1]totrevprm!O1001)</f>
        <v/>
      </c>
    </row>
    <row r="1002" spans="1:13">
      <c r="A1002" s="49" t="s">
        <v>53</v>
      </c>
      <c r="B1002" s="46" t="s">
        <v>788</v>
      </c>
      <c r="C1002" s="50" t="s">
        <v>732</v>
      </c>
      <c r="D1002" s="51">
        <v>1995</v>
      </c>
      <c r="E1002" s="53">
        <v>190008113</v>
      </c>
      <c r="F1002" s="53">
        <v>163550032</v>
      </c>
      <c r="G1002" s="53">
        <v>218117329</v>
      </c>
      <c r="H1002" s="53">
        <v>36557026</v>
      </c>
      <c r="I1002" s="54">
        <f t="shared" si="17"/>
        <v>608232500</v>
      </c>
      <c r="J1002" s="52">
        <v>0</v>
      </c>
      <c r="K1002" s="61"/>
      <c r="M1002" s="38" t="str">
        <f>IF([1]totrevprm!O1002="","",[1]totrevprm!O1002)</f>
        <v/>
      </c>
    </row>
    <row r="1003" spans="1:13">
      <c r="A1003" s="49" t="s">
        <v>53</v>
      </c>
      <c r="B1003" s="46" t="s">
        <v>788</v>
      </c>
      <c r="C1003" s="50" t="s">
        <v>732</v>
      </c>
      <c r="D1003" s="51">
        <v>1996</v>
      </c>
      <c r="E1003" s="53">
        <v>193636502</v>
      </c>
      <c r="F1003" s="53">
        <v>118717121</v>
      </c>
      <c r="G1003" s="53">
        <v>228259960</v>
      </c>
      <c r="H1003" s="53">
        <v>19699949</v>
      </c>
      <c r="I1003" s="54">
        <f t="shared" si="17"/>
        <v>560313532</v>
      </c>
      <c r="J1003" s="52">
        <v>0</v>
      </c>
      <c r="K1003" s="61"/>
      <c r="M1003" s="38" t="str">
        <f>IF([1]totrevprm!O1003="","",[1]totrevprm!O1003)</f>
        <v/>
      </c>
    </row>
    <row r="1004" spans="1:13">
      <c r="A1004" s="49" t="s">
        <v>53</v>
      </c>
      <c r="B1004" s="46" t="s">
        <v>788</v>
      </c>
      <c r="C1004" s="50" t="s">
        <v>732</v>
      </c>
      <c r="D1004" s="51">
        <v>1997</v>
      </c>
      <c r="E1004" s="53">
        <v>193559711</v>
      </c>
      <c r="F1004" s="53">
        <v>114621272</v>
      </c>
      <c r="G1004" s="53">
        <v>233730642</v>
      </c>
      <c r="H1004" s="53">
        <v>24378933</v>
      </c>
      <c r="I1004" s="54">
        <f t="shared" si="17"/>
        <v>566290558</v>
      </c>
      <c r="J1004" s="52">
        <v>0</v>
      </c>
      <c r="K1004" s="61"/>
      <c r="M1004" s="38" t="str">
        <f>IF([1]totrevprm!O1004="","",[1]totrevprm!O1004)</f>
        <v/>
      </c>
    </row>
    <row r="1005" spans="1:13">
      <c r="A1005" s="49" t="s">
        <v>53</v>
      </c>
      <c r="B1005" s="46" t="s">
        <v>788</v>
      </c>
      <c r="C1005" s="50" t="s">
        <v>732</v>
      </c>
      <c r="D1005" s="51">
        <v>1998</v>
      </c>
      <c r="E1005" s="53">
        <v>185814389</v>
      </c>
      <c r="F1005" s="53">
        <v>112354833</v>
      </c>
      <c r="G1005" s="53">
        <v>240114841</v>
      </c>
      <c r="H1005" s="53">
        <v>30435668</v>
      </c>
      <c r="I1005" s="54">
        <f t="shared" si="17"/>
        <v>568719731</v>
      </c>
      <c r="J1005" s="52">
        <v>0</v>
      </c>
      <c r="K1005" s="61"/>
      <c r="M1005" s="38" t="str">
        <f>IF([1]totrevprm!O1005="","",[1]totrevprm!O1005)</f>
        <v/>
      </c>
    </row>
    <row r="1006" spans="1:13">
      <c r="A1006" s="49" t="s">
        <v>53</v>
      </c>
      <c r="B1006" s="46" t="s">
        <v>788</v>
      </c>
      <c r="C1006" s="50" t="s">
        <v>732</v>
      </c>
      <c r="D1006" s="51">
        <v>1999</v>
      </c>
      <c r="E1006" s="53">
        <v>190832253</v>
      </c>
      <c r="F1006" s="53">
        <v>146602863</v>
      </c>
      <c r="G1006" s="53">
        <v>251313879</v>
      </c>
      <c r="H1006" s="53">
        <v>21499523</v>
      </c>
      <c r="I1006" s="54">
        <f t="shared" si="17"/>
        <v>610248518</v>
      </c>
      <c r="J1006" s="52">
        <v>0</v>
      </c>
      <c r="K1006" s="61"/>
      <c r="M1006" s="38" t="str">
        <f>IF([1]totrevprm!O1006="","",[1]totrevprm!O1006)</f>
        <v/>
      </c>
    </row>
    <row r="1007" spans="1:13">
      <c r="A1007" s="49" t="s">
        <v>53</v>
      </c>
      <c r="B1007" s="46" t="s">
        <v>788</v>
      </c>
      <c r="C1007" s="50" t="s">
        <v>732</v>
      </c>
      <c r="D1007" s="51">
        <v>2000</v>
      </c>
      <c r="E1007" s="53">
        <v>195293601</v>
      </c>
      <c r="F1007" s="53">
        <v>182761370</v>
      </c>
      <c r="G1007" s="53">
        <v>267438449</v>
      </c>
      <c r="H1007" s="53">
        <v>18416508</v>
      </c>
      <c r="I1007" s="54">
        <f t="shared" si="17"/>
        <v>663909928</v>
      </c>
      <c r="J1007" s="52">
        <v>0</v>
      </c>
      <c r="K1007" s="61"/>
      <c r="M1007" s="38" t="str">
        <f>IF([1]totrevprm!O1007="","",[1]totrevprm!O1007)</f>
        <v/>
      </c>
    </row>
    <row r="1008" spans="1:13">
      <c r="A1008" s="49" t="s">
        <v>53</v>
      </c>
      <c r="B1008" s="46" t="s">
        <v>788</v>
      </c>
      <c r="C1008" s="50" t="s">
        <v>732</v>
      </c>
      <c r="D1008" s="51">
        <v>2001</v>
      </c>
      <c r="E1008" s="53">
        <v>196489776</v>
      </c>
      <c r="F1008" s="53">
        <v>207425482</v>
      </c>
      <c r="G1008" s="53">
        <v>300463230</v>
      </c>
      <c r="H1008" s="53">
        <v>26302806</v>
      </c>
      <c r="I1008" s="54">
        <f t="shared" si="17"/>
        <v>730681294</v>
      </c>
      <c r="J1008" s="52">
        <v>0</v>
      </c>
      <c r="K1008" s="61"/>
      <c r="M1008" s="38" t="str">
        <f>IF([1]totrevprm!O1008="","",[1]totrevprm!O1008)</f>
        <v/>
      </c>
    </row>
    <row r="1009" spans="1:13">
      <c r="A1009" s="49" t="s">
        <v>53</v>
      </c>
      <c r="B1009" s="46" t="s">
        <v>788</v>
      </c>
      <c r="C1009" s="50" t="s">
        <v>732</v>
      </c>
      <c r="D1009" s="51">
        <v>2002</v>
      </c>
      <c r="E1009" s="53">
        <v>228114256</v>
      </c>
      <c r="F1009" s="53">
        <v>247001321</v>
      </c>
      <c r="G1009" s="53">
        <v>285510925</v>
      </c>
      <c r="H1009" s="53">
        <v>28760226</v>
      </c>
      <c r="I1009" s="54">
        <f t="shared" si="17"/>
        <v>789386728</v>
      </c>
      <c r="J1009" s="52">
        <v>0</v>
      </c>
      <c r="K1009" s="61"/>
      <c r="M1009" s="38" t="str">
        <f>IF([1]totrevprm!O1009="","",[1]totrevprm!O1009)</f>
        <v/>
      </c>
    </row>
    <row r="1010" spans="1:13">
      <c r="A1010" s="49" t="s">
        <v>53</v>
      </c>
      <c r="B1010" s="46" t="s">
        <v>788</v>
      </c>
      <c r="C1010" s="50" t="s">
        <v>752</v>
      </c>
      <c r="D1010" s="51">
        <v>2003</v>
      </c>
      <c r="E1010" s="55">
        <v>200687914</v>
      </c>
      <c r="F1010" s="55">
        <v>230912704</v>
      </c>
      <c r="G1010" s="55">
        <v>326378682</v>
      </c>
      <c r="H1010" s="55">
        <v>4039810</v>
      </c>
      <c r="I1010" s="54">
        <f t="shared" si="17"/>
        <v>762019110</v>
      </c>
      <c r="J1010" s="52">
        <v>1609793</v>
      </c>
      <c r="K1010" s="61" t="s">
        <v>736</v>
      </c>
      <c r="L1010" t="s">
        <v>720</v>
      </c>
      <c r="M1010" s="38" t="str">
        <f>IF([1]totrevprm!O1010="","",[1]totrevprm!O1010)</f>
        <v/>
      </c>
    </row>
    <row r="1011" spans="1:13">
      <c r="A1011" s="49" t="s">
        <v>53</v>
      </c>
      <c r="B1011" s="46" t="s">
        <v>788</v>
      </c>
      <c r="C1011" s="50" t="s">
        <v>732</v>
      </c>
      <c r="D1011" s="51">
        <v>2004</v>
      </c>
      <c r="E1011" s="55">
        <v>208199260</v>
      </c>
      <c r="F1011" s="55">
        <v>258729569</v>
      </c>
      <c r="G1011" s="55">
        <v>328163224</v>
      </c>
      <c r="H1011" s="55">
        <v>4882722</v>
      </c>
      <c r="I1011" s="54">
        <f t="shared" si="17"/>
        <v>799974775</v>
      </c>
      <c r="J1011" s="52">
        <v>1883841</v>
      </c>
      <c r="K1011" s="61" t="s">
        <v>736</v>
      </c>
      <c r="L1011" t="s">
        <v>720</v>
      </c>
      <c r="M1011" s="38" t="str">
        <f>IF([1]totrevprm!O1011="","",[1]totrevprm!O1011)</f>
        <v/>
      </c>
    </row>
    <row r="1012" spans="1:13">
      <c r="A1012" s="49" t="s">
        <v>53</v>
      </c>
      <c r="B1012" s="46" t="s">
        <v>788</v>
      </c>
      <c r="C1012" s="50"/>
      <c r="D1012" s="51">
        <v>2005</v>
      </c>
      <c r="E1012" s="55">
        <v>211045281</v>
      </c>
      <c r="F1012" s="55">
        <v>239443767</v>
      </c>
      <c r="G1012" s="55">
        <v>338709389</v>
      </c>
      <c r="H1012" s="55">
        <v>13418591</v>
      </c>
      <c r="I1012" s="54">
        <f t="shared" si="17"/>
        <v>802617028</v>
      </c>
      <c r="J1012" s="52">
        <v>903196</v>
      </c>
      <c r="K1012" s="61" t="s">
        <v>736</v>
      </c>
      <c r="L1012" t="s">
        <v>720</v>
      </c>
      <c r="M1012" s="38" t="str">
        <f>IF([1]totrevprm!O1012="","",[1]totrevprm!O1012)</f>
        <v/>
      </c>
    </row>
    <row r="1013" spans="1:13">
      <c r="A1013" s="49" t="s">
        <v>53</v>
      </c>
      <c r="B1013" s="46" t="s">
        <v>788</v>
      </c>
      <c r="C1013" s="50"/>
      <c r="D1013" s="51">
        <v>2006</v>
      </c>
      <c r="E1013" s="56">
        <v>227805187</v>
      </c>
      <c r="F1013" s="56">
        <v>250827065</v>
      </c>
      <c r="G1013" s="56">
        <v>358021964</v>
      </c>
      <c r="H1013" s="56">
        <v>8050515</v>
      </c>
      <c r="I1013" s="54">
        <f t="shared" si="17"/>
        <v>844704731</v>
      </c>
      <c r="J1013" s="52">
        <v>1438443</v>
      </c>
      <c r="K1013" s="61" t="s">
        <v>736</v>
      </c>
      <c r="L1013" t="s">
        <v>720</v>
      </c>
      <c r="M1013" s="38" t="str">
        <f>IF([1]totrevprm!O1013="","",[1]totrevprm!O1013)</f>
        <v/>
      </c>
    </row>
    <row r="1014" spans="1:13">
      <c r="A1014" s="49" t="s">
        <v>53</v>
      </c>
      <c r="B1014" s="46" t="s">
        <v>788</v>
      </c>
      <c r="C1014" s="50"/>
      <c r="D1014" s="51">
        <v>2007</v>
      </c>
      <c r="E1014" s="56">
        <v>245059396</v>
      </c>
      <c r="F1014" s="56">
        <v>238595697</v>
      </c>
      <c r="G1014" s="56">
        <v>432056095</v>
      </c>
      <c r="H1014" s="56">
        <v>24306100</v>
      </c>
      <c r="I1014" s="54">
        <f t="shared" si="17"/>
        <v>940017288</v>
      </c>
      <c r="J1014" s="52">
        <v>871548</v>
      </c>
      <c r="K1014" s="61" t="s">
        <v>736</v>
      </c>
      <c r="L1014" t="s">
        <v>720</v>
      </c>
      <c r="M1014" s="38" t="str">
        <f>IF([1]totrevprm!O1014="","",[1]totrevprm!O1014)</f>
        <v/>
      </c>
    </row>
    <row r="1015" spans="1:13">
      <c r="A1015" s="49" t="s">
        <v>53</v>
      </c>
      <c r="B1015" s="46" t="s">
        <v>788</v>
      </c>
      <c r="C1015" s="50"/>
      <c r="D1015" s="51">
        <v>2008</v>
      </c>
      <c r="E1015" s="56">
        <v>260776679</v>
      </c>
      <c r="F1015" s="56">
        <v>319463772</v>
      </c>
      <c r="G1015" s="56">
        <v>471542573</v>
      </c>
      <c r="H1015" s="56">
        <v>7582004</v>
      </c>
      <c r="I1015" s="54">
        <f t="shared" si="17"/>
        <v>1059365028</v>
      </c>
      <c r="J1015" s="52">
        <v>1369555</v>
      </c>
      <c r="K1015" s="61" t="s">
        <v>736</v>
      </c>
      <c r="L1015" t="s">
        <v>720</v>
      </c>
      <c r="M1015" s="38" t="str">
        <f>IF([1]totrevprm!O1015="","",[1]totrevprm!O1015)</f>
        <v/>
      </c>
    </row>
    <row r="1016" spans="1:13">
      <c r="A1016" s="49" t="s">
        <v>53</v>
      </c>
      <c r="B1016" s="46" t="s">
        <v>788</v>
      </c>
      <c r="C1016" s="50"/>
      <c r="D1016" s="51">
        <v>2009</v>
      </c>
      <c r="E1016" s="56">
        <v>296416646</v>
      </c>
      <c r="F1016" s="56">
        <v>312026561</v>
      </c>
      <c r="G1016" s="56">
        <v>498434550</v>
      </c>
      <c r="H1016" s="56">
        <v>8873352</v>
      </c>
      <c r="I1016" s="54">
        <f t="shared" si="17"/>
        <v>1115751109</v>
      </c>
      <c r="J1016" s="52">
        <v>1127744</v>
      </c>
      <c r="K1016" s="61" t="s">
        <v>736</v>
      </c>
      <c r="L1016" t="s">
        <v>720</v>
      </c>
      <c r="M1016" s="38" t="str">
        <f>IF([1]totrevprm!O1016="","",[1]totrevprm!O1016)</f>
        <v/>
      </c>
    </row>
    <row r="1017" spans="1:13">
      <c r="A1017" s="49" t="s">
        <v>53</v>
      </c>
      <c r="B1017" s="46" t="s">
        <v>788</v>
      </c>
      <c r="C1017" s="50"/>
      <c r="D1017" s="51">
        <v>2010</v>
      </c>
      <c r="E1017" s="56">
        <v>302627018</v>
      </c>
      <c r="F1017" s="52">
        <v>307916293</v>
      </c>
      <c r="G1017" s="56">
        <v>551070428</v>
      </c>
      <c r="H1017" s="56">
        <v>4080653</v>
      </c>
      <c r="I1017" s="54">
        <f t="shared" si="17"/>
        <v>1165694392</v>
      </c>
      <c r="J1017" s="52">
        <v>1029482</v>
      </c>
      <c r="K1017" s="61" t="s">
        <v>736</v>
      </c>
      <c r="L1017" t="s">
        <v>720</v>
      </c>
      <c r="M1017" s="38" t="str">
        <f>IF([1]totrevprm!O1017="","",[1]totrevprm!O1017)</f>
        <v/>
      </c>
    </row>
    <row r="1018" spans="1:13">
      <c r="A1018" s="49" t="s">
        <v>53</v>
      </c>
      <c r="B1018" s="46" t="s">
        <v>788</v>
      </c>
      <c r="C1018" s="50"/>
      <c r="D1018" s="51">
        <v>2011</v>
      </c>
      <c r="E1018" s="56">
        <v>315228909</v>
      </c>
      <c r="F1018" s="52">
        <v>318516072</v>
      </c>
      <c r="G1018" s="56">
        <v>496465446</v>
      </c>
      <c r="H1018" s="56">
        <v>6685346</v>
      </c>
      <c r="I1018" s="54">
        <f t="shared" si="17"/>
        <v>1136895773</v>
      </c>
      <c r="J1018" s="52">
        <v>1274739</v>
      </c>
      <c r="K1018" s="61" t="s">
        <v>736</v>
      </c>
      <c r="L1018" t="s">
        <v>720</v>
      </c>
      <c r="M1018" s="38" t="str">
        <f>IF([1]totrevprm!O1018="","",[1]totrevprm!O1018)</f>
        <v/>
      </c>
    </row>
    <row r="1019" spans="1:13">
      <c r="A1019" s="49" t="s">
        <v>53</v>
      </c>
      <c r="B1019" s="46" t="s">
        <v>788</v>
      </c>
      <c r="C1019" s="50"/>
      <c r="D1019" s="51">
        <v>2012</v>
      </c>
      <c r="E1019" s="56">
        <v>330777643</v>
      </c>
      <c r="F1019" s="52">
        <v>311430804</v>
      </c>
      <c r="G1019" s="56">
        <v>462625440</v>
      </c>
      <c r="H1019" s="56">
        <v>23790523</v>
      </c>
      <c r="I1019" s="54">
        <f t="shared" si="17"/>
        <v>1128624410</v>
      </c>
      <c r="J1019" s="52">
        <v>1766233</v>
      </c>
      <c r="K1019" s="61" t="s">
        <v>736</v>
      </c>
      <c r="L1019" t="s">
        <v>720</v>
      </c>
      <c r="M1019" s="38" t="str">
        <f>IF([1]totrevprm!O1019="","",[1]totrevprm!O1019)</f>
        <v/>
      </c>
    </row>
    <row r="1020" spans="1:13">
      <c r="A1020" s="49" t="s">
        <v>53</v>
      </c>
      <c r="B1020" s="46" t="s">
        <v>788</v>
      </c>
      <c r="C1020" s="50"/>
      <c r="D1020" s="51">
        <v>2013</v>
      </c>
      <c r="E1020" s="56">
        <v>333294027</v>
      </c>
      <c r="F1020" s="52">
        <v>313268321</v>
      </c>
      <c r="G1020" s="56">
        <v>635815556</v>
      </c>
      <c r="H1020" s="56">
        <v>13576128</v>
      </c>
      <c r="I1020" s="54">
        <f t="shared" si="17"/>
        <v>1295954032</v>
      </c>
      <c r="J1020" s="52">
        <v>3425813</v>
      </c>
      <c r="K1020" s="61" t="s">
        <v>736</v>
      </c>
      <c r="L1020" t="s">
        <v>720</v>
      </c>
      <c r="M1020" s="38" t="str">
        <f>IF([1]totrevprm!O1020="","",[1]totrevprm!O1020)</f>
        <v/>
      </c>
    </row>
    <row r="1021" spans="1:13">
      <c r="A1021" s="49" t="s">
        <v>53</v>
      </c>
      <c r="B1021" s="46" t="s">
        <v>788</v>
      </c>
      <c r="C1021" s="50"/>
      <c r="D1021" s="51">
        <v>2014</v>
      </c>
      <c r="E1021" s="56">
        <v>368543193</v>
      </c>
      <c r="F1021" s="56">
        <v>335464229</v>
      </c>
      <c r="G1021" s="56">
        <v>937114389</v>
      </c>
      <c r="H1021" s="56">
        <v>4411758</v>
      </c>
      <c r="I1021" s="54">
        <f t="shared" si="17"/>
        <v>1645533569</v>
      </c>
      <c r="J1021" s="52">
        <v>9162283</v>
      </c>
      <c r="K1021" s="61" t="s">
        <v>736</v>
      </c>
      <c r="L1021" t="s">
        <v>720</v>
      </c>
      <c r="M1021" s="38" t="str">
        <f>IF([1]totrevprm!O1021="","",[1]totrevprm!O1021)</f>
        <v/>
      </c>
    </row>
    <row r="1022" spans="1:13">
      <c r="A1022" s="49" t="s">
        <v>53</v>
      </c>
      <c r="B1022" s="46" t="s">
        <v>788</v>
      </c>
      <c r="C1022" s="50"/>
      <c r="D1022" s="51">
        <v>2015</v>
      </c>
      <c r="E1022" s="56">
        <v>370847924</v>
      </c>
      <c r="F1022" s="56">
        <v>342280331</v>
      </c>
      <c r="G1022" s="56">
        <v>888161790</v>
      </c>
      <c r="H1022" s="56">
        <v>6345206</v>
      </c>
      <c r="I1022" s="54">
        <f t="shared" si="17"/>
        <v>1607635251</v>
      </c>
      <c r="J1022" s="52">
        <v>6698294</v>
      </c>
      <c r="K1022" s="61" t="s">
        <v>736</v>
      </c>
      <c r="L1022" t="s">
        <v>720</v>
      </c>
      <c r="M1022" s="38" t="str">
        <f>IF([1]totrevprm!O1022="","",[1]totrevprm!O1022)</f>
        <v/>
      </c>
    </row>
    <row r="1023" spans="1:13">
      <c r="A1023" s="49" t="s">
        <v>53</v>
      </c>
      <c r="B1023" s="46" t="s">
        <v>788</v>
      </c>
      <c r="C1023" s="50"/>
      <c r="D1023" s="51">
        <v>2016</v>
      </c>
      <c r="E1023" s="56">
        <v>362545507</v>
      </c>
      <c r="F1023" s="56">
        <v>431787509</v>
      </c>
      <c r="G1023" s="56">
        <v>939752785</v>
      </c>
      <c r="H1023" s="56">
        <v>5691358</v>
      </c>
      <c r="I1023" s="54">
        <f t="shared" si="17"/>
        <v>1739777159</v>
      </c>
      <c r="J1023" s="52">
        <v>3055255</v>
      </c>
      <c r="K1023" s="61" t="s">
        <v>736</v>
      </c>
      <c r="L1023" t="s">
        <v>720</v>
      </c>
      <c r="M1023" s="38" t="str">
        <f>IF([1]totrevprm!O1023="","",[1]totrevprm!O1023)</f>
        <v/>
      </c>
    </row>
    <row r="1024" spans="1:13">
      <c r="A1024" s="49" t="s">
        <v>53</v>
      </c>
      <c r="B1024" s="46" t="s">
        <v>788</v>
      </c>
      <c r="C1024" s="50"/>
      <c r="D1024" s="51">
        <v>2017</v>
      </c>
      <c r="E1024" s="56">
        <v>381525958</v>
      </c>
      <c r="F1024" s="56">
        <v>376244692</v>
      </c>
      <c r="G1024" s="56">
        <v>1040573840</v>
      </c>
      <c r="H1024" s="56">
        <v>18105376</v>
      </c>
      <c r="I1024" s="54">
        <f t="shared" si="17"/>
        <v>1816449866</v>
      </c>
      <c r="J1024" s="56">
        <v>2864006</v>
      </c>
      <c r="K1024" s="61" t="s">
        <v>736</v>
      </c>
      <c r="L1024" t="s">
        <v>720</v>
      </c>
      <c r="M1024" s="38" t="str">
        <f>IF([1]totrevprm!O1024="","",[1]totrevprm!O1024)</f>
        <v/>
      </c>
    </row>
    <row r="1025" spans="1:13">
      <c r="A1025" s="49" t="s">
        <v>53</v>
      </c>
      <c r="B1025" s="46" t="s">
        <v>788</v>
      </c>
      <c r="C1025" s="50"/>
      <c r="D1025" s="51">
        <v>2018</v>
      </c>
      <c r="E1025" s="56">
        <v>385539494</v>
      </c>
      <c r="F1025" s="56">
        <v>397661704</v>
      </c>
      <c r="G1025" s="56">
        <v>1045093299.34</v>
      </c>
      <c r="H1025" s="56">
        <v>6029299</v>
      </c>
      <c r="I1025" s="54">
        <f t="shared" si="17"/>
        <v>1834323796.3400002</v>
      </c>
      <c r="J1025" s="56">
        <v>2842316</v>
      </c>
      <c r="K1025" s="61" t="s">
        <v>736</v>
      </c>
      <c r="L1025" t="s">
        <v>720</v>
      </c>
      <c r="M1025" s="38" t="str">
        <f>IF([1]totrevprm!O1025="","",[1]totrevprm!O1025)</f>
        <v/>
      </c>
    </row>
    <row r="1026" spans="1:13">
      <c r="A1026" s="49" t="s">
        <v>53</v>
      </c>
      <c r="B1026" s="46" t="s">
        <v>788</v>
      </c>
      <c r="C1026" s="50"/>
      <c r="D1026" s="51">
        <v>2019</v>
      </c>
      <c r="E1026" s="56">
        <v>401318680</v>
      </c>
      <c r="F1026" s="56">
        <v>392506573</v>
      </c>
      <c r="G1026" s="56">
        <v>901829898.08029997</v>
      </c>
      <c r="H1026" s="56">
        <v>3089837</v>
      </c>
      <c r="I1026" s="54">
        <f t="shared" si="17"/>
        <v>1698744988.0802999</v>
      </c>
      <c r="J1026" s="56">
        <v>5289964</v>
      </c>
      <c r="K1026" s="61" t="s">
        <v>736</v>
      </c>
      <c r="L1026" t="s">
        <v>720</v>
      </c>
      <c r="M1026" s="38" t="str">
        <f>IF([1]totrevprm!O1026="","",[1]totrevprm!O1026)</f>
        <v/>
      </c>
    </row>
    <row r="1027" spans="1:13">
      <c r="A1027" s="49" t="s">
        <v>53</v>
      </c>
      <c r="B1027" s="46" t="s">
        <v>788</v>
      </c>
      <c r="C1027" s="50"/>
      <c r="D1027" s="51">
        <v>2020</v>
      </c>
      <c r="E1027" s="56">
        <v>455360804</v>
      </c>
      <c r="F1027" s="56">
        <v>365028601</v>
      </c>
      <c r="G1027" s="56">
        <v>934546601</v>
      </c>
      <c r="H1027" s="56">
        <v>8581032</v>
      </c>
      <c r="I1027" s="54">
        <f t="shared" si="17"/>
        <v>1763517038</v>
      </c>
      <c r="J1027" s="56">
        <v>2813825</v>
      </c>
      <c r="K1027" s="61" t="s">
        <v>787</v>
      </c>
      <c r="L1027" t="s">
        <v>720</v>
      </c>
      <c r="M1027" s="38" t="str">
        <f>IF([1]totrevprm!O1027="","",[1]totrevprm!O1027)</f>
        <v>Yes</v>
      </c>
    </row>
    <row r="1028" spans="1:13">
      <c r="A1028" s="49" t="s">
        <v>53</v>
      </c>
      <c r="B1028" s="46" t="s">
        <v>788</v>
      </c>
      <c r="C1028" s="50"/>
      <c r="D1028" s="51">
        <v>2021</v>
      </c>
      <c r="E1028" s="56">
        <v>448547938</v>
      </c>
      <c r="F1028" s="56">
        <v>553104905</v>
      </c>
      <c r="G1028" s="56">
        <v>1298337136</v>
      </c>
      <c r="H1028" s="56">
        <v>6083836</v>
      </c>
      <c r="I1028" s="54">
        <f t="shared" si="17"/>
        <v>2306073815</v>
      </c>
      <c r="J1028" s="52">
        <v>0</v>
      </c>
      <c r="K1028" s="61" t="s">
        <v>739</v>
      </c>
      <c r="L1028" t="s">
        <v>720</v>
      </c>
      <c r="M1028" s="38" t="s">
        <v>720</v>
      </c>
    </row>
    <row r="1029" spans="1:13">
      <c r="A1029" s="49" t="s">
        <v>53</v>
      </c>
      <c r="B1029" s="46" t="s">
        <v>788</v>
      </c>
      <c r="C1029" s="50"/>
      <c r="D1029" s="51">
        <v>2022</v>
      </c>
      <c r="E1029" s="56">
        <v>448794203</v>
      </c>
      <c r="F1029" s="56">
        <v>517868663</v>
      </c>
      <c r="G1029" s="56">
        <v>1428461407</v>
      </c>
      <c r="H1029" s="56">
        <v>2853869</v>
      </c>
      <c r="I1029" s="54">
        <f t="shared" si="17"/>
        <v>2397978142</v>
      </c>
      <c r="J1029" s="52">
        <v>0</v>
      </c>
      <c r="K1029" s="61" t="s">
        <v>739</v>
      </c>
      <c r="L1029" t="s">
        <v>720</v>
      </c>
      <c r="M1029" s="38" t="str">
        <f>IF([1]totrevprm!O1032="","",[1]totrevprm!O1032)</f>
        <v/>
      </c>
    </row>
    <row r="1030" spans="1:13">
      <c r="A1030" s="49" t="s">
        <v>53</v>
      </c>
      <c r="B1030" s="46" t="s">
        <v>788</v>
      </c>
      <c r="C1030" s="50"/>
      <c r="D1030" s="51">
        <v>2023</v>
      </c>
      <c r="E1030" s="56">
        <v>466237236</v>
      </c>
      <c r="F1030" s="56">
        <v>755556760.42929995</v>
      </c>
      <c r="G1030" s="56">
        <v>1534042834</v>
      </c>
      <c r="H1030" s="56">
        <v>8133980</v>
      </c>
      <c r="I1030" s="54">
        <f t="shared" ref="I1030:I1095" si="18">SUM(E1030:H1030)</f>
        <v>2763970810.4292998</v>
      </c>
      <c r="J1030" s="52">
        <v>0</v>
      </c>
      <c r="K1030" s="61" t="s">
        <v>739</v>
      </c>
      <c r="M1030" s="38"/>
    </row>
    <row r="1031" spans="1:13">
      <c r="A1031" s="49" t="s">
        <v>53</v>
      </c>
      <c r="B1031" s="46" t="s">
        <v>788</v>
      </c>
      <c r="C1031" s="50"/>
      <c r="D1031" s="57">
        <v>2024</v>
      </c>
      <c r="E1031" s="52">
        <v>495473105.08999997</v>
      </c>
      <c r="F1031" s="52">
        <v>848979913.88</v>
      </c>
      <c r="G1031" s="52">
        <v>1694643765.4000001</v>
      </c>
      <c r="H1031" s="52">
        <v>6576723.3700000001</v>
      </c>
      <c r="I1031" s="54">
        <f t="shared" si="18"/>
        <v>3045673507.7399998</v>
      </c>
      <c r="J1031" s="56">
        <v>0</v>
      </c>
      <c r="K1031" s="61" t="s">
        <v>739</v>
      </c>
      <c r="M1031" s="38"/>
    </row>
    <row r="1032" spans="1:13">
      <c r="A1032" s="49"/>
      <c r="B1032" s="50"/>
      <c r="C1032" s="50"/>
      <c r="E1032" s="53"/>
      <c r="F1032" s="53"/>
      <c r="G1032" s="53"/>
      <c r="H1032" s="53"/>
      <c r="I1032" s="54"/>
      <c r="J1032" s="52"/>
      <c r="K1032" s="61"/>
      <c r="M1032" s="38"/>
    </row>
    <row r="1033" spans="1:13">
      <c r="A1033" s="49" t="s">
        <v>54</v>
      </c>
      <c r="B1033" s="46" t="s">
        <v>789</v>
      </c>
      <c r="C1033" s="50" t="s">
        <v>731</v>
      </c>
      <c r="D1033" s="51">
        <v>1988</v>
      </c>
      <c r="E1033" s="53">
        <v>433750438</v>
      </c>
      <c r="F1033" s="53">
        <v>418065185</v>
      </c>
      <c r="G1033" s="53">
        <v>629941666</v>
      </c>
      <c r="H1033" s="53">
        <v>0</v>
      </c>
      <c r="I1033" s="54">
        <f t="shared" si="18"/>
        <v>1481757289</v>
      </c>
      <c r="J1033" s="52">
        <v>0</v>
      </c>
      <c r="K1033" s="61"/>
      <c r="M1033" s="38" t="str">
        <f>IF([1]totrevprm!O1033="","",[1]totrevprm!O1033)</f>
        <v/>
      </c>
    </row>
    <row r="1034" spans="1:13">
      <c r="A1034" s="49" t="s">
        <v>54</v>
      </c>
      <c r="B1034" s="46" t="s">
        <v>789</v>
      </c>
      <c r="C1034" s="50" t="s">
        <v>732</v>
      </c>
      <c r="D1034" s="51">
        <v>1989</v>
      </c>
      <c r="E1034" s="53">
        <v>398868887</v>
      </c>
      <c r="F1034" s="53">
        <v>450436550</v>
      </c>
      <c r="G1034" s="53">
        <v>678877041</v>
      </c>
      <c r="H1034" s="53">
        <v>0</v>
      </c>
      <c r="I1034" s="54">
        <f t="shared" si="18"/>
        <v>1528182478</v>
      </c>
      <c r="J1034" s="52">
        <v>0</v>
      </c>
      <c r="K1034" s="61"/>
      <c r="M1034" s="38" t="str">
        <f>IF([1]totrevprm!O1034="","",[1]totrevprm!O1034)</f>
        <v/>
      </c>
    </row>
    <row r="1035" spans="1:13">
      <c r="A1035" s="49" t="s">
        <v>54</v>
      </c>
      <c r="B1035" s="46" t="s">
        <v>789</v>
      </c>
      <c r="C1035" s="50" t="s">
        <v>732</v>
      </c>
      <c r="D1035" s="51">
        <v>1990</v>
      </c>
      <c r="E1035" s="53">
        <v>421996673</v>
      </c>
      <c r="F1035" s="53">
        <v>467201546.16000003</v>
      </c>
      <c r="G1035" s="53">
        <v>765338463</v>
      </c>
      <c r="H1035" s="53">
        <v>0</v>
      </c>
      <c r="I1035" s="54">
        <f t="shared" si="18"/>
        <v>1654536682.1600001</v>
      </c>
      <c r="J1035" s="52">
        <v>0</v>
      </c>
      <c r="K1035" s="61"/>
      <c r="M1035" s="38" t="str">
        <f>IF([1]totrevprm!O1035="","",[1]totrevprm!O1035)</f>
        <v/>
      </c>
    </row>
    <row r="1036" spans="1:13">
      <c r="A1036" s="49" t="s">
        <v>54</v>
      </c>
      <c r="B1036" s="46" t="s">
        <v>789</v>
      </c>
      <c r="C1036" s="50" t="s">
        <v>732</v>
      </c>
      <c r="D1036" s="51">
        <v>1991</v>
      </c>
      <c r="E1036" s="53">
        <v>470693992</v>
      </c>
      <c r="F1036" s="53">
        <v>480634914</v>
      </c>
      <c r="G1036" s="53">
        <v>809821032</v>
      </c>
      <c r="H1036" s="53">
        <v>0</v>
      </c>
      <c r="I1036" s="54">
        <f t="shared" si="18"/>
        <v>1761149938</v>
      </c>
      <c r="J1036" s="52">
        <v>0</v>
      </c>
      <c r="K1036" s="61"/>
      <c r="M1036" s="38" t="str">
        <f>IF([1]totrevprm!O1036="","",[1]totrevprm!O1036)</f>
        <v/>
      </c>
    </row>
    <row r="1037" spans="1:13">
      <c r="A1037" s="49" t="s">
        <v>54</v>
      </c>
      <c r="B1037" s="46" t="s">
        <v>789</v>
      </c>
      <c r="C1037" s="50" t="s">
        <v>732</v>
      </c>
      <c r="D1037" s="51">
        <v>1992</v>
      </c>
      <c r="E1037" s="53">
        <v>488454238</v>
      </c>
      <c r="F1037" s="53">
        <v>439973744.92000002</v>
      </c>
      <c r="G1037" s="53">
        <v>873692323</v>
      </c>
      <c r="H1037" s="53">
        <v>0</v>
      </c>
      <c r="I1037" s="54">
        <f t="shared" si="18"/>
        <v>1802120305.9200001</v>
      </c>
      <c r="J1037" s="52">
        <v>0</v>
      </c>
      <c r="K1037" s="61"/>
      <c r="M1037" s="38" t="str">
        <f>IF([1]totrevprm!O1037="","",[1]totrevprm!O1037)</f>
        <v/>
      </c>
    </row>
    <row r="1038" spans="1:13">
      <c r="A1038" s="49" t="s">
        <v>54</v>
      </c>
      <c r="B1038" s="46" t="s">
        <v>789</v>
      </c>
      <c r="C1038" s="50" t="s">
        <v>732</v>
      </c>
      <c r="D1038" s="51">
        <v>1993</v>
      </c>
      <c r="E1038" s="53">
        <v>493313156</v>
      </c>
      <c r="F1038" s="53">
        <v>345751489</v>
      </c>
      <c r="G1038" s="53">
        <v>938737324</v>
      </c>
      <c r="H1038" s="53">
        <v>0</v>
      </c>
      <c r="I1038" s="54">
        <f t="shared" si="18"/>
        <v>1777801969</v>
      </c>
      <c r="J1038" s="52">
        <v>0</v>
      </c>
      <c r="K1038" s="61"/>
      <c r="M1038" s="38" t="str">
        <f>IF([1]totrevprm!O1038="","",[1]totrevprm!O1038)</f>
        <v/>
      </c>
    </row>
    <row r="1039" spans="1:13">
      <c r="A1039" s="49" t="s">
        <v>54</v>
      </c>
      <c r="B1039" s="46" t="s">
        <v>789</v>
      </c>
      <c r="C1039" s="50" t="s">
        <v>732</v>
      </c>
      <c r="D1039" s="51">
        <v>1994</v>
      </c>
      <c r="E1039" s="53">
        <v>540223282</v>
      </c>
      <c r="F1039" s="53">
        <v>712764436</v>
      </c>
      <c r="G1039" s="53">
        <v>910908244</v>
      </c>
      <c r="H1039" s="53">
        <v>0</v>
      </c>
      <c r="I1039" s="54">
        <f t="shared" si="18"/>
        <v>2163895962</v>
      </c>
      <c r="J1039" s="52">
        <v>0</v>
      </c>
      <c r="K1039" s="61"/>
      <c r="M1039" s="38" t="str">
        <f>IF([1]totrevprm!O1039="","",[1]totrevprm!O1039)</f>
        <v/>
      </c>
    </row>
    <row r="1040" spans="1:13">
      <c r="A1040" s="49" t="s">
        <v>54</v>
      </c>
      <c r="B1040" s="46" t="s">
        <v>789</v>
      </c>
      <c r="C1040" s="50" t="s">
        <v>732</v>
      </c>
      <c r="D1040" s="51">
        <v>1995</v>
      </c>
      <c r="E1040" s="53">
        <v>580304048</v>
      </c>
      <c r="F1040" s="53">
        <v>1088285987</v>
      </c>
      <c r="G1040" s="53">
        <v>946054978</v>
      </c>
      <c r="H1040" s="53">
        <v>0</v>
      </c>
      <c r="I1040" s="54">
        <f t="shared" si="18"/>
        <v>2614645013</v>
      </c>
      <c r="J1040" s="52">
        <v>0</v>
      </c>
      <c r="K1040" s="61"/>
      <c r="M1040" s="38" t="str">
        <f>IF([1]totrevprm!O1040="","",[1]totrevprm!O1040)</f>
        <v/>
      </c>
    </row>
    <row r="1041" spans="1:13">
      <c r="A1041" s="49" t="s">
        <v>54</v>
      </c>
      <c r="B1041" s="46" t="s">
        <v>789</v>
      </c>
      <c r="C1041" s="50" t="s">
        <v>732</v>
      </c>
      <c r="D1041" s="51">
        <v>1996</v>
      </c>
      <c r="E1041" s="53">
        <v>573723813</v>
      </c>
      <c r="F1041" s="53">
        <v>672044173</v>
      </c>
      <c r="G1041" s="53">
        <v>984252981</v>
      </c>
      <c r="H1041" s="53">
        <v>0</v>
      </c>
      <c r="I1041" s="54">
        <f t="shared" si="18"/>
        <v>2230020967</v>
      </c>
      <c r="J1041" s="52">
        <v>0</v>
      </c>
      <c r="K1041" s="61"/>
      <c r="M1041" s="38" t="str">
        <f>IF([1]totrevprm!O1041="","",[1]totrevprm!O1041)</f>
        <v/>
      </c>
    </row>
    <row r="1042" spans="1:13">
      <c r="A1042" s="49" t="s">
        <v>54</v>
      </c>
      <c r="B1042" s="46" t="s">
        <v>789</v>
      </c>
      <c r="C1042" s="50" t="s">
        <v>732</v>
      </c>
      <c r="D1042" s="51">
        <v>1997</v>
      </c>
      <c r="E1042" s="53">
        <v>574539177</v>
      </c>
      <c r="F1042" s="53">
        <v>814868462</v>
      </c>
      <c r="G1042" s="53">
        <v>1034818205</v>
      </c>
      <c r="H1042" s="53">
        <v>0</v>
      </c>
      <c r="I1042" s="54">
        <f t="shared" si="18"/>
        <v>2424225844</v>
      </c>
      <c r="J1042" s="52">
        <v>0</v>
      </c>
      <c r="K1042" s="61"/>
      <c r="M1042" s="38" t="str">
        <f>IF([1]totrevprm!O1042="","",[1]totrevprm!O1042)</f>
        <v/>
      </c>
    </row>
    <row r="1043" spans="1:13">
      <c r="A1043" s="49" t="s">
        <v>54</v>
      </c>
      <c r="B1043" s="46" t="s">
        <v>789</v>
      </c>
      <c r="C1043" s="50" t="s">
        <v>732</v>
      </c>
      <c r="D1043" s="51">
        <v>1998</v>
      </c>
      <c r="E1043" s="53">
        <v>582942458</v>
      </c>
      <c r="F1043" s="53">
        <v>782597180</v>
      </c>
      <c r="G1043" s="53">
        <v>1122058076</v>
      </c>
      <c r="H1043" s="53">
        <v>0</v>
      </c>
      <c r="I1043" s="54">
        <f t="shared" si="18"/>
        <v>2487597714</v>
      </c>
      <c r="J1043" s="52">
        <v>0</v>
      </c>
      <c r="K1043" s="61"/>
      <c r="M1043" s="38" t="str">
        <f>IF([1]totrevprm!O1043="","",[1]totrevprm!O1043)</f>
        <v/>
      </c>
    </row>
    <row r="1044" spans="1:13">
      <c r="A1044" s="49" t="s">
        <v>54</v>
      </c>
      <c r="B1044" s="46" t="s">
        <v>789</v>
      </c>
      <c r="C1044" s="50" t="s">
        <v>732</v>
      </c>
      <c r="D1044" s="51">
        <v>1999</v>
      </c>
      <c r="E1044" s="53">
        <v>577215782</v>
      </c>
      <c r="F1044" s="53">
        <v>814694416</v>
      </c>
      <c r="G1044" s="53">
        <v>1223157898</v>
      </c>
      <c r="H1044" s="53">
        <v>0</v>
      </c>
      <c r="I1044" s="54">
        <f t="shared" si="18"/>
        <v>2615068096</v>
      </c>
      <c r="J1044" s="52">
        <v>0</v>
      </c>
      <c r="K1044" s="61"/>
      <c r="M1044" s="38" t="str">
        <f>IF([1]totrevprm!O1044="","",[1]totrevprm!O1044)</f>
        <v/>
      </c>
    </row>
    <row r="1045" spans="1:13">
      <c r="A1045" s="49" t="s">
        <v>54</v>
      </c>
      <c r="B1045" s="46" t="s">
        <v>789</v>
      </c>
      <c r="C1045" s="50" t="s">
        <v>732</v>
      </c>
      <c r="D1045" s="51">
        <v>2000</v>
      </c>
      <c r="E1045" s="53">
        <v>641780187</v>
      </c>
      <c r="F1045" s="53">
        <v>1019551159</v>
      </c>
      <c r="G1045" s="53">
        <v>1409656259</v>
      </c>
      <c r="H1045" s="53">
        <v>0</v>
      </c>
      <c r="I1045" s="54">
        <f t="shared" si="18"/>
        <v>3070987605</v>
      </c>
      <c r="J1045" s="52">
        <v>0</v>
      </c>
      <c r="K1045" s="61"/>
      <c r="M1045" s="38" t="str">
        <f>IF([1]totrevprm!O1045="","",[1]totrevprm!O1045)</f>
        <v/>
      </c>
    </row>
    <row r="1046" spans="1:13">
      <c r="A1046" s="49" t="s">
        <v>54</v>
      </c>
      <c r="B1046" s="46" t="s">
        <v>789</v>
      </c>
      <c r="C1046" s="50" t="s">
        <v>790</v>
      </c>
      <c r="D1046" s="51">
        <v>2001</v>
      </c>
      <c r="E1046" s="53">
        <v>699068536</v>
      </c>
      <c r="F1046" s="53">
        <v>1057962159</v>
      </c>
      <c r="G1046" s="53">
        <v>1548095887</v>
      </c>
      <c r="H1046" s="53">
        <v>0</v>
      </c>
      <c r="I1046" s="54">
        <f t="shared" si="18"/>
        <v>3305126582</v>
      </c>
      <c r="J1046" s="52">
        <v>0</v>
      </c>
      <c r="K1046" s="61"/>
      <c r="M1046" s="38" t="str">
        <f>IF([1]totrevprm!O1046="","",[1]totrevprm!O1046)</f>
        <v/>
      </c>
    </row>
    <row r="1047" spans="1:13">
      <c r="A1047" s="49" t="s">
        <v>54</v>
      </c>
      <c r="B1047" s="46" t="s">
        <v>789</v>
      </c>
      <c r="C1047" s="50" t="s">
        <v>732</v>
      </c>
      <c r="D1047" s="51">
        <v>2002</v>
      </c>
      <c r="E1047" s="53">
        <v>627399997</v>
      </c>
      <c r="F1047" s="53">
        <v>1179581157</v>
      </c>
      <c r="G1047" s="53">
        <v>1593082767</v>
      </c>
      <c r="H1047" s="53">
        <v>0</v>
      </c>
      <c r="I1047" s="54">
        <f t="shared" si="18"/>
        <v>3400063921</v>
      </c>
      <c r="J1047" s="52">
        <v>0</v>
      </c>
      <c r="K1047" s="61"/>
      <c r="M1047" s="38" t="str">
        <f>IF([1]totrevprm!O1047="","",[1]totrevprm!O1047)</f>
        <v/>
      </c>
    </row>
    <row r="1048" spans="1:13">
      <c r="A1048" s="49" t="s">
        <v>54</v>
      </c>
      <c r="B1048" s="46" t="s">
        <v>789</v>
      </c>
      <c r="C1048" s="50" t="s">
        <v>732</v>
      </c>
      <c r="D1048" s="51">
        <v>2003</v>
      </c>
      <c r="E1048" s="55">
        <v>664892755</v>
      </c>
      <c r="F1048" s="55">
        <v>1082884777</v>
      </c>
      <c r="G1048" s="55">
        <v>1690586227</v>
      </c>
      <c r="H1048" s="53">
        <v>0</v>
      </c>
      <c r="I1048" s="54">
        <f t="shared" si="18"/>
        <v>3438363759</v>
      </c>
      <c r="J1048" s="52">
        <v>0</v>
      </c>
      <c r="K1048" s="61"/>
      <c r="M1048" s="38" t="str">
        <f>IF([1]totrevprm!O1048="","",[1]totrevprm!O1048)</f>
        <v/>
      </c>
    </row>
    <row r="1049" spans="1:13">
      <c r="A1049" s="49" t="s">
        <v>54</v>
      </c>
      <c r="B1049" s="46" t="s">
        <v>789</v>
      </c>
      <c r="C1049" s="50" t="s">
        <v>732</v>
      </c>
      <c r="D1049" s="51">
        <v>2004</v>
      </c>
      <c r="E1049" s="55">
        <v>641792476</v>
      </c>
      <c r="F1049" s="55">
        <v>1226532114</v>
      </c>
      <c r="G1049" s="55">
        <v>1547901181</v>
      </c>
      <c r="H1049" s="53">
        <v>0</v>
      </c>
      <c r="I1049" s="54">
        <f t="shared" si="18"/>
        <v>3416225771</v>
      </c>
      <c r="J1049" s="52">
        <v>0</v>
      </c>
      <c r="K1049" s="61"/>
      <c r="M1049" s="38" t="str">
        <f>IF([1]totrevprm!O1049="","",[1]totrevprm!O1049)</f>
        <v/>
      </c>
    </row>
    <row r="1050" spans="1:13">
      <c r="A1050" s="49" t="s">
        <v>54</v>
      </c>
      <c r="B1050" s="46" t="s">
        <v>789</v>
      </c>
      <c r="C1050" s="50"/>
      <c r="D1050" s="51">
        <v>2005</v>
      </c>
      <c r="E1050" s="55">
        <v>650727258</v>
      </c>
      <c r="F1050" s="55">
        <v>876832903</v>
      </c>
      <c r="G1050" s="55">
        <v>1772020498.4300001</v>
      </c>
      <c r="H1050" s="53">
        <v>0</v>
      </c>
      <c r="I1050" s="54">
        <f t="shared" si="18"/>
        <v>3299580659.4300003</v>
      </c>
      <c r="J1050" s="52">
        <v>0</v>
      </c>
      <c r="K1050" s="61"/>
      <c r="M1050" s="38" t="str">
        <f>IF([1]totrevprm!O1050="","",[1]totrevprm!O1050)</f>
        <v/>
      </c>
    </row>
    <row r="1051" spans="1:13">
      <c r="A1051" s="49" t="s">
        <v>54</v>
      </c>
      <c r="B1051" s="46" t="s">
        <v>789</v>
      </c>
      <c r="C1051" s="50"/>
      <c r="D1051" s="51">
        <v>2006</v>
      </c>
      <c r="E1051" s="56">
        <v>704163418</v>
      </c>
      <c r="F1051" s="56">
        <v>991369457</v>
      </c>
      <c r="G1051" s="56">
        <v>1960362202</v>
      </c>
      <c r="H1051" s="56">
        <v>0</v>
      </c>
      <c r="I1051" s="54">
        <f t="shared" si="18"/>
        <v>3655895077</v>
      </c>
      <c r="J1051" s="52">
        <v>0</v>
      </c>
      <c r="K1051" s="61"/>
      <c r="M1051" s="38" t="str">
        <f>IF([1]totrevprm!O1051="","",[1]totrevprm!O1051)</f>
        <v/>
      </c>
    </row>
    <row r="1052" spans="1:13">
      <c r="A1052" s="49" t="s">
        <v>54</v>
      </c>
      <c r="B1052" s="46" t="s">
        <v>789</v>
      </c>
      <c r="C1052" s="50"/>
      <c r="D1052" s="51">
        <v>2007</v>
      </c>
      <c r="E1052" s="56">
        <v>736930696</v>
      </c>
      <c r="F1052" s="56">
        <v>873263967</v>
      </c>
      <c r="G1052" s="56">
        <v>2072492924</v>
      </c>
      <c r="H1052" s="56">
        <v>0</v>
      </c>
      <c r="I1052" s="54">
        <f t="shared" si="18"/>
        <v>3682687587</v>
      </c>
      <c r="J1052" s="52">
        <v>0</v>
      </c>
      <c r="K1052" s="61"/>
      <c r="M1052" s="38" t="str">
        <f>IF([1]totrevprm!O1052="","",[1]totrevprm!O1052)</f>
        <v/>
      </c>
    </row>
    <row r="1053" spans="1:13">
      <c r="A1053" s="49" t="s">
        <v>54</v>
      </c>
      <c r="B1053" s="46" t="s">
        <v>789</v>
      </c>
      <c r="C1053" s="50"/>
      <c r="D1053" s="51">
        <v>2008</v>
      </c>
      <c r="E1053" s="56">
        <v>783140776</v>
      </c>
      <c r="F1053" s="56">
        <v>1104225894</v>
      </c>
      <c r="G1053" s="56">
        <v>2159142526</v>
      </c>
      <c r="H1053" s="56">
        <v>0</v>
      </c>
      <c r="I1053" s="54">
        <f t="shared" si="18"/>
        <v>4046509196</v>
      </c>
      <c r="J1053" s="52">
        <v>0</v>
      </c>
      <c r="K1053" s="61"/>
      <c r="M1053" s="38" t="str">
        <f>IF([1]totrevprm!O1053="","",[1]totrevprm!O1053)</f>
        <v/>
      </c>
    </row>
    <row r="1054" spans="1:13">
      <c r="A1054" s="49" t="s">
        <v>54</v>
      </c>
      <c r="B1054" s="46" t="s">
        <v>789</v>
      </c>
      <c r="C1054" s="50"/>
      <c r="D1054" s="51">
        <v>2009</v>
      </c>
      <c r="E1054" s="56">
        <v>805922664</v>
      </c>
      <c r="F1054" s="56">
        <v>1108297962</v>
      </c>
      <c r="G1054" s="56">
        <v>2266273577</v>
      </c>
      <c r="H1054" s="56">
        <v>0</v>
      </c>
      <c r="I1054" s="54">
        <f t="shared" si="18"/>
        <v>4180494203</v>
      </c>
      <c r="J1054" s="52">
        <v>0</v>
      </c>
      <c r="K1054" s="61"/>
      <c r="M1054" s="38" t="str">
        <f>IF([1]totrevprm!O1054="","",[1]totrevprm!O1054)</f>
        <v/>
      </c>
    </row>
    <row r="1055" spans="1:13">
      <c r="A1055" s="49" t="s">
        <v>54</v>
      </c>
      <c r="B1055" s="46" t="s">
        <v>789</v>
      </c>
      <c r="C1055" s="50"/>
      <c r="D1055" s="51">
        <v>2010</v>
      </c>
      <c r="E1055" s="56">
        <v>851417024</v>
      </c>
      <c r="F1055" s="56">
        <v>1019033620</v>
      </c>
      <c r="G1055" s="56">
        <v>2401331471</v>
      </c>
      <c r="H1055" s="56">
        <v>0</v>
      </c>
      <c r="I1055" s="54">
        <f t="shared" si="18"/>
        <v>4271782115</v>
      </c>
      <c r="J1055" s="52">
        <v>0</v>
      </c>
      <c r="K1055" s="61"/>
      <c r="M1055" s="38" t="str">
        <f>IF([1]totrevprm!O1055="","",[1]totrevprm!O1055)</f>
        <v/>
      </c>
    </row>
    <row r="1056" spans="1:13">
      <c r="A1056" s="49" t="s">
        <v>54</v>
      </c>
      <c r="B1056" s="46" t="s">
        <v>789</v>
      </c>
      <c r="C1056" s="50"/>
      <c r="D1056" s="51">
        <v>2011</v>
      </c>
      <c r="E1056" s="56">
        <v>864540536</v>
      </c>
      <c r="F1056" s="56">
        <v>1099749707</v>
      </c>
      <c r="G1056" s="56">
        <v>2455119787.7600002</v>
      </c>
      <c r="H1056" s="56">
        <v>0</v>
      </c>
      <c r="I1056" s="54">
        <f t="shared" si="18"/>
        <v>4419410030.7600002</v>
      </c>
      <c r="J1056" s="52">
        <v>0</v>
      </c>
      <c r="K1056" s="61"/>
      <c r="M1056" s="38" t="str">
        <f>IF([1]totrevprm!O1056="","",[1]totrevprm!O1056)</f>
        <v/>
      </c>
    </row>
    <row r="1057" spans="1:13">
      <c r="A1057" s="49" t="s">
        <v>54</v>
      </c>
      <c r="B1057" s="46" t="s">
        <v>789</v>
      </c>
      <c r="C1057" s="50"/>
      <c r="D1057" s="51">
        <v>2012</v>
      </c>
      <c r="E1057" s="56">
        <v>930217473</v>
      </c>
      <c r="F1057" s="56">
        <v>898697200</v>
      </c>
      <c r="G1057" s="56">
        <v>2412900067</v>
      </c>
      <c r="H1057" s="56">
        <v>0</v>
      </c>
      <c r="I1057" s="54">
        <f t="shared" si="18"/>
        <v>4241814740</v>
      </c>
      <c r="J1057" s="52">
        <v>0</v>
      </c>
      <c r="K1057" s="61"/>
      <c r="M1057" s="38" t="str">
        <f>IF([1]totrevprm!O1057="","",[1]totrevprm!O1057)</f>
        <v/>
      </c>
    </row>
    <row r="1058" spans="1:13">
      <c r="A1058" s="49" t="s">
        <v>54</v>
      </c>
      <c r="B1058" s="46" t="s">
        <v>789</v>
      </c>
      <c r="C1058" s="50"/>
      <c r="D1058" s="51">
        <v>2013</v>
      </c>
      <c r="E1058" s="56">
        <v>906317422</v>
      </c>
      <c r="F1058" s="56">
        <v>851131864</v>
      </c>
      <c r="G1058" s="56">
        <v>2465916726</v>
      </c>
      <c r="H1058" s="56">
        <v>0</v>
      </c>
      <c r="I1058" s="54">
        <f t="shared" si="18"/>
        <v>4223366012</v>
      </c>
      <c r="J1058" s="52">
        <v>0</v>
      </c>
      <c r="K1058" s="61"/>
      <c r="M1058" s="38" t="str">
        <f>IF([1]totrevprm!O1058="","",[1]totrevprm!O1058)</f>
        <v/>
      </c>
    </row>
    <row r="1059" spans="1:13">
      <c r="A1059" s="49" t="s">
        <v>54</v>
      </c>
      <c r="B1059" s="46" t="s">
        <v>789</v>
      </c>
      <c r="C1059" s="50"/>
      <c r="D1059" s="51">
        <v>2014</v>
      </c>
      <c r="E1059" s="56">
        <v>948029009</v>
      </c>
      <c r="F1059" s="56">
        <v>1018352993</v>
      </c>
      <c r="G1059" s="56">
        <v>2468984554.7600002</v>
      </c>
      <c r="H1059" s="56">
        <v>0</v>
      </c>
      <c r="I1059" s="54">
        <f t="shared" si="18"/>
        <v>4435366556.7600002</v>
      </c>
      <c r="J1059" s="52">
        <v>0</v>
      </c>
      <c r="K1059" s="61"/>
      <c r="M1059" s="38" t="str">
        <f>IF([1]totrevprm!O1059="","",[1]totrevprm!O1059)</f>
        <v/>
      </c>
    </row>
    <row r="1060" spans="1:13">
      <c r="A1060" s="49" t="s">
        <v>54</v>
      </c>
      <c r="B1060" s="46" t="s">
        <v>789</v>
      </c>
      <c r="C1060" s="50"/>
      <c r="D1060" s="51">
        <v>2015</v>
      </c>
      <c r="E1060" s="56">
        <v>978933371</v>
      </c>
      <c r="F1060" s="56">
        <v>989867901</v>
      </c>
      <c r="G1060" s="52">
        <v>2541284799</v>
      </c>
      <c r="H1060" s="56">
        <v>0</v>
      </c>
      <c r="I1060" s="54">
        <f t="shared" si="18"/>
        <v>4510086071</v>
      </c>
      <c r="J1060" s="52">
        <v>0</v>
      </c>
      <c r="K1060" s="61"/>
      <c r="M1060" s="38" t="str">
        <f>IF([1]totrevprm!O1060="","",[1]totrevprm!O1060)</f>
        <v/>
      </c>
    </row>
    <row r="1061" spans="1:13">
      <c r="A1061" s="49" t="s">
        <v>54</v>
      </c>
      <c r="B1061" s="46" t="s">
        <v>789</v>
      </c>
      <c r="C1061" s="50"/>
      <c r="D1061" s="51">
        <v>2016</v>
      </c>
      <c r="E1061" s="56">
        <v>1043260936</v>
      </c>
      <c r="F1061" s="56">
        <v>1171672215</v>
      </c>
      <c r="G1061" s="52">
        <v>2690599497</v>
      </c>
      <c r="H1061" s="56">
        <v>0</v>
      </c>
      <c r="I1061" s="54">
        <f t="shared" si="18"/>
        <v>4905532648</v>
      </c>
      <c r="J1061" s="52">
        <v>0</v>
      </c>
      <c r="K1061" s="61"/>
      <c r="M1061" s="38" t="str">
        <f>IF([1]totrevprm!O1061="","",[1]totrevprm!O1061)</f>
        <v/>
      </c>
    </row>
    <row r="1062" spans="1:13">
      <c r="A1062" s="49" t="s">
        <v>54</v>
      </c>
      <c r="B1062" s="46" t="s">
        <v>789</v>
      </c>
      <c r="C1062" s="50"/>
      <c r="D1062" s="51">
        <v>2017</v>
      </c>
      <c r="E1062" s="56">
        <v>1024974737</v>
      </c>
      <c r="F1062" s="56">
        <v>1108814595</v>
      </c>
      <c r="G1062" s="52">
        <v>3020478333.0599999</v>
      </c>
      <c r="H1062" s="56">
        <v>0</v>
      </c>
      <c r="I1062" s="54">
        <f t="shared" si="18"/>
        <v>5154267665.0599995</v>
      </c>
      <c r="J1062" s="52">
        <v>0</v>
      </c>
      <c r="K1062" s="61" t="s">
        <v>749</v>
      </c>
      <c r="L1062" t="s">
        <v>720</v>
      </c>
      <c r="M1062" s="38" t="str">
        <f>IF([1]totrevprm!O1062="","",[1]totrevprm!O1062)</f>
        <v/>
      </c>
    </row>
    <row r="1063" spans="1:13">
      <c r="A1063" s="49" t="s">
        <v>54</v>
      </c>
      <c r="B1063" s="46" t="s">
        <v>789</v>
      </c>
      <c r="C1063" s="50"/>
      <c r="D1063" s="51">
        <v>2018</v>
      </c>
      <c r="E1063" s="56">
        <v>1067148065</v>
      </c>
      <c r="F1063" s="56">
        <v>1451857371</v>
      </c>
      <c r="G1063" s="52">
        <v>3549062413.7200003</v>
      </c>
      <c r="H1063" s="56">
        <v>0</v>
      </c>
      <c r="I1063" s="54">
        <f t="shared" si="18"/>
        <v>6068067849.7200003</v>
      </c>
      <c r="J1063" s="56">
        <v>0</v>
      </c>
      <c r="K1063" s="61" t="s">
        <v>749</v>
      </c>
      <c r="L1063" t="s">
        <v>720</v>
      </c>
      <c r="M1063" s="38" t="str">
        <f>IF([1]totrevprm!O1063="","",[1]totrevprm!O1063)</f>
        <v/>
      </c>
    </row>
    <row r="1064" spans="1:13">
      <c r="A1064" s="49" t="s">
        <v>54</v>
      </c>
      <c r="B1064" s="46" t="s">
        <v>789</v>
      </c>
      <c r="C1064" s="50"/>
      <c r="D1064" s="51">
        <v>2019</v>
      </c>
      <c r="E1064" s="56">
        <v>1093035605</v>
      </c>
      <c r="F1064" s="56">
        <v>1545186481</v>
      </c>
      <c r="G1064" s="52">
        <v>3548852976.8200002</v>
      </c>
      <c r="H1064" s="56">
        <v>0</v>
      </c>
      <c r="I1064" s="54">
        <f t="shared" si="18"/>
        <v>6187075062.8199997</v>
      </c>
      <c r="J1064" s="56">
        <v>0</v>
      </c>
      <c r="K1064" s="61" t="s">
        <v>772</v>
      </c>
      <c r="L1064" t="s">
        <v>720</v>
      </c>
      <c r="M1064" s="38" t="str">
        <f>IF([1]totrevprm!O1064="","",[1]totrevprm!O1064)</f>
        <v>Yes</v>
      </c>
    </row>
    <row r="1065" spans="1:13">
      <c r="A1065" s="49" t="s">
        <v>54</v>
      </c>
      <c r="B1065" s="46" t="s">
        <v>789</v>
      </c>
      <c r="C1065" s="50"/>
      <c r="D1065" s="51">
        <v>2020</v>
      </c>
      <c r="E1065" s="56">
        <v>1071199535</v>
      </c>
      <c r="F1065" s="56">
        <v>1411190559</v>
      </c>
      <c r="G1065" s="52">
        <v>3481573416</v>
      </c>
      <c r="H1065" s="56">
        <v>0</v>
      </c>
      <c r="I1065" s="54">
        <f t="shared" si="18"/>
        <v>5963963510</v>
      </c>
      <c r="J1065" s="56">
        <v>0</v>
      </c>
      <c r="K1065" s="61" t="s">
        <v>739</v>
      </c>
      <c r="L1065" t="s">
        <v>720</v>
      </c>
      <c r="M1065" s="38" t="str">
        <f>IF([1]totrevprm!O1065="","",[1]totrevprm!O1065)</f>
        <v/>
      </c>
    </row>
    <row r="1066" spans="1:13">
      <c r="A1066" s="49" t="s">
        <v>54</v>
      </c>
      <c r="B1066" s="46" t="s">
        <v>789</v>
      </c>
      <c r="C1066" s="50"/>
      <c r="D1066" s="51">
        <v>2021</v>
      </c>
      <c r="E1066" s="56">
        <v>1156341957</v>
      </c>
      <c r="F1066" s="56">
        <v>1576660579</v>
      </c>
      <c r="G1066" s="52">
        <v>3329746866</v>
      </c>
      <c r="H1066" s="56">
        <v>0</v>
      </c>
      <c r="I1066" s="54">
        <f t="shared" si="18"/>
        <v>6062749402</v>
      </c>
      <c r="J1066" s="56">
        <v>0</v>
      </c>
      <c r="K1066" s="61" t="s">
        <v>739</v>
      </c>
      <c r="L1066" t="s">
        <v>720</v>
      </c>
      <c r="M1066" s="38"/>
    </row>
    <row r="1067" spans="1:13">
      <c r="A1067" s="49" t="s">
        <v>54</v>
      </c>
      <c r="B1067" s="46" t="s">
        <v>789</v>
      </c>
      <c r="C1067" s="50"/>
      <c r="D1067" s="51">
        <v>2022</v>
      </c>
      <c r="E1067" s="56">
        <v>1171650162</v>
      </c>
      <c r="F1067" s="56">
        <v>1895294560</v>
      </c>
      <c r="G1067" s="56">
        <v>3483071050</v>
      </c>
      <c r="H1067" s="56">
        <v>0</v>
      </c>
      <c r="I1067" s="54">
        <f t="shared" si="18"/>
        <v>6550015772</v>
      </c>
      <c r="J1067" s="56">
        <v>0</v>
      </c>
      <c r="K1067" s="61" t="s">
        <v>739</v>
      </c>
      <c r="L1067" t="s">
        <v>720</v>
      </c>
      <c r="M1067" s="38" t="str">
        <f>IF([1]totrevprm!O1070="","",[1]totrevprm!O1070)</f>
        <v/>
      </c>
    </row>
    <row r="1068" spans="1:13">
      <c r="A1068" s="49" t="s">
        <v>54</v>
      </c>
      <c r="B1068" s="46" t="s">
        <v>789</v>
      </c>
      <c r="C1068" s="50"/>
      <c r="D1068" s="51">
        <v>2023</v>
      </c>
      <c r="E1068" s="56">
        <v>1132195118</v>
      </c>
      <c r="F1068" s="56">
        <v>2227755127.2248998</v>
      </c>
      <c r="G1068" s="56">
        <v>3733612295.9899998</v>
      </c>
      <c r="H1068" s="56">
        <v>0</v>
      </c>
      <c r="I1068" s="54">
        <f t="shared" si="18"/>
        <v>7093562541.2148991</v>
      </c>
      <c r="J1068" s="52">
        <v>0</v>
      </c>
      <c r="K1068" s="61" t="s">
        <v>739</v>
      </c>
      <c r="M1068" s="38"/>
    </row>
    <row r="1069" spans="1:13">
      <c r="A1069" s="49" t="s">
        <v>54</v>
      </c>
      <c r="B1069" s="46" t="s">
        <v>789</v>
      </c>
      <c r="C1069" s="50"/>
      <c r="D1069" s="57">
        <v>2024</v>
      </c>
      <c r="E1069" s="52">
        <v>1155182615.0899999</v>
      </c>
      <c r="F1069" s="52">
        <v>2737772464.79</v>
      </c>
      <c r="G1069" s="52">
        <v>4073466956.4000001</v>
      </c>
      <c r="H1069" s="52">
        <v>0</v>
      </c>
      <c r="I1069" s="54">
        <f t="shared" si="18"/>
        <v>7966422036.2800007</v>
      </c>
      <c r="J1069" s="56">
        <v>0</v>
      </c>
      <c r="K1069" s="61" t="s">
        <v>739</v>
      </c>
      <c r="M1069" s="38"/>
    </row>
    <row r="1070" spans="1:13">
      <c r="A1070" s="49"/>
      <c r="B1070" s="50"/>
      <c r="C1070" s="50"/>
      <c r="E1070" s="53"/>
      <c r="F1070" s="53"/>
      <c r="G1070" s="53"/>
      <c r="H1070" s="53"/>
      <c r="I1070" s="54"/>
      <c r="J1070" s="52"/>
      <c r="K1070" s="61"/>
      <c r="M1070" s="38"/>
    </row>
    <row r="1071" spans="1:13">
      <c r="A1071" s="49" t="s">
        <v>55</v>
      </c>
      <c r="B1071" s="46" t="s">
        <v>791</v>
      </c>
      <c r="C1071" s="50" t="s">
        <v>731</v>
      </c>
      <c r="D1071" s="51">
        <v>1988</v>
      </c>
      <c r="E1071" s="53">
        <v>188056206</v>
      </c>
      <c r="F1071" s="53">
        <v>159617086</v>
      </c>
      <c r="G1071" s="53">
        <v>239835297</v>
      </c>
      <c r="H1071" s="53">
        <v>0</v>
      </c>
      <c r="I1071" s="54">
        <f t="shared" si="18"/>
        <v>587508589</v>
      </c>
      <c r="J1071" s="52">
        <v>0</v>
      </c>
      <c r="K1071" s="61"/>
      <c r="M1071" s="38" t="str">
        <f>IF([1]totrevprm!O1071="","",[1]totrevprm!O1071)</f>
        <v/>
      </c>
    </row>
    <row r="1072" spans="1:13">
      <c r="A1072" s="49" t="s">
        <v>55</v>
      </c>
      <c r="B1072" s="46" t="s">
        <v>791</v>
      </c>
      <c r="C1072" s="50" t="s">
        <v>732</v>
      </c>
      <c r="D1072" s="51">
        <v>1989</v>
      </c>
      <c r="E1072" s="53">
        <v>187685850</v>
      </c>
      <c r="F1072" s="53">
        <v>179579717</v>
      </c>
      <c r="G1072" s="53">
        <v>278227085</v>
      </c>
      <c r="H1072" s="53">
        <v>0</v>
      </c>
      <c r="I1072" s="54">
        <f t="shared" si="18"/>
        <v>645492652</v>
      </c>
      <c r="J1072" s="52">
        <v>0</v>
      </c>
      <c r="K1072" s="61"/>
      <c r="M1072" s="38" t="str">
        <f>IF([1]totrevprm!O1072="","",[1]totrevprm!O1072)</f>
        <v/>
      </c>
    </row>
    <row r="1073" spans="1:13">
      <c r="A1073" s="49" t="s">
        <v>55</v>
      </c>
      <c r="B1073" s="46" t="s">
        <v>791</v>
      </c>
      <c r="C1073" s="50" t="s">
        <v>732</v>
      </c>
      <c r="D1073" s="51">
        <v>1990</v>
      </c>
      <c r="E1073" s="53">
        <v>211526018</v>
      </c>
      <c r="F1073" s="53">
        <v>209381798.28</v>
      </c>
      <c r="G1073" s="53">
        <v>329258460</v>
      </c>
      <c r="H1073" s="53">
        <v>0</v>
      </c>
      <c r="I1073" s="54">
        <f t="shared" si="18"/>
        <v>750166276.27999997</v>
      </c>
      <c r="J1073" s="52">
        <v>0</v>
      </c>
      <c r="K1073" s="61"/>
      <c r="M1073" s="38" t="str">
        <f>IF([1]totrevprm!O1073="","",[1]totrevprm!O1073)</f>
        <v/>
      </c>
    </row>
    <row r="1074" spans="1:13">
      <c r="A1074" s="49" t="s">
        <v>55</v>
      </c>
      <c r="B1074" s="46" t="s">
        <v>791</v>
      </c>
      <c r="C1074" s="50" t="s">
        <v>732</v>
      </c>
      <c r="D1074" s="51">
        <v>1991</v>
      </c>
      <c r="E1074" s="53">
        <v>235029695</v>
      </c>
      <c r="F1074" s="53">
        <v>257079113</v>
      </c>
      <c r="G1074" s="53">
        <v>347250712</v>
      </c>
      <c r="H1074" s="53">
        <v>0</v>
      </c>
      <c r="I1074" s="54">
        <f t="shared" si="18"/>
        <v>839359520</v>
      </c>
      <c r="J1074" s="52">
        <v>0</v>
      </c>
      <c r="K1074" s="61"/>
      <c r="M1074" s="38" t="str">
        <f>IF([1]totrevprm!O1074="","",[1]totrevprm!O1074)</f>
        <v/>
      </c>
    </row>
    <row r="1075" spans="1:13">
      <c r="A1075" s="49" t="s">
        <v>55</v>
      </c>
      <c r="B1075" s="46" t="s">
        <v>791</v>
      </c>
      <c r="C1075" s="50" t="s">
        <v>732</v>
      </c>
      <c r="D1075" s="51">
        <v>1992</v>
      </c>
      <c r="E1075" s="53">
        <v>252421794</v>
      </c>
      <c r="F1075" s="53">
        <v>228215561.12</v>
      </c>
      <c r="G1075" s="53">
        <v>354132389</v>
      </c>
      <c r="H1075" s="53">
        <v>0</v>
      </c>
      <c r="I1075" s="54">
        <f t="shared" si="18"/>
        <v>834769744.12</v>
      </c>
      <c r="J1075" s="52">
        <v>0</v>
      </c>
      <c r="K1075" s="61"/>
      <c r="M1075" s="38" t="str">
        <f>IF([1]totrevprm!O1075="","",[1]totrevprm!O1075)</f>
        <v/>
      </c>
    </row>
    <row r="1076" spans="1:13">
      <c r="A1076" s="49" t="s">
        <v>55</v>
      </c>
      <c r="B1076" s="46" t="s">
        <v>791</v>
      </c>
      <c r="C1076" s="50" t="s">
        <v>732</v>
      </c>
      <c r="D1076" s="51">
        <v>1993</v>
      </c>
      <c r="E1076" s="53">
        <v>259412256</v>
      </c>
      <c r="F1076" s="53">
        <v>224454266</v>
      </c>
      <c r="G1076" s="53">
        <v>382539332</v>
      </c>
      <c r="H1076" s="53">
        <v>0</v>
      </c>
      <c r="I1076" s="54">
        <f t="shared" si="18"/>
        <v>866405854</v>
      </c>
      <c r="J1076" s="52">
        <v>0</v>
      </c>
      <c r="K1076" s="61"/>
      <c r="M1076" s="38" t="str">
        <f>IF([1]totrevprm!O1076="","",[1]totrevprm!O1076)</f>
        <v/>
      </c>
    </row>
    <row r="1077" spans="1:13">
      <c r="A1077" s="49" t="s">
        <v>55</v>
      </c>
      <c r="B1077" s="46" t="s">
        <v>791</v>
      </c>
      <c r="C1077" s="50" t="s">
        <v>732</v>
      </c>
      <c r="D1077" s="51">
        <v>1994</v>
      </c>
      <c r="E1077" s="53">
        <v>303621694</v>
      </c>
      <c r="F1077" s="53">
        <v>330815670</v>
      </c>
      <c r="G1077" s="53">
        <v>398438708</v>
      </c>
      <c r="H1077" s="53">
        <v>0</v>
      </c>
      <c r="I1077" s="54">
        <f t="shared" si="18"/>
        <v>1032876072</v>
      </c>
      <c r="J1077" s="52">
        <v>0</v>
      </c>
      <c r="K1077" s="61"/>
      <c r="M1077" s="38" t="str">
        <f>IF([1]totrevprm!O1077="","",[1]totrevprm!O1077)</f>
        <v/>
      </c>
    </row>
    <row r="1078" spans="1:13">
      <c r="A1078" s="49" t="s">
        <v>55</v>
      </c>
      <c r="B1078" s="46" t="s">
        <v>791</v>
      </c>
      <c r="C1078" s="50" t="s">
        <v>732</v>
      </c>
      <c r="D1078" s="51">
        <v>1995</v>
      </c>
      <c r="E1078" s="53">
        <v>328707652</v>
      </c>
      <c r="F1078" s="53">
        <v>331575221</v>
      </c>
      <c r="G1078" s="53">
        <v>423068962</v>
      </c>
      <c r="H1078" s="53">
        <v>0</v>
      </c>
      <c r="I1078" s="54">
        <f t="shared" si="18"/>
        <v>1083351835</v>
      </c>
      <c r="J1078" s="52">
        <v>0</v>
      </c>
      <c r="K1078" s="61"/>
      <c r="M1078" s="38" t="str">
        <f>IF([1]totrevprm!O1078="","",[1]totrevprm!O1078)</f>
        <v/>
      </c>
    </row>
    <row r="1079" spans="1:13">
      <c r="A1079" s="49" t="s">
        <v>55</v>
      </c>
      <c r="B1079" s="46" t="s">
        <v>791</v>
      </c>
      <c r="C1079" s="50" t="s">
        <v>732</v>
      </c>
      <c r="D1079" s="51">
        <v>1996</v>
      </c>
      <c r="E1079" s="53">
        <v>339210804</v>
      </c>
      <c r="F1079" s="53">
        <v>329511360</v>
      </c>
      <c r="G1079" s="53">
        <v>455923916</v>
      </c>
      <c r="H1079" s="53">
        <v>0</v>
      </c>
      <c r="I1079" s="54">
        <f t="shared" si="18"/>
        <v>1124646080</v>
      </c>
      <c r="J1079" s="52">
        <v>0</v>
      </c>
      <c r="K1079" s="61"/>
      <c r="M1079" s="38" t="str">
        <f>IF([1]totrevprm!O1079="","",[1]totrevprm!O1079)</f>
        <v/>
      </c>
    </row>
    <row r="1080" spans="1:13">
      <c r="A1080" s="49" t="s">
        <v>55</v>
      </c>
      <c r="B1080" s="46" t="s">
        <v>791</v>
      </c>
      <c r="C1080" s="50" t="s">
        <v>732</v>
      </c>
      <c r="D1080" s="51">
        <v>1997</v>
      </c>
      <c r="E1080" s="53">
        <v>364319447</v>
      </c>
      <c r="F1080" s="53">
        <v>347039518</v>
      </c>
      <c r="G1080" s="53">
        <v>477837146</v>
      </c>
      <c r="H1080" s="53">
        <v>0</v>
      </c>
      <c r="I1080" s="54">
        <f t="shared" si="18"/>
        <v>1189196111</v>
      </c>
      <c r="J1080" s="52">
        <v>0</v>
      </c>
      <c r="K1080" s="61"/>
      <c r="M1080" s="38" t="str">
        <f>IF([1]totrevprm!O1080="","",[1]totrevprm!O1080)</f>
        <v/>
      </c>
    </row>
    <row r="1081" spans="1:13">
      <c r="A1081" s="49" t="s">
        <v>55</v>
      </c>
      <c r="B1081" s="46" t="s">
        <v>791</v>
      </c>
      <c r="C1081" s="50" t="s">
        <v>732</v>
      </c>
      <c r="D1081" s="51">
        <v>1998</v>
      </c>
      <c r="E1081" s="53">
        <v>383955521</v>
      </c>
      <c r="F1081" s="53">
        <v>303351906</v>
      </c>
      <c r="G1081" s="53">
        <v>501685748</v>
      </c>
      <c r="H1081" s="53">
        <v>0</v>
      </c>
      <c r="I1081" s="54">
        <f t="shared" si="18"/>
        <v>1188993175</v>
      </c>
      <c r="J1081" s="52">
        <v>0</v>
      </c>
      <c r="K1081" s="61"/>
      <c r="M1081" s="38" t="str">
        <f>IF([1]totrevprm!O1081="","",[1]totrevprm!O1081)</f>
        <v/>
      </c>
    </row>
    <row r="1082" spans="1:13">
      <c r="A1082" s="49" t="s">
        <v>55</v>
      </c>
      <c r="B1082" s="46" t="s">
        <v>791</v>
      </c>
      <c r="C1082" s="50" t="s">
        <v>732</v>
      </c>
      <c r="D1082" s="51">
        <v>1999</v>
      </c>
      <c r="E1082" s="53">
        <v>393472325</v>
      </c>
      <c r="F1082" s="53">
        <v>397510883</v>
      </c>
      <c r="G1082" s="53">
        <v>577477196</v>
      </c>
      <c r="H1082" s="53">
        <v>0</v>
      </c>
      <c r="I1082" s="54">
        <f t="shared" si="18"/>
        <v>1368460404</v>
      </c>
      <c r="J1082" s="52">
        <v>0</v>
      </c>
      <c r="K1082" s="61"/>
      <c r="M1082" s="38" t="str">
        <f>IF([1]totrevprm!O1082="","",[1]totrevprm!O1082)</f>
        <v/>
      </c>
    </row>
    <row r="1083" spans="1:13">
      <c r="A1083" s="49" t="s">
        <v>55</v>
      </c>
      <c r="B1083" s="46" t="s">
        <v>791</v>
      </c>
      <c r="C1083" s="50" t="s">
        <v>732</v>
      </c>
      <c r="D1083" s="51">
        <v>2000</v>
      </c>
      <c r="E1083" s="53">
        <v>457675253</v>
      </c>
      <c r="F1083" s="53">
        <v>589727264</v>
      </c>
      <c r="G1083" s="53">
        <v>630109657</v>
      </c>
      <c r="H1083" s="53">
        <v>0</v>
      </c>
      <c r="I1083" s="54">
        <f t="shared" si="18"/>
        <v>1677512174</v>
      </c>
      <c r="J1083" s="52">
        <v>0</v>
      </c>
      <c r="K1083" s="61"/>
      <c r="M1083" s="38" t="str">
        <f>IF([1]totrevprm!O1083="","",[1]totrevprm!O1083)</f>
        <v/>
      </c>
    </row>
    <row r="1084" spans="1:13">
      <c r="A1084" s="49" t="s">
        <v>55</v>
      </c>
      <c r="B1084" s="46" t="s">
        <v>791</v>
      </c>
      <c r="C1084" s="50" t="s">
        <v>732</v>
      </c>
      <c r="D1084" s="51">
        <v>2001</v>
      </c>
      <c r="E1084" s="53">
        <v>439636288</v>
      </c>
      <c r="F1084" s="53">
        <v>661926690</v>
      </c>
      <c r="G1084" s="53">
        <v>674107946</v>
      </c>
      <c r="H1084" s="53">
        <v>0</v>
      </c>
      <c r="I1084" s="54">
        <f t="shared" si="18"/>
        <v>1775670924</v>
      </c>
      <c r="J1084" s="52">
        <v>0</v>
      </c>
      <c r="K1084" s="61"/>
      <c r="M1084" s="38" t="str">
        <f>IF([1]totrevprm!O1084="","",[1]totrevprm!O1084)</f>
        <v/>
      </c>
    </row>
    <row r="1085" spans="1:13">
      <c r="A1085" s="49" t="s">
        <v>55</v>
      </c>
      <c r="B1085" s="46" t="s">
        <v>791</v>
      </c>
      <c r="C1085" s="50" t="s">
        <v>792</v>
      </c>
      <c r="D1085" s="51">
        <v>2002</v>
      </c>
      <c r="E1085" s="53">
        <v>500708457</v>
      </c>
      <c r="F1085" s="53">
        <v>1287227807</v>
      </c>
      <c r="G1085" s="53">
        <v>657280614</v>
      </c>
      <c r="H1085" s="53">
        <v>0</v>
      </c>
      <c r="I1085" s="54">
        <f t="shared" si="18"/>
        <v>2445216878</v>
      </c>
      <c r="J1085" s="52">
        <v>0</v>
      </c>
      <c r="K1085" s="61"/>
      <c r="M1085" s="38" t="str">
        <f>IF([1]totrevprm!O1085="","",[1]totrevprm!O1085)</f>
        <v/>
      </c>
    </row>
    <row r="1086" spans="1:13">
      <c r="A1086" s="49" t="s">
        <v>55</v>
      </c>
      <c r="B1086" s="46" t="s">
        <v>791</v>
      </c>
      <c r="C1086" s="50" t="s">
        <v>732</v>
      </c>
      <c r="D1086" s="51">
        <v>2003</v>
      </c>
      <c r="E1086" s="55">
        <v>560244756</v>
      </c>
      <c r="F1086" s="55">
        <v>1002487503</v>
      </c>
      <c r="G1086" s="55">
        <v>715662888</v>
      </c>
      <c r="H1086" s="53">
        <v>0</v>
      </c>
      <c r="I1086" s="54">
        <f t="shared" si="18"/>
        <v>2278395147</v>
      </c>
      <c r="J1086" s="52">
        <v>0</v>
      </c>
      <c r="K1086" s="61"/>
      <c r="M1086" s="38" t="str">
        <f>IF([1]totrevprm!O1086="","",[1]totrevprm!O1086)</f>
        <v/>
      </c>
    </row>
    <row r="1087" spans="1:13">
      <c r="A1087" s="49" t="s">
        <v>55</v>
      </c>
      <c r="B1087" s="46" t="s">
        <v>791</v>
      </c>
      <c r="C1087" s="50" t="s">
        <v>732</v>
      </c>
      <c r="D1087" s="51">
        <v>2004</v>
      </c>
      <c r="E1087" s="55">
        <v>621862008</v>
      </c>
      <c r="F1087" s="55">
        <v>783868243</v>
      </c>
      <c r="G1087" s="55">
        <v>775448499</v>
      </c>
      <c r="H1087" s="53">
        <v>0</v>
      </c>
      <c r="I1087" s="54">
        <f t="shared" si="18"/>
        <v>2181178750</v>
      </c>
      <c r="J1087" s="52">
        <v>0</v>
      </c>
      <c r="K1087" s="61"/>
      <c r="M1087" s="38" t="str">
        <f>IF([1]totrevprm!O1087="","",[1]totrevprm!O1087)</f>
        <v/>
      </c>
    </row>
    <row r="1088" spans="1:13">
      <c r="A1088" s="49" t="s">
        <v>55</v>
      </c>
      <c r="B1088" s="46" t="s">
        <v>791</v>
      </c>
      <c r="C1088" s="50"/>
      <c r="D1088" s="51">
        <v>2005</v>
      </c>
      <c r="E1088" s="55">
        <v>616220934</v>
      </c>
      <c r="F1088" s="55">
        <v>766485503</v>
      </c>
      <c r="G1088" s="55">
        <v>823325958.17999995</v>
      </c>
      <c r="H1088" s="53">
        <v>0</v>
      </c>
      <c r="I1088" s="54">
        <f t="shared" si="18"/>
        <v>2206032395.1799998</v>
      </c>
      <c r="J1088" s="52">
        <v>0</v>
      </c>
      <c r="K1088" s="61"/>
      <c r="M1088" s="38" t="str">
        <f>IF([1]totrevprm!O1088="","",[1]totrevprm!O1088)</f>
        <v/>
      </c>
    </row>
    <row r="1089" spans="1:13">
      <c r="A1089" s="49" t="s">
        <v>55</v>
      </c>
      <c r="B1089" s="46" t="s">
        <v>791</v>
      </c>
      <c r="C1089" s="50"/>
      <c r="D1089" s="51">
        <v>2006</v>
      </c>
      <c r="E1089" s="56">
        <v>692636351</v>
      </c>
      <c r="F1089" s="56">
        <v>702024818</v>
      </c>
      <c r="G1089" s="56">
        <v>912982468</v>
      </c>
      <c r="H1089" s="56">
        <v>0</v>
      </c>
      <c r="I1089" s="54">
        <f t="shared" si="18"/>
        <v>2307643637</v>
      </c>
      <c r="J1089" s="52">
        <v>0</v>
      </c>
      <c r="K1089" s="61"/>
      <c r="M1089" s="38" t="str">
        <f>IF([1]totrevprm!O1089="","",[1]totrevprm!O1089)</f>
        <v/>
      </c>
    </row>
    <row r="1090" spans="1:13">
      <c r="A1090" s="49" t="s">
        <v>55</v>
      </c>
      <c r="B1090" s="46" t="s">
        <v>791</v>
      </c>
      <c r="C1090" s="50"/>
      <c r="D1090" s="51">
        <v>2007</v>
      </c>
      <c r="E1090" s="56">
        <v>712200556</v>
      </c>
      <c r="F1090" s="56">
        <v>824604506</v>
      </c>
      <c r="G1090" s="56">
        <v>1322286110</v>
      </c>
      <c r="H1090" s="56">
        <v>0</v>
      </c>
      <c r="I1090" s="54">
        <f t="shared" si="18"/>
        <v>2859091172</v>
      </c>
      <c r="J1090" s="52">
        <v>0</v>
      </c>
      <c r="K1090" s="61"/>
      <c r="M1090" s="38" t="str">
        <f>IF([1]totrevprm!O1090="","",[1]totrevprm!O1090)</f>
        <v/>
      </c>
    </row>
    <row r="1091" spans="1:13">
      <c r="A1091" s="49" t="s">
        <v>55</v>
      </c>
      <c r="B1091" s="46" t="s">
        <v>791</v>
      </c>
      <c r="C1091" s="50"/>
      <c r="D1091" s="51">
        <v>2008</v>
      </c>
      <c r="E1091" s="56">
        <v>739912500</v>
      </c>
      <c r="F1091" s="56">
        <v>1096212102</v>
      </c>
      <c r="G1091" s="56">
        <v>1498313802</v>
      </c>
      <c r="H1091" s="56">
        <v>0</v>
      </c>
      <c r="I1091" s="54">
        <f t="shared" si="18"/>
        <v>3334438404</v>
      </c>
      <c r="J1091" s="52">
        <v>0</v>
      </c>
      <c r="K1091" s="61"/>
      <c r="M1091" s="38" t="str">
        <f>IF([1]totrevprm!O1091="","",[1]totrevprm!O1091)</f>
        <v/>
      </c>
    </row>
    <row r="1092" spans="1:13">
      <c r="A1092" s="49" t="s">
        <v>55</v>
      </c>
      <c r="B1092" s="46" t="s">
        <v>791</v>
      </c>
      <c r="C1092" s="50"/>
      <c r="D1092" s="51">
        <v>2009</v>
      </c>
      <c r="E1092" s="56">
        <v>769949241</v>
      </c>
      <c r="F1092" s="56">
        <v>1071481528</v>
      </c>
      <c r="G1092" s="56">
        <v>1653824373</v>
      </c>
      <c r="H1092" s="56">
        <v>0</v>
      </c>
      <c r="I1092" s="54">
        <f t="shared" si="18"/>
        <v>3495255142</v>
      </c>
      <c r="J1092" s="52">
        <v>0</v>
      </c>
      <c r="K1092" s="61"/>
      <c r="M1092" s="38" t="str">
        <f>IF([1]totrevprm!O1092="","",[1]totrevprm!O1092)</f>
        <v/>
      </c>
    </row>
    <row r="1093" spans="1:13">
      <c r="A1093" s="49" t="s">
        <v>55</v>
      </c>
      <c r="B1093" s="46" t="s">
        <v>791</v>
      </c>
      <c r="C1093" s="50"/>
      <c r="D1093" s="51">
        <v>2010</v>
      </c>
      <c r="E1093" s="56">
        <v>748015631</v>
      </c>
      <c r="F1093" s="56">
        <v>1008581875</v>
      </c>
      <c r="G1093" s="56">
        <v>1620890080</v>
      </c>
      <c r="H1093" s="56">
        <v>0</v>
      </c>
      <c r="I1093" s="54">
        <f t="shared" si="18"/>
        <v>3377487586</v>
      </c>
      <c r="J1093" s="52">
        <v>0</v>
      </c>
      <c r="K1093" s="61"/>
      <c r="M1093" s="38" t="str">
        <f>IF([1]totrevprm!O1093="","",[1]totrevprm!O1093)</f>
        <v/>
      </c>
    </row>
    <row r="1094" spans="1:13">
      <c r="A1094" s="49" t="s">
        <v>55</v>
      </c>
      <c r="B1094" s="46" t="s">
        <v>791</v>
      </c>
      <c r="C1094" s="50"/>
      <c r="D1094" s="51">
        <v>2011</v>
      </c>
      <c r="E1094" s="56">
        <v>790601447</v>
      </c>
      <c r="F1094" s="56">
        <v>803896979</v>
      </c>
      <c r="G1094" s="56">
        <v>1705079369</v>
      </c>
      <c r="H1094" s="56">
        <v>0</v>
      </c>
      <c r="I1094" s="54">
        <f t="shared" si="18"/>
        <v>3299577795</v>
      </c>
      <c r="J1094" s="52">
        <v>0</v>
      </c>
      <c r="K1094" s="61"/>
      <c r="M1094" s="38" t="str">
        <f>IF([1]totrevprm!O1094="","",[1]totrevprm!O1094)</f>
        <v/>
      </c>
    </row>
    <row r="1095" spans="1:13">
      <c r="A1095" s="49" t="s">
        <v>55</v>
      </c>
      <c r="B1095" s="46" t="s">
        <v>791</v>
      </c>
      <c r="C1095" s="50"/>
      <c r="D1095" s="51">
        <v>2012</v>
      </c>
      <c r="E1095" s="56">
        <v>825350559</v>
      </c>
      <c r="F1095" s="56">
        <v>945278895</v>
      </c>
      <c r="G1095" s="56">
        <v>1788245669</v>
      </c>
      <c r="H1095" s="56">
        <v>0</v>
      </c>
      <c r="I1095" s="54">
        <f t="shared" si="18"/>
        <v>3558875123</v>
      </c>
      <c r="J1095" s="52">
        <v>0</v>
      </c>
      <c r="K1095" s="61"/>
      <c r="M1095" s="38" t="str">
        <f>IF([1]totrevprm!O1095="","",[1]totrevprm!O1095)</f>
        <v/>
      </c>
    </row>
    <row r="1096" spans="1:13">
      <c r="A1096" s="49" t="s">
        <v>55</v>
      </c>
      <c r="B1096" s="46" t="s">
        <v>791</v>
      </c>
      <c r="C1096" s="50"/>
      <c r="D1096" s="51">
        <v>2013</v>
      </c>
      <c r="E1096" s="56">
        <v>866612021</v>
      </c>
      <c r="F1096" s="56">
        <v>895473195</v>
      </c>
      <c r="G1096" s="56">
        <v>1654068269</v>
      </c>
      <c r="H1096" s="56">
        <v>0</v>
      </c>
      <c r="I1096" s="54">
        <f t="shared" ref="I1096:I1161" si="19">SUM(E1096:H1096)</f>
        <v>3416153485</v>
      </c>
      <c r="J1096" s="52">
        <v>1858845</v>
      </c>
      <c r="K1096" s="61" t="s">
        <v>736</v>
      </c>
      <c r="L1096" t="s">
        <v>720</v>
      </c>
      <c r="M1096" s="38" t="str">
        <f>IF([1]totrevprm!O1096="","",[1]totrevprm!O1096)</f>
        <v/>
      </c>
    </row>
    <row r="1097" spans="1:13">
      <c r="A1097" s="49" t="s">
        <v>55</v>
      </c>
      <c r="B1097" s="46" t="s">
        <v>791</v>
      </c>
      <c r="C1097" s="50"/>
      <c r="D1097" s="51">
        <v>2014</v>
      </c>
      <c r="E1097" s="56">
        <v>901653618</v>
      </c>
      <c r="F1097" s="56">
        <v>1256518516</v>
      </c>
      <c r="G1097" s="56">
        <v>1735155742.1199999</v>
      </c>
      <c r="H1097" s="56">
        <v>0</v>
      </c>
      <c r="I1097" s="54">
        <f t="shared" si="19"/>
        <v>3893327876.1199999</v>
      </c>
      <c r="J1097" s="52">
        <v>7877785</v>
      </c>
      <c r="K1097" s="61" t="s">
        <v>736</v>
      </c>
      <c r="L1097" t="s">
        <v>720</v>
      </c>
      <c r="M1097" s="38" t="str">
        <f>IF([1]totrevprm!O1097="","",[1]totrevprm!O1097)</f>
        <v/>
      </c>
    </row>
    <row r="1098" spans="1:13">
      <c r="A1098" s="49" t="s">
        <v>55</v>
      </c>
      <c r="B1098" s="46" t="s">
        <v>791</v>
      </c>
      <c r="C1098" s="50"/>
      <c r="D1098" s="51">
        <v>2015</v>
      </c>
      <c r="E1098" s="56">
        <v>957451253</v>
      </c>
      <c r="F1098" s="56">
        <v>1326216717</v>
      </c>
      <c r="G1098" s="56">
        <v>1785726696</v>
      </c>
      <c r="H1098" s="56">
        <v>0</v>
      </c>
      <c r="I1098" s="54">
        <f t="shared" si="19"/>
        <v>4069394666</v>
      </c>
      <c r="J1098" s="52">
        <v>4948634</v>
      </c>
      <c r="K1098" s="61" t="s">
        <v>736</v>
      </c>
      <c r="L1098" t="s">
        <v>720</v>
      </c>
      <c r="M1098" s="38" t="str">
        <f>IF([1]totrevprm!O1098="","",[1]totrevprm!O1098)</f>
        <v/>
      </c>
    </row>
    <row r="1099" spans="1:13">
      <c r="A1099" s="49" t="s">
        <v>55</v>
      </c>
      <c r="B1099" s="46" t="s">
        <v>791</v>
      </c>
      <c r="C1099" s="50"/>
      <c r="D1099" s="51">
        <v>2016</v>
      </c>
      <c r="E1099" s="56">
        <v>1032137820</v>
      </c>
      <c r="F1099" s="56">
        <v>1255112293</v>
      </c>
      <c r="G1099" s="56">
        <v>1892633503</v>
      </c>
      <c r="H1099" s="56">
        <v>0</v>
      </c>
      <c r="I1099" s="54">
        <f t="shared" si="19"/>
        <v>4179883616</v>
      </c>
      <c r="J1099" s="52">
        <v>7323300</v>
      </c>
      <c r="K1099" s="61" t="s">
        <v>736</v>
      </c>
      <c r="L1099" t="s">
        <v>720</v>
      </c>
      <c r="M1099" s="38" t="str">
        <f>IF([1]totrevprm!O1099="","",[1]totrevprm!O1099)</f>
        <v/>
      </c>
    </row>
    <row r="1100" spans="1:13">
      <c r="A1100" s="49" t="s">
        <v>55</v>
      </c>
      <c r="B1100" s="46" t="s">
        <v>791</v>
      </c>
      <c r="C1100" s="50"/>
      <c r="D1100" s="51">
        <v>2017</v>
      </c>
      <c r="E1100" s="56">
        <v>1195561044</v>
      </c>
      <c r="F1100" s="56">
        <v>1186738308</v>
      </c>
      <c r="G1100" s="56">
        <v>1809716037.98</v>
      </c>
      <c r="H1100" s="56">
        <v>0</v>
      </c>
      <c r="I1100" s="54">
        <f t="shared" si="19"/>
        <v>4192015389.98</v>
      </c>
      <c r="J1100" s="56">
        <v>3704804</v>
      </c>
      <c r="K1100" s="61" t="s">
        <v>736</v>
      </c>
      <c r="L1100" t="s">
        <v>720</v>
      </c>
      <c r="M1100" s="38" t="str">
        <f>IF([1]totrevprm!O1100="","",[1]totrevprm!O1100)</f>
        <v/>
      </c>
    </row>
    <row r="1101" spans="1:13">
      <c r="A1101" s="49" t="s">
        <v>55</v>
      </c>
      <c r="B1101" s="46" t="s">
        <v>791</v>
      </c>
      <c r="C1101" s="50"/>
      <c r="D1101" s="51">
        <v>2018</v>
      </c>
      <c r="E1101" s="56">
        <v>1172990773</v>
      </c>
      <c r="F1101" s="56">
        <v>1475720935</v>
      </c>
      <c r="G1101" s="56">
        <v>1833870315.45</v>
      </c>
      <c r="H1101" s="65">
        <v>0</v>
      </c>
      <c r="I1101" s="54">
        <f t="shared" si="19"/>
        <v>4482582023.4499998</v>
      </c>
      <c r="J1101" s="56">
        <v>5661889</v>
      </c>
      <c r="K1101" s="61" t="s">
        <v>736</v>
      </c>
      <c r="L1101" t="s">
        <v>720</v>
      </c>
      <c r="M1101" s="38" t="str">
        <f>IF([1]totrevprm!O1101="","",[1]totrevprm!O1101)</f>
        <v/>
      </c>
    </row>
    <row r="1102" spans="1:13">
      <c r="A1102" s="49" t="s">
        <v>55</v>
      </c>
      <c r="B1102" s="46" t="s">
        <v>791</v>
      </c>
      <c r="C1102" s="50"/>
      <c r="D1102" s="51">
        <v>2019</v>
      </c>
      <c r="E1102" s="56">
        <v>1210349914</v>
      </c>
      <c r="F1102" s="56">
        <v>1521500884</v>
      </c>
      <c r="G1102" s="56">
        <v>1899828444.3367</v>
      </c>
      <c r="H1102" s="65">
        <v>0</v>
      </c>
      <c r="I1102" s="54">
        <f t="shared" si="19"/>
        <v>4631679242.3367004</v>
      </c>
      <c r="J1102" s="56">
        <v>10159548</v>
      </c>
      <c r="K1102" s="61" t="s">
        <v>736</v>
      </c>
      <c r="L1102" t="s">
        <v>720</v>
      </c>
      <c r="M1102" s="38" t="str">
        <f>IF([1]totrevprm!O1102="","",[1]totrevprm!O1102)</f>
        <v/>
      </c>
    </row>
    <row r="1103" spans="1:13">
      <c r="A1103" s="49" t="s">
        <v>55</v>
      </c>
      <c r="B1103" s="46" t="s">
        <v>791</v>
      </c>
      <c r="C1103" s="50"/>
      <c r="D1103" s="51">
        <v>2020</v>
      </c>
      <c r="E1103" s="56">
        <v>1275742342</v>
      </c>
      <c r="F1103" s="56">
        <v>1704634149</v>
      </c>
      <c r="G1103" s="56">
        <v>3412390700</v>
      </c>
      <c r="H1103" s="65">
        <v>0</v>
      </c>
      <c r="I1103" s="54">
        <f t="shared" si="19"/>
        <v>6392767191</v>
      </c>
      <c r="J1103" s="56">
        <v>117263048</v>
      </c>
      <c r="K1103" s="61" t="s">
        <v>787</v>
      </c>
      <c r="L1103" t="s">
        <v>720</v>
      </c>
      <c r="M1103" s="38" t="str">
        <f>IF([1]totrevprm!O1103="","",[1]totrevprm!O1103)</f>
        <v>Yes</v>
      </c>
    </row>
    <row r="1104" spans="1:13">
      <c r="A1104" s="49" t="s">
        <v>55</v>
      </c>
      <c r="B1104" s="46" t="s">
        <v>791</v>
      </c>
      <c r="C1104" s="50"/>
      <c r="D1104" s="51">
        <v>2021</v>
      </c>
      <c r="E1104" s="56">
        <v>1444251432</v>
      </c>
      <c r="F1104" s="56">
        <v>1853701818</v>
      </c>
      <c r="G1104" s="56">
        <v>3791662914</v>
      </c>
      <c r="H1104" s="65">
        <v>0</v>
      </c>
      <c r="I1104" s="54">
        <f t="shared" si="19"/>
        <v>7089616164</v>
      </c>
      <c r="J1104" s="52">
        <v>0</v>
      </c>
      <c r="K1104" s="61" t="s">
        <v>739</v>
      </c>
      <c r="L1104" t="s">
        <v>720</v>
      </c>
      <c r="M1104" s="38"/>
    </row>
    <row r="1105" spans="1:13">
      <c r="A1105" s="49" t="s">
        <v>55</v>
      </c>
      <c r="B1105" s="46" t="s">
        <v>791</v>
      </c>
      <c r="C1105" s="50"/>
      <c r="D1105" s="51">
        <v>2022</v>
      </c>
      <c r="E1105" s="56">
        <v>1587962257</v>
      </c>
      <c r="F1105" s="56">
        <v>2941010694</v>
      </c>
      <c r="G1105" s="56">
        <v>4060004740</v>
      </c>
      <c r="H1105" s="65">
        <v>0</v>
      </c>
      <c r="I1105" s="54">
        <f t="shared" si="19"/>
        <v>8588977691</v>
      </c>
      <c r="J1105" s="52">
        <v>0</v>
      </c>
      <c r="K1105" s="61" t="s">
        <v>739</v>
      </c>
      <c r="L1105" t="s">
        <v>720</v>
      </c>
      <c r="M1105" s="38" t="str">
        <f>IF([1]totrevprm!O1108="","",[1]totrevprm!O1108)</f>
        <v/>
      </c>
    </row>
    <row r="1106" spans="1:13">
      <c r="A1106" s="49" t="s">
        <v>55</v>
      </c>
      <c r="B1106" s="46" t="s">
        <v>791</v>
      </c>
      <c r="C1106" s="50"/>
      <c r="D1106" s="51">
        <v>2023</v>
      </c>
      <c r="E1106" s="56">
        <v>1607972581</v>
      </c>
      <c r="F1106" s="56">
        <v>2941736809.98</v>
      </c>
      <c r="G1106" s="56">
        <v>4038001907.6599998</v>
      </c>
      <c r="H1106" s="56">
        <v>0</v>
      </c>
      <c r="I1106" s="54">
        <f t="shared" si="19"/>
        <v>8587711298.6399994</v>
      </c>
      <c r="J1106" s="52">
        <v>0</v>
      </c>
      <c r="K1106" s="61" t="s">
        <v>739</v>
      </c>
      <c r="M1106" s="38"/>
    </row>
    <row r="1107" spans="1:13">
      <c r="A1107" s="49" t="s">
        <v>55</v>
      </c>
      <c r="B1107" s="46" t="s">
        <v>791</v>
      </c>
      <c r="C1107" s="50"/>
      <c r="D1107" s="57">
        <v>2024</v>
      </c>
      <c r="E1107" s="52">
        <v>1663994392</v>
      </c>
      <c r="F1107" s="52">
        <v>3293624376.5999999</v>
      </c>
      <c r="G1107" s="52">
        <v>4251192364.5100002</v>
      </c>
      <c r="H1107" s="52">
        <v>0</v>
      </c>
      <c r="I1107" s="54">
        <f t="shared" si="19"/>
        <v>9208811133.1100006</v>
      </c>
      <c r="J1107" s="56">
        <v>0</v>
      </c>
      <c r="K1107" s="61" t="s">
        <v>739</v>
      </c>
      <c r="M1107" s="38"/>
    </row>
    <row r="1108" spans="1:13">
      <c r="A1108" s="49"/>
      <c r="B1108" s="50"/>
      <c r="C1108" s="50"/>
      <c r="E1108" s="53"/>
      <c r="F1108" s="53"/>
      <c r="G1108" s="53"/>
      <c r="H1108" s="53"/>
      <c r="I1108" s="54"/>
      <c r="J1108" s="52"/>
      <c r="K1108" s="61"/>
      <c r="M1108" s="38"/>
    </row>
    <row r="1109" spans="1:13">
      <c r="A1109" s="49" t="s">
        <v>56</v>
      </c>
      <c r="B1109" s="46" t="s">
        <v>793</v>
      </c>
      <c r="C1109" s="50" t="s">
        <v>765</v>
      </c>
      <c r="D1109" s="51">
        <v>1988</v>
      </c>
      <c r="E1109" s="53">
        <v>252803488</v>
      </c>
      <c r="F1109" s="53">
        <v>119901061</v>
      </c>
      <c r="G1109" s="53">
        <v>203345399</v>
      </c>
      <c r="H1109" s="53">
        <v>87655124</v>
      </c>
      <c r="I1109" s="54">
        <f t="shared" si="19"/>
        <v>663705072</v>
      </c>
      <c r="J1109" s="52">
        <v>0</v>
      </c>
      <c r="K1109" s="61"/>
      <c r="M1109" s="38" t="str">
        <f>IF([1]totrevprm!O1109="","",[1]totrevprm!O1109)</f>
        <v/>
      </c>
    </row>
    <row r="1110" spans="1:13">
      <c r="A1110" s="49" t="s">
        <v>56</v>
      </c>
      <c r="B1110" s="46" t="s">
        <v>793</v>
      </c>
      <c r="C1110" s="50" t="s">
        <v>732</v>
      </c>
      <c r="D1110" s="51">
        <v>1989</v>
      </c>
      <c r="E1110" s="53">
        <v>234946765</v>
      </c>
      <c r="F1110" s="53">
        <v>217312983</v>
      </c>
      <c r="G1110" s="53">
        <v>235348015</v>
      </c>
      <c r="H1110" s="53">
        <v>75157619</v>
      </c>
      <c r="I1110" s="54">
        <f t="shared" si="19"/>
        <v>762765382</v>
      </c>
      <c r="J1110" s="52">
        <v>0</v>
      </c>
      <c r="K1110" s="61"/>
      <c r="M1110" s="38" t="str">
        <f>IF([1]totrevprm!O1110="","",[1]totrevprm!O1110)</f>
        <v/>
      </c>
    </row>
    <row r="1111" spans="1:13">
      <c r="A1111" s="49" t="s">
        <v>56</v>
      </c>
      <c r="B1111" s="46" t="s">
        <v>793</v>
      </c>
      <c r="C1111" s="50" t="s">
        <v>732</v>
      </c>
      <c r="D1111" s="51">
        <v>1990</v>
      </c>
      <c r="E1111" s="53">
        <v>241536221</v>
      </c>
      <c r="F1111" s="53">
        <v>259760502.19999999</v>
      </c>
      <c r="G1111" s="53">
        <v>240900345</v>
      </c>
      <c r="H1111" s="53">
        <v>92438242</v>
      </c>
      <c r="I1111" s="54">
        <f t="shared" si="19"/>
        <v>834635310.20000005</v>
      </c>
      <c r="J1111" s="52">
        <v>0</v>
      </c>
      <c r="K1111" s="61"/>
      <c r="M1111" s="38" t="str">
        <f>IF([1]totrevprm!O1111="","",[1]totrevprm!O1111)</f>
        <v/>
      </c>
    </row>
    <row r="1112" spans="1:13">
      <c r="A1112" s="49" t="s">
        <v>56</v>
      </c>
      <c r="B1112" s="46" t="s">
        <v>793</v>
      </c>
      <c r="C1112" s="50" t="s">
        <v>732</v>
      </c>
      <c r="D1112" s="51">
        <v>1991</v>
      </c>
      <c r="E1112" s="53">
        <v>260141719</v>
      </c>
      <c r="F1112" s="53">
        <v>205080765</v>
      </c>
      <c r="G1112" s="53">
        <v>241177952</v>
      </c>
      <c r="H1112" s="53">
        <v>82311078</v>
      </c>
      <c r="I1112" s="54">
        <f t="shared" si="19"/>
        <v>788711514</v>
      </c>
      <c r="J1112" s="52">
        <v>0</v>
      </c>
      <c r="K1112" s="61"/>
      <c r="M1112" s="38" t="str">
        <f>IF([1]totrevprm!O1112="","",[1]totrevprm!O1112)</f>
        <v/>
      </c>
    </row>
    <row r="1113" spans="1:13">
      <c r="A1113" s="49" t="s">
        <v>56</v>
      </c>
      <c r="B1113" s="46" t="s">
        <v>793</v>
      </c>
      <c r="C1113" s="50" t="s">
        <v>732</v>
      </c>
      <c r="D1113" s="51">
        <v>1992</v>
      </c>
      <c r="E1113" s="53">
        <v>285808181</v>
      </c>
      <c r="F1113" s="53">
        <v>265144968.36000001</v>
      </c>
      <c r="G1113" s="53">
        <v>253737165</v>
      </c>
      <c r="H1113" s="53">
        <v>41944650</v>
      </c>
      <c r="I1113" s="54">
        <f t="shared" si="19"/>
        <v>846634964.36000001</v>
      </c>
      <c r="J1113" s="52">
        <v>0</v>
      </c>
      <c r="K1113" s="61"/>
      <c r="M1113" s="38" t="str">
        <f>IF([1]totrevprm!O1113="","",[1]totrevprm!O1113)</f>
        <v/>
      </c>
    </row>
    <row r="1114" spans="1:13">
      <c r="A1114" s="49" t="s">
        <v>56</v>
      </c>
      <c r="B1114" s="46" t="s">
        <v>793</v>
      </c>
      <c r="C1114" s="50" t="s">
        <v>732</v>
      </c>
      <c r="D1114" s="51">
        <v>1993</v>
      </c>
      <c r="E1114" s="53">
        <v>279493617</v>
      </c>
      <c r="F1114" s="53">
        <v>264027730</v>
      </c>
      <c r="G1114" s="53">
        <v>283496014</v>
      </c>
      <c r="H1114" s="53">
        <v>74308335</v>
      </c>
      <c r="I1114" s="54">
        <f t="shared" si="19"/>
        <v>901325696</v>
      </c>
      <c r="J1114" s="52">
        <v>0</v>
      </c>
      <c r="K1114" s="61"/>
      <c r="M1114" s="38" t="str">
        <f>IF([1]totrevprm!O1114="","",[1]totrevprm!O1114)</f>
        <v/>
      </c>
    </row>
    <row r="1115" spans="1:13">
      <c r="A1115" s="49" t="s">
        <v>56</v>
      </c>
      <c r="B1115" s="46" t="s">
        <v>793</v>
      </c>
      <c r="C1115" s="50" t="s">
        <v>732</v>
      </c>
      <c r="D1115" s="51">
        <v>1994</v>
      </c>
      <c r="E1115" s="53">
        <v>314086073</v>
      </c>
      <c r="F1115" s="53">
        <v>284405162</v>
      </c>
      <c r="G1115" s="53">
        <v>286147819</v>
      </c>
      <c r="H1115" s="53">
        <v>42554564</v>
      </c>
      <c r="I1115" s="54">
        <f t="shared" si="19"/>
        <v>927193618</v>
      </c>
      <c r="J1115" s="52">
        <v>0</v>
      </c>
      <c r="K1115" s="61"/>
      <c r="M1115" s="38" t="str">
        <f>IF([1]totrevprm!O1115="","",[1]totrevprm!O1115)</f>
        <v/>
      </c>
    </row>
    <row r="1116" spans="1:13">
      <c r="A1116" s="49" t="s">
        <v>56</v>
      </c>
      <c r="B1116" s="46" t="s">
        <v>793</v>
      </c>
      <c r="C1116" s="50" t="s">
        <v>732</v>
      </c>
      <c r="D1116" s="51">
        <v>1995</v>
      </c>
      <c r="E1116" s="53">
        <v>332373812</v>
      </c>
      <c r="F1116" s="53">
        <v>272400511</v>
      </c>
      <c r="G1116" s="53">
        <v>298025547</v>
      </c>
      <c r="H1116" s="53">
        <v>28369697</v>
      </c>
      <c r="I1116" s="54">
        <f t="shared" si="19"/>
        <v>931169567</v>
      </c>
      <c r="J1116" s="52">
        <v>0</v>
      </c>
      <c r="K1116" s="61"/>
      <c r="M1116" s="38" t="str">
        <f>IF([1]totrevprm!O1116="","",[1]totrevprm!O1116)</f>
        <v/>
      </c>
    </row>
    <row r="1117" spans="1:13">
      <c r="A1117" s="49" t="s">
        <v>56</v>
      </c>
      <c r="B1117" s="46" t="s">
        <v>793</v>
      </c>
      <c r="C1117" s="50" t="s">
        <v>762</v>
      </c>
      <c r="D1117" s="51">
        <v>1996</v>
      </c>
      <c r="E1117" s="53">
        <v>356329729</v>
      </c>
      <c r="F1117" s="53">
        <v>202957008</v>
      </c>
      <c r="G1117" s="53">
        <v>306213178</v>
      </c>
      <c r="H1117" s="53">
        <v>38576938</v>
      </c>
      <c r="I1117" s="54">
        <f t="shared" si="19"/>
        <v>904076853</v>
      </c>
      <c r="J1117" s="52">
        <v>0</v>
      </c>
      <c r="K1117" s="61"/>
      <c r="M1117" s="38" t="str">
        <f>IF([1]totrevprm!O1117="","",[1]totrevprm!O1117)</f>
        <v/>
      </c>
    </row>
    <row r="1118" spans="1:13">
      <c r="A1118" s="49" t="s">
        <v>56</v>
      </c>
      <c r="B1118" s="46" t="s">
        <v>793</v>
      </c>
      <c r="C1118" s="50" t="s">
        <v>732</v>
      </c>
      <c r="D1118" s="51">
        <v>1997</v>
      </c>
      <c r="E1118" s="53">
        <v>327085853</v>
      </c>
      <c r="F1118" s="53">
        <v>269116727</v>
      </c>
      <c r="G1118" s="53">
        <v>295343014</v>
      </c>
      <c r="H1118" s="53">
        <v>66111619</v>
      </c>
      <c r="I1118" s="54">
        <f t="shared" si="19"/>
        <v>957657213</v>
      </c>
      <c r="J1118" s="52">
        <v>0</v>
      </c>
      <c r="K1118" s="61"/>
      <c r="M1118" s="38" t="str">
        <f>IF([1]totrevprm!O1118="","",[1]totrevprm!O1118)</f>
        <v/>
      </c>
    </row>
    <row r="1119" spans="1:13">
      <c r="A1119" s="49" t="s">
        <v>56</v>
      </c>
      <c r="B1119" s="46" t="s">
        <v>793</v>
      </c>
      <c r="C1119" s="50" t="s">
        <v>732</v>
      </c>
      <c r="D1119" s="51">
        <v>1998</v>
      </c>
      <c r="E1119" s="53">
        <v>379340368</v>
      </c>
      <c r="F1119" s="53">
        <v>273163517</v>
      </c>
      <c r="G1119" s="53">
        <v>296275080</v>
      </c>
      <c r="H1119" s="53">
        <v>102922212</v>
      </c>
      <c r="I1119" s="54">
        <f t="shared" si="19"/>
        <v>1051701177</v>
      </c>
      <c r="J1119" s="52">
        <v>0</v>
      </c>
      <c r="K1119" s="61"/>
      <c r="M1119" s="38" t="str">
        <f>IF([1]totrevprm!O1119="","",[1]totrevprm!O1119)</f>
        <v/>
      </c>
    </row>
    <row r="1120" spans="1:13">
      <c r="A1120" s="49" t="s">
        <v>56</v>
      </c>
      <c r="B1120" s="46" t="s">
        <v>793</v>
      </c>
      <c r="C1120" s="50" t="s">
        <v>732</v>
      </c>
      <c r="D1120" s="51">
        <v>1999</v>
      </c>
      <c r="E1120" s="53">
        <v>383399884</v>
      </c>
      <c r="F1120" s="53">
        <v>353550676</v>
      </c>
      <c r="G1120" s="53">
        <v>311830778</v>
      </c>
      <c r="H1120" s="53">
        <v>85811125</v>
      </c>
      <c r="I1120" s="54">
        <f t="shared" si="19"/>
        <v>1134592463</v>
      </c>
      <c r="J1120" s="52">
        <v>0</v>
      </c>
      <c r="K1120" s="61"/>
      <c r="M1120" s="38" t="str">
        <f>IF([1]totrevprm!O1120="","",[1]totrevprm!O1120)</f>
        <v/>
      </c>
    </row>
    <row r="1121" spans="1:13">
      <c r="A1121" s="49" t="s">
        <v>56</v>
      </c>
      <c r="B1121" s="46" t="s">
        <v>793</v>
      </c>
      <c r="C1121" s="50" t="s">
        <v>732</v>
      </c>
      <c r="D1121" s="51">
        <v>2000</v>
      </c>
      <c r="E1121" s="53">
        <v>371612555</v>
      </c>
      <c r="F1121" s="53">
        <v>356810727</v>
      </c>
      <c r="G1121" s="53">
        <v>327324467</v>
      </c>
      <c r="H1121" s="53">
        <v>49837913</v>
      </c>
      <c r="I1121" s="54">
        <f t="shared" si="19"/>
        <v>1105585662</v>
      </c>
      <c r="J1121" s="52">
        <v>0</v>
      </c>
      <c r="K1121" s="61"/>
      <c r="M1121" s="38" t="str">
        <f>IF([1]totrevprm!O1121="","",[1]totrevprm!O1121)</f>
        <v/>
      </c>
    </row>
    <row r="1122" spans="1:13">
      <c r="A1122" s="49" t="s">
        <v>56</v>
      </c>
      <c r="B1122" s="46" t="s">
        <v>793</v>
      </c>
      <c r="C1122" s="50" t="s">
        <v>732</v>
      </c>
      <c r="D1122" s="51">
        <v>2001</v>
      </c>
      <c r="E1122" s="53">
        <v>363577918</v>
      </c>
      <c r="F1122" s="53">
        <v>493492136</v>
      </c>
      <c r="G1122" s="53">
        <v>327779405</v>
      </c>
      <c r="H1122" s="53">
        <v>39427603</v>
      </c>
      <c r="I1122" s="54">
        <f t="shared" si="19"/>
        <v>1224277062</v>
      </c>
      <c r="J1122" s="52">
        <v>0</v>
      </c>
      <c r="K1122" s="61"/>
      <c r="M1122" s="38" t="str">
        <f>IF([1]totrevprm!O1122="","",[1]totrevprm!O1122)</f>
        <v/>
      </c>
    </row>
    <row r="1123" spans="1:13">
      <c r="A1123" s="49" t="s">
        <v>56</v>
      </c>
      <c r="B1123" s="46" t="s">
        <v>793</v>
      </c>
      <c r="C1123" s="50" t="s">
        <v>732</v>
      </c>
      <c r="D1123" s="51">
        <v>2002</v>
      </c>
      <c r="E1123" s="53">
        <v>346960375</v>
      </c>
      <c r="F1123" s="53">
        <v>774499331</v>
      </c>
      <c r="G1123" s="53">
        <v>339227506</v>
      </c>
      <c r="H1123" s="53">
        <v>110238020</v>
      </c>
      <c r="I1123" s="54">
        <f t="shared" si="19"/>
        <v>1570925232</v>
      </c>
      <c r="J1123" s="52">
        <v>0</v>
      </c>
      <c r="K1123" s="61"/>
      <c r="M1123" s="38" t="str">
        <f>IF([1]totrevprm!O1123="","",[1]totrevprm!O1123)</f>
        <v/>
      </c>
    </row>
    <row r="1124" spans="1:13">
      <c r="A1124" s="49" t="s">
        <v>56</v>
      </c>
      <c r="B1124" s="46" t="s">
        <v>793</v>
      </c>
      <c r="C1124" s="50" t="s">
        <v>732</v>
      </c>
      <c r="D1124" s="51">
        <v>2003</v>
      </c>
      <c r="E1124" s="55">
        <v>383633208</v>
      </c>
      <c r="F1124" s="55">
        <v>686958663</v>
      </c>
      <c r="G1124" s="55">
        <v>358910278</v>
      </c>
      <c r="H1124" s="55">
        <v>74796393</v>
      </c>
      <c r="I1124" s="54">
        <f t="shared" si="19"/>
        <v>1504298542</v>
      </c>
      <c r="J1124" s="52">
        <v>0</v>
      </c>
      <c r="K1124" s="61"/>
      <c r="M1124" s="38" t="str">
        <f>IF([1]totrevprm!O1124="","",[1]totrevprm!O1124)</f>
        <v/>
      </c>
    </row>
    <row r="1125" spans="1:13">
      <c r="A1125" s="49" t="s">
        <v>56</v>
      </c>
      <c r="B1125" s="46" t="s">
        <v>793</v>
      </c>
      <c r="C1125" s="50" t="s">
        <v>732</v>
      </c>
      <c r="D1125" s="51">
        <v>2004</v>
      </c>
      <c r="E1125" s="55">
        <v>381166967</v>
      </c>
      <c r="F1125" s="55">
        <v>641007904</v>
      </c>
      <c r="G1125" s="55">
        <v>394769423</v>
      </c>
      <c r="H1125" s="55">
        <v>91170299</v>
      </c>
      <c r="I1125" s="54">
        <f t="shared" si="19"/>
        <v>1508114593</v>
      </c>
      <c r="J1125" s="52">
        <v>0</v>
      </c>
      <c r="K1125" s="61"/>
      <c r="M1125" s="38" t="str">
        <f>IF([1]totrevprm!O1125="","",[1]totrevprm!O1125)</f>
        <v/>
      </c>
    </row>
    <row r="1126" spans="1:13">
      <c r="A1126" s="49" t="s">
        <v>56</v>
      </c>
      <c r="B1126" s="46" t="s">
        <v>793</v>
      </c>
      <c r="C1126" s="50"/>
      <c r="D1126" s="51">
        <v>2005</v>
      </c>
      <c r="E1126" s="55">
        <v>412156500</v>
      </c>
      <c r="F1126" s="55">
        <v>593862991</v>
      </c>
      <c r="G1126" s="55">
        <v>428512325.73000002</v>
      </c>
      <c r="H1126" s="55">
        <v>129230456</v>
      </c>
      <c r="I1126" s="54">
        <f t="shared" si="19"/>
        <v>1563762272.73</v>
      </c>
      <c r="J1126" s="52">
        <v>0</v>
      </c>
      <c r="K1126" s="61"/>
      <c r="M1126" s="38" t="str">
        <f>IF([1]totrevprm!O1126="","",[1]totrevprm!O1126)</f>
        <v/>
      </c>
    </row>
    <row r="1127" spans="1:13">
      <c r="A1127" s="49" t="s">
        <v>56</v>
      </c>
      <c r="B1127" s="46" t="s">
        <v>793</v>
      </c>
      <c r="C1127" s="50"/>
      <c r="D1127" s="51">
        <v>2006</v>
      </c>
      <c r="E1127" s="56">
        <v>444502774</v>
      </c>
      <c r="F1127" s="56">
        <v>558130092</v>
      </c>
      <c r="G1127" s="56">
        <v>496838075</v>
      </c>
      <c r="H1127" s="56">
        <v>168348202</v>
      </c>
      <c r="I1127" s="54">
        <f t="shared" si="19"/>
        <v>1667819143</v>
      </c>
      <c r="J1127" s="52">
        <v>0</v>
      </c>
      <c r="K1127" s="61"/>
      <c r="M1127" s="38" t="str">
        <f>IF([1]totrevprm!O1127="","",[1]totrevprm!O1127)</f>
        <v/>
      </c>
    </row>
    <row r="1128" spans="1:13">
      <c r="A1128" s="49" t="s">
        <v>56</v>
      </c>
      <c r="B1128" s="46" t="s">
        <v>793</v>
      </c>
      <c r="C1128" s="50"/>
      <c r="D1128" s="51">
        <v>2007</v>
      </c>
      <c r="E1128" s="56">
        <v>477497084</v>
      </c>
      <c r="F1128" s="56">
        <v>559526907</v>
      </c>
      <c r="G1128" s="56">
        <v>868271880</v>
      </c>
      <c r="H1128" s="56">
        <v>80082857</v>
      </c>
      <c r="I1128" s="54">
        <f t="shared" si="19"/>
        <v>1985378728</v>
      </c>
      <c r="J1128" s="52">
        <v>0</v>
      </c>
      <c r="K1128" s="61"/>
      <c r="M1128" s="38" t="str">
        <f>IF([1]totrevprm!O1128="","",[1]totrevprm!O1128)</f>
        <v/>
      </c>
    </row>
    <row r="1129" spans="1:13">
      <c r="A1129" s="49" t="s">
        <v>56</v>
      </c>
      <c r="B1129" s="46" t="s">
        <v>793</v>
      </c>
      <c r="C1129" s="50"/>
      <c r="D1129" s="51">
        <v>2008</v>
      </c>
      <c r="E1129" s="56">
        <v>471342822</v>
      </c>
      <c r="F1129" s="56">
        <v>795665312</v>
      </c>
      <c r="G1129" s="56">
        <v>1037783684</v>
      </c>
      <c r="H1129" s="56">
        <v>261653876</v>
      </c>
      <c r="I1129" s="54">
        <f t="shared" si="19"/>
        <v>2566445694</v>
      </c>
      <c r="J1129" s="52">
        <v>0</v>
      </c>
      <c r="K1129" s="61"/>
      <c r="M1129" s="38" t="str">
        <f>IF([1]totrevprm!O1129="","",[1]totrevprm!O1129)</f>
        <v/>
      </c>
    </row>
    <row r="1130" spans="1:13">
      <c r="A1130" s="49" t="s">
        <v>56</v>
      </c>
      <c r="B1130" s="46" t="s">
        <v>793</v>
      </c>
      <c r="C1130" s="50"/>
      <c r="D1130" s="51">
        <v>2009</v>
      </c>
      <c r="E1130" s="56">
        <v>501259480</v>
      </c>
      <c r="F1130" s="56">
        <v>828000435</v>
      </c>
      <c r="G1130" s="56">
        <v>1097122149</v>
      </c>
      <c r="H1130" s="56">
        <v>282328023</v>
      </c>
      <c r="I1130" s="54">
        <f t="shared" si="19"/>
        <v>2708710087</v>
      </c>
      <c r="J1130" s="52">
        <v>0</v>
      </c>
      <c r="K1130" s="61"/>
      <c r="M1130" s="38" t="str">
        <f>IF([1]totrevprm!O1130="","",[1]totrevprm!O1130)</f>
        <v/>
      </c>
    </row>
    <row r="1131" spans="1:13">
      <c r="A1131" s="49" t="s">
        <v>56</v>
      </c>
      <c r="B1131" s="46" t="s">
        <v>793</v>
      </c>
      <c r="C1131" s="50"/>
      <c r="D1131" s="51">
        <v>2010</v>
      </c>
      <c r="E1131" s="56">
        <v>513799242</v>
      </c>
      <c r="F1131" s="56">
        <v>763154173</v>
      </c>
      <c r="G1131" s="56">
        <v>1173877203</v>
      </c>
      <c r="H1131" s="56">
        <v>494814110</v>
      </c>
      <c r="I1131" s="54">
        <f t="shared" si="19"/>
        <v>2945644728</v>
      </c>
      <c r="J1131" s="52">
        <v>0</v>
      </c>
      <c r="K1131" s="61"/>
      <c r="M1131" s="38" t="str">
        <f>IF([1]totrevprm!O1131="","",[1]totrevprm!O1131)</f>
        <v/>
      </c>
    </row>
    <row r="1132" spans="1:13">
      <c r="A1132" s="49" t="s">
        <v>56</v>
      </c>
      <c r="B1132" s="46" t="s">
        <v>793</v>
      </c>
      <c r="C1132" s="50"/>
      <c r="D1132" s="51">
        <v>2011</v>
      </c>
      <c r="E1132" s="56">
        <v>522619402</v>
      </c>
      <c r="F1132" s="56">
        <v>606420884</v>
      </c>
      <c r="G1132" s="56">
        <v>1356175416.9400001</v>
      </c>
      <c r="H1132" s="56">
        <v>482548453</v>
      </c>
      <c r="I1132" s="54">
        <f t="shared" si="19"/>
        <v>2967764155.9400001</v>
      </c>
      <c r="J1132" s="52">
        <v>0</v>
      </c>
      <c r="K1132" s="61"/>
      <c r="M1132" s="38" t="str">
        <f>IF([1]totrevprm!O1132="","",[1]totrevprm!O1132)</f>
        <v/>
      </c>
    </row>
    <row r="1133" spans="1:13">
      <c r="A1133" s="49" t="s">
        <v>56</v>
      </c>
      <c r="B1133" s="46" t="s">
        <v>793</v>
      </c>
      <c r="C1133" s="50"/>
      <c r="D1133" s="51">
        <v>2012</v>
      </c>
      <c r="E1133" s="56">
        <v>593175594</v>
      </c>
      <c r="F1133" s="56">
        <v>849596896</v>
      </c>
      <c r="G1133" s="56">
        <v>1086540751</v>
      </c>
      <c r="H1133" s="56">
        <v>167588601</v>
      </c>
      <c r="I1133" s="54">
        <f t="shared" si="19"/>
        <v>2696901842</v>
      </c>
      <c r="J1133" s="52">
        <v>0</v>
      </c>
      <c r="K1133" s="61"/>
      <c r="M1133" s="38" t="str">
        <f>IF([1]totrevprm!O1133="","",[1]totrevprm!O1133)</f>
        <v/>
      </c>
    </row>
    <row r="1134" spans="1:13">
      <c r="A1134" s="49" t="s">
        <v>56</v>
      </c>
      <c r="B1134" s="46" t="s">
        <v>793</v>
      </c>
      <c r="C1134" s="50"/>
      <c r="D1134" s="51">
        <v>2013</v>
      </c>
      <c r="E1134" s="56">
        <v>546481681</v>
      </c>
      <c r="F1134" s="56">
        <v>870464239</v>
      </c>
      <c r="G1134" s="56">
        <v>1105719793</v>
      </c>
      <c r="H1134" s="56">
        <v>582879699</v>
      </c>
      <c r="I1134" s="54">
        <f t="shared" si="19"/>
        <v>3105545412</v>
      </c>
      <c r="J1134" s="52">
        <v>0</v>
      </c>
      <c r="K1134" s="61"/>
      <c r="M1134" s="38" t="str">
        <f>IF([1]totrevprm!O1134="","",[1]totrevprm!O1134)</f>
        <v/>
      </c>
    </row>
    <row r="1135" spans="1:13">
      <c r="A1135" s="49" t="s">
        <v>56</v>
      </c>
      <c r="B1135" s="46" t="s">
        <v>793</v>
      </c>
      <c r="C1135" s="50"/>
      <c r="D1135" s="51">
        <v>2014</v>
      </c>
      <c r="E1135" s="56">
        <v>560684666</v>
      </c>
      <c r="F1135" s="56">
        <v>923133517</v>
      </c>
      <c r="G1135" s="56">
        <v>1071736115.95</v>
      </c>
      <c r="H1135" s="56">
        <v>409692612</v>
      </c>
      <c r="I1135" s="54">
        <f t="shared" si="19"/>
        <v>2965246910.9499998</v>
      </c>
      <c r="J1135" s="52">
        <v>0</v>
      </c>
      <c r="K1135" s="61"/>
      <c r="M1135" s="38" t="str">
        <f>IF([1]totrevprm!O1135="","",[1]totrevprm!O1135)</f>
        <v/>
      </c>
    </row>
    <row r="1136" spans="1:13">
      <c r="A1136" s="49" t="s">
        <v>56</v>
      </c>
      <c r="B1136" s="46" t="s">
        <v>793</v>
      </c>
      <c r="C1136" s="50"/>
      <c r="D1136" s="51">
        <v>2015</v>
      </c>
      <c r="E1136" s="56">
        <v>582507540</v>
      </c>
      <c r="F1136" s="56">
        <v>1644751861</v>
      </c>
      <c r="G1136" s="56">
        <v>910142634</v>
      </c>
      <c r="H1136" s="56">
        <v>19433854</v>
      </c>
      <c r="I1136" s="54">
        <f t="shared" si="19"/>
        <v>3156835889</v>
      </c>
      <c r="J1136" s="52">
        <v>357523045</v>
      </c>
      <c r="K1136" s="61" t="s">
        <v>736</v>
      </c>
      <c r="L1136" t="s">
        <v>720</v>
      </c>
      <c r="M1136" s="38" t="str">
        <f>IF([1]totrevprm!O1136="","",[1]totrevprm!O1136)</f>
        <v/>
      </c>
    </row>
    <row r="1137" spans="1:13">
      <c r="A1137" s="49" t="s">
        <v>56</v>
      </c>
      <c r="B1137" s="46" t="s">
        <v>793</v>
      </c>
      <c r="C1137" s="50"/>
      <c r="D1137" s="51">
        <v>2016</v>
      </c>
      <c r="E1137" s="56">
        <v>585963246</v>
      </c>
      <c r="F1137" s="56">
        <v>2842885065</v>
      </c>
      <c r="G1137" s="56">
        <v>971656243</v>
      </c>
      <c r="H1137" s="56">
        <v>35871328</v>
      </c>
      <c r="I1137" s="54">
        <f t="shared" si="19"/>
        <v>4436375882</v>
      </c>
      <c r="J1137" s="52">
        <v>1112223913</v>
      </c>
      <c r="K1137" s="61" t="s">
        <v>736</v>
      </c>
      <c r="L1137" t="s">
        <v>720</v>
      </c>
      <c r="M1137" s="38" t="str">
        <f>IF([1]totrevprm!O1137="","",[1]totrevprm!O1137)</f>
        <v/>
      </c>
    </row>
    <row r="1138" spans="1:13">
      <c r="A1138" s="49" t="s">
        <v>56</v>
      </c>
      <c r="B1138" s="46" t="s">
        <v>793</v>
      </c>
      <c r="C1138" s="50"/>
      <c r="D1138" s="51">
        <v>2017</v>
      </c>
      <c r="E1138" s="56">
        <v>615949350</v>
      </c>
      <c r="F1138" s="56">
        <v>1587534776</v>
      </c>
      <c r="G1138" s="56">
        <v>1032567372.05</v>
      </c>
      <c r="H1138" s="56">
        <v>25842955</v>
      </c>
      <c r="I1138" s="54">
        <f t="shared" si="19"/>
        <v>3261894453.0500002</v>
      </c>
      <c r="J1138" s="56">
        <v>68593659</v>
      </c>
      <c r="K1138" s="61" t="s">
        <v>736</v>
      </c>
      <c r="L1138" t="s">
        <v>720</v>
      </c>
      <c r="M1138" s="38" t="str">
        <f>IF([1]totrevprm!O1138="","",[1]totrevprm!O1138)</f>
        <v/>
      </c>
    </row>
    <row r="1139" spans="1:13">
      <c r="A1139" s="49" t="s">
        <v>56</v>
      </c>
      <c r="B1139" s="46" t="s">
        <v>793</v>
      </c>
      <c r="C1139" s="50"/>
      <c r="D1139" s="51">
        <v>2018</v>
      </c>
      <c r="E1139" s="56">
        <v>604866184</v>
      </c>
      <c r="F1139" s="56">
        <v>2102923927</v>
      </c>
      <c r="G1139" s="56">
        <v>1187734254.23</v>
      </c>
      <c r="H1139" s="56">
        <v>17998315</v>
      </c>
      <c r="I1139" s="54">
        <f t="shared" si="19"/>
        <v>3913522680.23</v>
      </c>
      <c r="J1139" s="56">
        <v>56794683</v>
      </c>
      <c r="K1139" s="61" t="s">
        <v>736</v>
      </c>
      <c r="L1139" t="s">
        <v>720</v>
      </c>
      <c r="M1139" s="38" t="str">
        <f>IF([1]totrevprm!O1139="","",[1]totrevprm!O1139)</f>
        <v/>
      </c>
    </row>
    <row r="1140" spans="1:13">
      <c r="A1140" s="49" t="s">
        <v>56</v>
      </c>
      <c r="B1140" s="46" t="s">
        <v>793</v>
      </c>
      <c r="C1140" s="50"/>
      <c r="D1140" s="51">
        <v>2019</v>
      </c>
      <c r="E1140" s="56">
        <v>621693544</v>
      </c>
      <c r="F1140" s="56">
        <v>1748911845</v>
      </c>
      <c r="G1140" s="56">
        <v>1130072575.75</v>
      </c>
      <c r="H1140" s="56">
        <v>21552986</v>
      </c>
      <c r="I1140" s="54">
        <f t="shared" si="19"/>
        <v>3522230950.75</v>
      </c>
      <c r="J1140" s="56">
        <v>9573430</v>
      </c>
      <c r="K1140" s="61" t="s">
        <v>736</v>
      </c>
      <c r="L1140" t="s">
        <v>720</v>
      </c>
      <c r="M1140" s="38" t="str">
        <f>IF([1]totrevprm!O1140="","",[1]totrevprm!O1140)</f>
        <v/>
      </c>
    </row>
    <row r="1141" spans="1:13">
      <c r="A1141" s="49" t="s">
        <v>56</v>
      </c>
      <c r="B1141" s="46" t="s">
        <v>793</v>
      </c>
      <c r="C1141" s="50"/>
      <c r="D1141" s="51">
        <v>2020</v>
      </c>
      <c r="E1141" s="56">
        <v>643762230</v>
      </c>
      <c r="F1141" s="56">
        <v>2105994542</v>
      </c>
      <c r="G1141" s="56">
        <v>2110548885</v>
      </c>
      <c r="H1141" s="56">
        <v>182987978</v>
      </c>
      <c r="I1141" s="54">
        <f t="shared" si="19"/>
        <v>5043293635</v>
      </c>
      <c r="J1141" s="56">
        <v>119097179</v>
      </c>
      <c r="K1141" s="61" t="s">
        <v>787</v>
      </c>
      <c r="L1141" t="s">
        <v>720</v>
      </c>
      <c r="M1141" s="38" t="str">
        <f>IF([1]totrevprm!O1141="","",[1]totrevprm!O1141)</f>
        <v>Yes</v>
      </c>
    </row>
    <row r="1142" spans="1:13">
      <c r="A1142" s="49" t="s">
        <v>56</v>
      </c>
      <c r="B1142" s="46" t="s">
        <v>793</v>
      </c>
      <c r="C1142" s="50"/>
      <c r="D1142" s="51">
        <v>2021</v>
      </c>
      <c r="E1142" s="56">
        <v>714149054</v>
      </c>
      <c r="F1142" s="56">
        <v>2254865195</v>
      </c>
      <c r="G1142" s="56">
        <v>2133645539</v>
      </c>
      <c r="H1142" s="56">
        <v>57078357</v>
      </c>
      <c r="I1142" s="54">
        <f t="shared" si="19"/>
        <v>5159738145</v>
      </c>
      <c r="J1142" s="53">
        <v>0</v>
      </c>
      <c r="K1142" s="61" t="s">
        <v>739</v>
      </c>
      <c r="L1142" t="s">
        <v>720</v>
      </c>
      <c r="M1142" s="38"/>
    </row>
    <row r="1143" spans="1:13">
      <c r="A1143" s="49" t="s">
        <v>56</v>
      </c>
      <c r="B1143" s="46" t="s">
        <v>793</v>
      </c>
      <c r="C1143" s="50"/>
      <c r="D1143" s="51">
        <v>2022</v>
      </c>
      <c r="E1143" s="56">
        <v>698215637</v>
      </c>
      <c r="F1143" s="56">
        <v>2547014677</v>
      </c>
      <c r="G1143" s="56">
        <v>2200680692</v>
      </c>
      <c r="H1143" s="56">
        <v>59772088</v>
      </c>
      <c r="I1143" s="54">
        <f t="shared" si="19"/>
        <v>5505683094</v>
      </c>
      <c r="J1143" s="53">
        <v>0</v>
      </c>
      <c r="K1143" s="61" t="s">
        <v>739</v>
      </c>
      <c r="L1143" t="s">
        <v>720</v>
      </c>
      <c r="M1143" s="38" t="str">
        <f>IF([1]totrevprm!O1146="","",[1]totrevprm!O1146)</f>
        <v/>
      </c>
    </row>
    <row r="1144" spans="1:13">
      <c r="A1144" s="49" t="s">
        <v>56</v>
      </c>
      <c r="B1144" s="46" t="s">
        <v>793</v>
      </c>
      <c r="C1144" s="50"/>
      <c r="D1144" s="51">
        <v>2023</v>
      </c>
      <c r="E1144" s="56">
        <v>705600203</v>
      </c>
      <c r="F1144" s="56">
        <v>2766367173.7248998</v>
      </c>
      <c r="G1144" s="56">
        <v>2302997628.2990999</v>
      </c>
      <c r="H1144" s="56">
        <v>32550519</v>
      </c>
      <c r="I1144" s="54">
        <f t="shared" si="19"/>
        <v>5807515524.0240002</v>
      </c>
      <c r="J1144" s="52">
        <v>0</v>
      </c>
      <c r="K1144" s="61" t="s">
        <v>739</v>
      </c>
      <c r="M1144" s="38"/>
    </row>
    <row r="1145" spans="1:13">
      <c r="A1145" s="49" t="s">
        <v>56</v>
      </c>
      <c r="B1145" s="46" t="s">
        <v>793</v>
      </c>
      <c r="C1145" s="50"/>
      <c r="D1145" s="57">
        <v>2024</v>
      </c>
      <c r="E1145" s="52">
        <v>743252623.61000001</v>
      </c>
      <c r="F1145" s="52">
        <v>3344117263.4299998</v>
      </c>
      <c r="G1145" s="52">
        <v>2378892133.9068003</v>
      </c>
      <c r="H1145" s="52">
        <v>48778889.460000001</v>
      </c>
      <c r="I1145" s="54">
        <f t="shared" si="19"/>
        <v>6515040910.4068003</v>
      </c>
      <c r="J1145" s="56">
        <v>0</v>
      </c>
      <c r="K1145" s="61" t="s">
        <v>739</v>
      </c>
      <c r="M1145" s="38"/>
    </row>
    <row r="1146" spans="1:13">
      <c r="A1146" s="49"/>
      <c r="B1146" s="50"/>
      <c r="C1146" s="50"/>
      <c r="E1146" s="53"/>
      <c r="F1146" s="53"/>
      <c r="G1146" s="53"/>
      <c r="H1146" s="53"/>
      <c r="I1146" s="54"/>
      <c r="J1146" s="52"/>
      <c r="K1146" s="61"/>
      <c r="M1146" s="38"/>
    </row>
    <row r="1147" spans="1:13">
      <c r="A1147" s="49" t="s">
        <v>57</v>
      </c>
      <c r="B1147" s="46" t="s">
        <v>293</v>
      </c>
      <c r="C1147" s="50" t="s">
        <v>794</v>
      </c>
      <c r="D1147" s="51">
        <v>1988</v>
      </c>
      <c r="E1147" s="53">
        <v>2073109199</v>
      </c>
      <c r="F1147" s="53">
        <v>1731834873</v>
      </c>
      <c r="G1147" s="53">
        <v>4227426164</v>
      </c>
      <c r="H1147" s="53">
        <v>1108412108</v>
      </c>
      <c r="I1147" s="54">
        <f t="shared" si="19"/>
        <v>9140782344</v>
      </c>
      <c r="J1147" s="52">
        <v>0</v>
      </c>
      <c r="K1147" s="61"/>
      <c r="M1147" s="38" t="str">
        <f>IF([1]totrevprm!O1147="","",[1]totrevprm!O1147)</f>
        <v/>
      </c>
    </row>
    <row r="1148" spans="1:13">
      <c r="A1148" s="49" t="s">
        <v>57</v>
      </c>
      <c r="B1148" s="46" t="s">
        <v>293</v>
      </c>
      <c r="C1148" s="50" t="s">
        <v>795</v>
      </c>
      <c r="D1148" s="51">
        <v>1989</v>
      </c>
      <c r="E1148" s="53">
        <v>2183764728</v>
      </c>
      <c r="F1148" s="53">
        <v>1974007514</v>
      </c>
      <c r="G1148" s="53">
        <v>4745054555</v>
      </c>
      <c r="H1148" s="53">
        <v>969808889</v>
      </c>
      <c r="I1148" s="54">
        <f t="shared" si="19"/>
        <v>9872635686</v>
      </c>
      <c r="J1148" s="52">
        <v>0</v>
      </c>
      <c r="K1148" s="61"/>
      <c r="M1148" s="38" t="str">
        <f>IF([1]totrevprm!O1148="","",[1]totrevprm!O1148)</f>
        <v/>
      </c>
    </row>
    <row r="1149" spans="1:13">
      <c r="A1149" s="49" t="s">
        <v>57</v>
      </c>
      <c r="B1149" s="46" t="s">
        <v>293</v>
      </c>
      <c r="C1149" s="50" t="s">
        <v>796</v>
      </c>
      <c r="D1149" s="51">
        <v>1990</v>
      </c>
      <c r="E1149" s="53">
        <v>2364265442</v>
      </c>
      <c r="F1149" s="53">
        <v>2550437378.9200001</v>
      </c>
      <c r="G1149" s="53">
        <v>4888106724</v>
      </c>
      <c r="H1149" s="53">
        <v>1133655124</v>
      </c>
      <c r="I1149" s="54">
        <f t="shared" si="19"/>
        <v>10936464668.92</v>
      </c>
      <c r="J1149" s="52">
        <v>0</v>
      </c>
      <c r="K1149" s="61"/>
      <c r="M1149" s="38" t="str">
        <f>IF([1]totrevprm!O1149="","",[1]totrevprm!O1149)</f>
        <v/>
      </c>
    </row>
    <row r="1150" spans="1:13">
      <c r="A1150" s="49" t="s">
        <v>57</v>
      </c>
      <c r="B1150" s="46" t="s">
        <v>293</v>
      </c>
      <c r="C1150" s="50" t="s">
        <v>797</v>
      </c>
      <c r="D1150" s="51">
        <v>1991</v>
      </c>
      <c r="E1150" s="53">
        <v>2444151278</v>
      </c>
      <c r="F1150" s="53">
        <v>2481827275</v>
      </c>
      <c r="G1150" s="53">
        <v>4397986945</v>
      </c>
      <c r="H1150" s="53">
        <v>877253188</v>
      </c>
      <c r="I1150" s="54">
        <f t="shared" si="19"/>
        <v>10201218686</v>
      </c>
      <c r="J1150" s="52">
        <v>0</v>
      </c>
      <c r="K1150" s="61"/>
      <c r="M1150" s="38" t="str">
        <f>IF([1]totrevprm!O1150="","",[1]totrevprm!O1150)</f>
        <v/>
      </c>
    </row>
    <row r="1151" spans="1:13">
      <c r="A1151" s="49" t="s">
        <v>57</v>
      </c>
      <c r="B1151" s="46" t="s">
        <v>293</v>
      </c>
      <c r="C1151" s="50" t="s">
        <v>732</v>
      </c>
      <c r="D1151" s="51">
        <v>1992</v>
      </c>
      <c r="E1151" s="53">
        <v>2689828543</v>
      </c>
      <c r="F1151" s="53">
        <v>2929192389.8000002</v>
      </c>
      <c r="G1151" s="53">
        <v>4327663715</v>
      </c>
      <c r="H1151" s="53">
        <v>575311765</v>
      </c>
      <c r="I1151" s="54">
        <f t="shared" si="19"/>
        <v>10521996412.799999</v>
      </c>
      <c r="J1151" s="52">
        <v>0</v>
      </c>
      <c r="K1151" s="61"/>
      <c r="M1151" s="38" t="str">
        <f>IF([1]totrevprm!O1151="","",[1]totrevprm!O1151)</f>
        <v/>
      </c>
    </row>
    <row r="1152" spans="1:13">
      <c r="A1152" s="49" t="s">
        <v>57</v>
      </c>
      <c r="B1152" s="46" t="s">
        <v>293</v>
      </c>
      <c r="C1152" s="50" t="s">
        <v>732</v>
      </c>
      <c r="D1152" s="51">
        <v>1993</v>
      </c>
      <c r="E1152" s="53">
        <v>2996718589</v>
      </c>
      <c r="F1152" s="53">
        <v>2532350985</v>
      </c>
      <c r="G1152" s="53">
        <v>4245833860</v>
      </c>
      <c r="H1152" s="53">
        <v>593521279</v>
      </c>
      <c r="I1152" s="54">
        <f t="shared" si="19"/>
        <v>10368424713</v>
      </c>
      <c r="J1152" s="52">
        <v>0</v>
      </c>
      <c r="K1152" s="61"/>
      <c r="M1152" s="38" t="str">
        <f>IF([1]totrevprm!O1152="","",[1]totrevprm!O1152)</f>
        <v/>
      </c>
    </row>
    <row r="1153" spans="1:13">
      <c r="A1153" s="49" t="s">
        <v>57</v>
      </c>
      <c r="B1153" s="46" t="s">
        <v>293</v>
      </c>
      <c r="C1153" s="50" t="s">
        <v>798</v>
      </c>
      <c r="D1153" s="51">
        <v>1994</v>
      </c>
      <c r="E1153" s="53">
        <v>3231932887</v>
      </c>
      <c r="F1153" s="53">
        <v>2957910836</v>
      </c>
      <c r="G1153" s="53">
        <v>4269926095</v>
      </c>
      <c r="H1153" s="53">
        <v>639234053</v>
      </c>
      <c r="I1153" s="54">
        <f t="shared" si="19"/>
        <v>11099003871</v>
      </c>
      <c r="J1153" s="52">
        <v>0</v>
      </c>
      <c r="K1153" s="61"/>
      <c r="M1153" s="38" t="str">
        <f>IF([1]totrevprm!O1153="","",[1]totrevprm!O1153)</f>
        <v/>
      </c>
    </row>
    <row r="1154" spans="1:13">
      <c r="A1154" s="49" t="s">
        <v>57</v>
      </c>
      <c r="B1154" s="46" t="s">
        <v>293</v>
      </c>
      <c r="C1154" s="50" t="s">
        <v>732</v>
      </c>
      <c r="D1154" s="51">
        <v>1995</v>
      </c>
      <c r="E1154" s="53">
        <v>3175155312</v>
      </c>
      <c r="F1154" s="53">
        <v>2682124713</v>
      </c>
      <c r="G1154" s="53">
        <v>4157029058</v>
      </c>
      <c r="H1154" s="53">
        <v>491233902</v>
      </c>
      <c r="I1154" s="54">
        <f t="shared" si="19"/>
        <v>10505542985</v>
      </c>
      <c r="J1154" s="52">
        <v>0</v>
      </c>
      <c r="K1154" s="61"/>
      <c r="M1154" s="38" t="str">
        <f>IF([1]totrevprm!O1154="","",[1]totrevprm!O1154)</f>
        <v/>
      </c>
    </row>
    <row r="1155" spans="1:13">
      <c r="A1155" s="49" t="s">
        <v>57</v>
      </c>
      <c r="B1155" s="46" t="s">
        <v>293</v>
      </c>
      <c r="C1155" s="50" t="s">
        <v>732</v>
      </c>
      <c r="D1155" s="51">
        <v>1996</v>
      </c>
      <c r="E1155" s="53">
        <v>2999224711</v>
      </c>
      <c r="F1155" s="53">
        <v>2302871125</v>
      </c>
      <c r="G1155" s="53">
        <v>4252812116</v>
      </c>
      <c r="H1155" s="53">
        <v>640455344</v>
      </c>
      <c r="I1155" s="54">
        <f t="shared" si="19"/>
        <v>10195363296</v>
      </c>
      <c r="J1155" s="52">
        <v>0</v>
      </c>
      <c r="K1155" s="61"/>
      <c r="M1155" s="38" t="str">
        <f>IF([1]totrevprm!O1155="","",[1]totrevprm!O1155)</f>
        <v/>
      </c>
    </row>
    <row r="1156" spans="1:13">
      <c r="A1156" s="49" t="s">
        <v>57</v>
      </c>
      <c r="B1156" s="46" t="s">
        <v>293</v>
      </c>
      <c r="C1156" s="50" t="s">
        <v>732</v>
      </c>
      <c r="D1156" s="51">
        <v>1997</v>
      </c>
      <c r="E1156" s="53">
        <v>3196860901</v>
      </c>
      <c r="F1156" s="53">
        <v>2545256440</v>
      </c>
      <c r="G1156" s="53">
        <v>4294005693</v>
      </c>
      <c r="H1156" s="53">
        <v>479246708</v>
      </c>
      <c r="I1156" s="54">
        <f t="shared" si="19"/>
        <v>10515369742</v>
      </c>
      <c r="J1156" s="52">
        <v>0</v>
      </c>
      <c r="K1156" s="61"/>
      <c r="M1156" s="38" t="str">
        <f>IF([1]totrevprm!O1156="","",[1]totrevprm!O1156)</f>
        <v/>
      </c>
    </row>
    <row r="1157" spans="1:13">
      <c r="A1157" s="49" t="s">
        <v>57</v>
      </c>
      <c r="B1157" s="46" t="s">
        <v>293</v>
      </c>
      <c r="C1157" s="50" t="s">
        <v>732</v>
      </c>
      <c r="D1157" s="51">
        <v>1998</v>
      </c>
      <c r="E1157" s="53">
        <v>3594018956</v>
      </c>
      <c r="F1157" s="53">
        <v>2346820388</v>
      </c>
      <c r="G1157" s="53">
        <v>4391742488</v>
      </c>
      <c r="H1157" s="53">
        <v>303854623</v>
      </c>
      <c r="I1157" s="54">
        <f t="shared" si="19"/>
        <v>10636436455</v>
      </c>
      <c r="J1157" s="52">
        <v>0</v>
      </c>
      <c r="K1157" s="61"/>
      <c r="M1157" s="38" t="str">
        <f>IF([1]totrevprm!O1157="","",[1]totrevprm!O1157)</f>
        <v/>
      </c>
    </row>
    <row r="1158" spans="1:13">
      <c r="A1158" s="49" t="s">
        <v>57</v>
      </c>
      <c r="B1158" s="46" t="s">
        <v>293</v>
      </c>
      <c r="C1158" s="50" t="s">
        <v>732</v>
      </c>
      <c r="D1158" s="51">
        <v>1999</v>
      </c>
      <c r="E1158" s="53">
        <v>3131582842</v>
      </c>
      <c r="F1158" s="53">
        <v>2744233755</v>
      </c>
      <c r="G1158" s="53">
        <v>4524544981</v>
      </c>
      <c r="H1158" s="53">
        <v>643538393</v>
      </c>
      <c r="I1158" s="54">
        <f t="shared" si="19"/>
        <v>11043899971</v>
      </c>
      <c r="J1158" s="52">
        <v>0</v>
      </c>
      <c r="K1158" s="61"/>
      <c r="M1158" s="38" t="str">
        <f>IF([1]totrevprm!O1158="","",[1]totrevprm!O1158)</f>
        <v/>
      </c>
    </row>
    <row r="1159" spans="1:13">
      <c r="A1159" s="49" t="s">
        <v>57</v>
      </c>
      <c r="B1159" s="46" t="s">
        <v>293</v>
      </c>
      <c r="C1159" s="50" t="s">
        <v>732</v>
      </c>
      <c r="D1159" s="51">
        <v>2000</v>
      </c>
      <c r="E1159" s="53">
        <v>3336450761</v>
      </c>
      <c r="F1159" s="53">
        <v>3602748260</v>
      </c>
      <c r="G1159" s="53">
        <v>4697743590</v>
      </c>
      <c r="H1159" s="53">
        <v>667276739</v>
      </c>
      <c r="I1159" s="54">
        <f t="shared" si="19"/>
        <v>12304219350</v>
      </c>
      <c r="J1159" s="52">
        <v>0</v>
      </c>
      <c r="K1159" s="61"/>
      <c r="M1159" s="38" t="str">
        <f>IF([1]totrevprm!O1159="","",[1]totrevprm!O1159)</f>
        <v/>
      </c>
    </row>
    <row r="1160" spans="1:13">
      <c r="A1160" s="49" t="s">
        <v>57</v>
      </c>
      <c r="B1160" s="46" t="s">
        <v>293</v>
      </c>
      <c r="C1160" s="50" t="s">
        <v>732</v>
      </c>
      <c r="D1160" s="51">
        <v>2001</v>
      </c>
      <c r="E1160" s="53">
        <v>3254615957</v>
      </c>
      <c r="F1160" s="53">
        <v>5163369591</v>
      </c>
      <c r="G1160" s="53">
        <v>5059968369</v>
      </c>
      <c r="H1160" s="53">
        <v>470562350</v>
      </c>
      <c r="I1160" s="54">
        <f t="shared" si="19"/>
        <v>13948516267</v>
      </c>
      <c r="J1160" s="52">
        <v>0</v>
      </c>
      <c r="K1160" s="61"/>
      <c r="M1160" s="38" t="str">
        <f>IF([1]totrevprm!O1160="","",[1]totrevprm!O1160)</f>
        <v/>
      </c>
    </row>
    <row r="1161" spans="1:13">
      <c r="A1161" s="49" t="s">
        <v>57</v>
      </c>
      <c r="B1161" s="46" t="s">
        <v>293</v>
      </c>
      <c r="C1161" s="50" t="s">
        <v>732</v>
      </c>
      <c r="D1161" s="51">
        <v>2002</v>
      </c>
      <c r="E1161" s="53">
        <v>3524610093</v>
      </c>
      <c r="F1161" s="53">
        <v>6900012912</v>
      </c>
      <c r="G1161" s="53">
        <v>5110299481</v>
      </c>
      <c r="H1161" s="53">
        <v>379130839</v>
      </c>
      <c r="I1161" s="54">
        <f t="shared" si="19"/>
        <v>15914053325</v>
      </c>
      <c r="J1161" s="52">
        <v>0</v>
      </c>
      <c r="K1161" s="61"/>
      <c r="M1161" s="38" t="str">
        <f>IF([1]totrevprm!O1161="","",[1]totrevprm!O1161)</f>
        <v/>
      </c>
    </row>
    <row r="1162" spans="1:13">
      <c r="A1162" s="49" t="s">
        <v>57</v>
      </c>
      <c r="B1162" s="46" t="s">
        <v>293</v>
      </c>
      <c r="C1162" s="50" t="s">
        <v>732</v>
      </c>
      <c r="D1162" s="51">
        <v>2003</v>
      </c>
      <c r="E1162" s="55">
        <v>3772083713</v>
      </c>
      <c r="F1162" s="55">
        <v>6399872712</v>
      </c>
      <c r="G1162" s="55">
        <v>5390004672</v>
      </c>
      <c r="H1162" s="55">
        <v>634576551</v>
      </c>
      <c r="I1162" s="54">
        <f t="shared" ref="I1162:I1226" si="20">SUM(E1162:H1162)</f>
        <v>16196537648</v>
      </c>
      <c r="J1162" s="52">
        <v>0</v>
      </c>
      <c r="K1162" s="61"/>
      <c r="M1162" s="38" t="str">
        <f>IF([1]totrevprm!O1162="","",[1]totrevprm!O1162)</f>
        <v/>
      </c>
    </row>
    <row r="1163" spans="1:13">
      <c r="A1163" s="49" t="s">
        <v>57</v>
      </c>
      <c r="B1163" s="46" t="s">
        <v>293</v>
      </c>
      <c r="C1163" s="50" t="s">
        <v>732</v>
      </c>
      <c r="D1163" s="51">
        <v>2004</v>
      </c>
      <c r="E1163" s="55">
        <v>4204052289</v>
      </c>
      <c r="F1163" s="55">
        <v>5294540755</v>
      </c>
      <c r="G1163" s="55">
        <v>5722735424</v>
      </c>
      <c r="H1163" s="55">
        <v>815329692</v>
      </c>
      <c r="I1163" s="54">
        <f t="shared" si="20"/>
        <v>16036658160</v>
      </c>
      <c r="J1163" s="52">
        <v>0</v>
      </c>
      <c r="K1163" s="61"/>
      <c r="M1163" s="38" t="str">
        <f>IF([1]totrevprm!O1163="","",[1]totrevprm!O1163)</f>
        <v/>
      </c>
    </row>
    <row r="1164" spans="1:13">
      <c r="A1164" s="49" t="s">
        <v>57</v>
      </c>
      <c r="B1164" s="46" t="s">
        <v>293</v>
      </c>
      <c r="C1164" s="50"/>
      <c r="D1164" s="51">
        <v>2005</v>
      </c>
      <c r="E1164" s="55">
        <v>4002026439</v>
      </c>
      <c r="F1164" s="55">
        <v>4959483318</v>
      </c>
      <c r="G1164" s="55">
        <v>6161664883.3599997</v>
      </c>
      <c r="H1164" s="55">
        <v>1319921261</v>
      </c>
      <c r="I1164" s="54">
        <f t="shared" si="20"/>
        <v>16443095901.360001</v>
      </c>
      <c r="J1164" s="52">
        <v>0</v>
      </c>
      <c r="K1164" s="61"/>
      <c r="M1164" s="38" t="str">
        <f>IF([1]totrevprm!O1164="","",[1]totrevprm!O1164)</f>
        <v/>
      </c>
    </row>
    <row r="1165" spans="1:13">
      <c r="A1165" s="49" t="s">
        <v>57</v>
      </c>
      <c r="B1165" s="46" t="s">
        <v>293</v>
      </c>
      <c r="C1165" s="50"/>
      <c r="D1165" s="51">
        <v>2006</v>
      </c>
      <c r="E1165" s="56">
        <v>4547140561</v>
      </c>
      <c r="F1165" s="56">
        <v>5470434982</v>
      </c>
      <c r="G1165" s="56">
        <v>7343310219</v>
      </c>
      <c r="H1165" s="56">
        <v>1214023392</v>
      </c>
      <c r="I1165" s="54">
        <f t="shared" si="20"/>
        <v>18574909154</v>
      </c>
      <c r="J1165" s="52">
        <v>0</v>
      </c>
      <c r="K1165" s="61"/>
      <c r="M1165" s="38" t="str">
        <f>IF([1]totrevprm!O1165="","",[1]totrevprm!O1165)</f>
        <v/>
      </c>
    </row>
    <row r="1166" spans="1:13">
      <c r="A1166" s="49" t="s">
        <v>57</v>
      </c>
      <c r="B1166" s="46" t="s">
        <v>293</v>
      </c>
      <c r="C1166" s="50"/>
      <c r="D1166" s="51">
        <v>2007</v>
      </c>
      <c r="E1166" s="56">
        <v>4441444134</v>
      </c>
      <c r="F1166" s="56">
        <v>5079390399</v>
      </c>
      <c r="G1166" s="56">
        <v>9335690450</v>
      </c>
      <c r="H1166" s="56">
        <v>836012711</v>
      </c>
      <c r="I1166" s="54">
        <f t="shared" si="20"/>
        <v>19692537694</v>
      </c>
      <c r="J1166" s="52">
        <v>0</v>
      </c>
      <c r="K1166" s="61"/>
      <c r="M1166" s="38" t="str">
        <f>IF([1]totrevprm!O1166="","",[1]totrevprm!O1166)</f>
        <v/>
      </c>
    </row>
    <row r="1167" spans="1:13">
      <c r="A1167" s="49" t="s">
        <v>57</v>
      </c>
      <c r="B1167" s="46" t="s">
        <v>293</v>
      </c>
      <c r="C1167" s="50"/>
      <c r="D1167" s="51">
        <v>2008</v>
      </c>
      <c r="E1167" s="56">
        <v>4338367211</v>
      </c>
      <c r="F1167" s="56">
        <v>7272418925</v>
      </c>
      <c r="G1167" s="56">
        <v>9853696947</v>
      </c>
      <c r="H1167" s="56">
        <v>846436484</v>
      </c>
      <c r="I1167" s="54">
        <f t="shared" si="20"/>
        <v>22310919567</v>
      </c>
      <c r="J1167" s="52">
        <v>0</v>
      </c>
      <c r="K1167" s="61"/>
      <c r="M1167" s="38" t="str">
        <f>IF([1]totrevprm!O1167="","",[1]totrevprm!O1167)</f>
        <v/>
      </c>
    </row>
    <row r="1168" spans="1:13">
      <c r="A1168" s="49" t="s">
        <v>57</v>
      </c>
      <c r="B1168" s="46" t="s">
        <v>293</v>
      </c>
      <c r="C1168" s="50"/>
      <c r="D1168" s="51">
        <v>2009</v>
      </c>
      <c r="E1168" s="56">
        <v>4569693896</v>
      </c>
      <c r="F1168" s="56">
        <v>7571069258</v>
      </c>
      <c r="G1168" s="56">
        <v>10028229272</v>
      </c>
      <c r="H1168" s="56">
        <v>390155994</v>
      </c>
      <c r="I1168" s="54">
        <f t="shared" si="20"/>
        <v>22559148420</v>
      </c>
      <c r="J1168" s="52">
        <v>0</v>
      </c>
      <c r="K1168" s="61"/>
      <c r="M1168" s="38" t="str">
        <f>IF([1]totrevprm!O1168="","",[1]totrevprm!O1168)</f>
        <v/>
      </c>
    </row>
    <row r="1169" spans="1:13">
      <c r="A1169" s="49" t="s">
        <v>57</v>
      </c>
      <c r="B1169" s="46" t="s">
        <v>293</v>
      </c>
      <c r="C1169" s="50"/>
      <c r="D1169" s="51">
        <v>2010</v>
      </c>
      <c r="E1169" s="56">
        <v>5113558117</v>
      </c>
      <c r="F1169" s="56">
        <v>7355793524</v>
      </c>
      <c r="G1169" s="56">
        <v>10197728285</v>
      </c>
      <c r="H1169" s="56">
        <v>329361195</v>
      </c>
      <c r="I1169" s="54">
        <f t="shared" si="20"/>
        <v>22996441121</v>
      </c>
      <c r="J1169" s="52">
        <v>0</v>
      </c>
      <c r="K1169" s="61"/>
      <c r="M1169" s="38" t="str">
        <f>IF([1]totrevprm!O1169="","",[1]totrevprm!O1169)</f>
        <v/>
      </c>
    </row>
    <row r="1170" spans="1:13">
      <c r="A1170" s="49" t="s">
        <v>57</v>
      </c>
      <c r="B1170" s="46" t="s">
        <v>293</v>
      </c>
      <c r="C1170" s="50"/>
      <c r="D1170" s="51">
        <v>2011</v>
      </c>
      <c r="E1170" s="56">
        <v>5103001172</v>
      </c>
      <c r="F1170" s="56">
        <v>6408280560</v>
      </c>
      <c r="G1170" s="56">
        <v>10012552908.869999</v>
      </c>
      <c r="H1170" s="56">
        <v>835585846</v>
      </c>
      <c r="I1170" s="54">
        <f t="shared" si="20"/>
        <v>22359420486.869999</v>
      </c>
      <c r="J1170" s="52">
        <v>0</v>
      </c>
      <c r="K1170" s="61"/>
      <c r="M1170" s="38" t="str">
        <f>IF([1]totrevprm!O1170="","",[1]totrevprm!O1170)</f>
        <v/>
      </c>
    </row>
    <row r="1171" spans="1:13">
      <c r="A1171" s="49" t="s">
        <v>57</v>
      </c>
      <c r="B1171" s="46" t="s">
        <v>293</v>
      </c>
      <c r="C1171" s="50"/>
      <c r="D1171" s="51">
        <v>2012</v>
      </c>
      <c r="E1171" s="56">
        <v>5352968466</v>
      </c>
      <c r="F1171" s="56">
        <v>7067272327</v>
      </c>
      <c r="G1171" s="56">
        <v>10800997005</v>
      </c>
      <c r="H1171" s="56">
        <v>1436345116</v>
      </c>
      <c r="I1171" s="54">
        <f t="shared" si="20"/>
        <v>24657582914</v>
      </c>
      <c r="J1171" s="52">
        <v>0</v>
      </c>
      <c r="K1171" s="61"/>
      <c r="M1171" s="38" t="str">
        <f>IF([1]totrevprm!O1171="","",[1]totrevprm!O1171)</f>
        <v/>
      </c>
    </row>
    <row r="1172" spans="1:13">
      <c r="A1172" s="49" t="s">
        <v>57</v>
      </c>
      <c r="B1172" s="46" t="s">
        <v>293</v>
      </c>
      <c r="C1172" s="50"/>
      <c r="D1172" s="51">
        <v>2013</v>
      </c>
      <c r="E1172" s="56">
        <v>5341790634</v>
      </c>
      <c r="F1172" s="56">
        <v>6099173020</v>
      </c>
      <c r="G1172" s="56">
        <v>11613834126</v>
      </c>
      <c r="H1172" s="56">
        <v>1147324864</v>
      </c>
      <c r="I1172" s="54">
        <f t="shared" si="20"/>
        <v>24202122644</v>
      </c>
      <c r="J1172" s="52">
        <v>0</v>
      </c>
      <c r="K1172" s="61"/>
      <c r="M1172" s="38" t="str">
        <f>IF([1]totrevprm!O1172="","",[1]totrevprm!O1172)</f>
        <v/>
      </c>
    </row>
    <row r="1173" spans="1:13">
      <c r="A1173" s="49" t="s">
        <v>57</v>
      </c>
      <c r="B1173" s="46" t="s">
        <v>293</v>
      </c>
      <c r="C1173" s="50"/>
      <c r="D1173" s="51">
        <v>2014</v>
      </c>
      <c r="E1173" s="56">
        <v>5777934813</v>
      </c>
      <c r="F1173" s="56">
        <v>6862035694</v>
      </c>
      <c r="G1173" s="56">
        <v>13776185262.459999</v>
      </c>
      <c r="H1173" s="56">
        <v>723722493</v>
      </c>
      <c r="I1173" s="54">
        <f t="shared" si="20"/>
        <v>27139878262.459999</v>
      </c>
      <c r="J1173" s="52">
        <v>0</v>
      </c>
      <c r="K1173" s="61"/>
      <c r="M1173" s="38" t="str">
        <f>IF([1]totrevprm!O1173="","",[1]totrevprm!O1173)</f>
        <v/>
      </c>
    </row>
    <row r="1174" spans="1:13">
      <c r="A1174" s="49" t="s">
        <v>57</v>
      </c>
      <c r="B1174" s="46" t="s">
        <v>293</v>
      </c>
      <c r="C1174" s="50"/>
      <c r="D1174" s="51">
        <v>2015</v>
      </c>
      <c r="E1174" s="56">
        <v>5865691132</v>
      </c>
      <c r="F1174" s="56">
        <v>7830102790</v>
      </c>
      <c r="G1174" s="52">
        <v>15209260591</v>
      </c>
      <c r="H1174" s="56">
        <v>529223102</v>
      </c>
      <c r="I1174" s="54">
        <f t="shared" si="20"/>
        <v>29434277615</v>
      </c>
      <c r="J1174" s="52">
        <v>0</v>
      </c>
      <c r="K1174" s="61"/>
      <c r="M1174" s="38" t="str">
        <f>IF([1]totrevprm!O1174="","",[1]totrevprm!O1174)</f>
        <v/>
      </c>
    </row>
    <row r="1175" spans="1:13">
      <c r="A1175" s="49" t="s">
        <v>57</v>
      </c>
      <c r="B1175" s="46" t="s">
        <v>293</v>
      </c>
      <c r="C1175" s="50"/>
      <c r="D1175" s="51">
        <v>2016</v>
      </c>
      <c r="E1175" s="56">
        <v>5944666518</v>
      </c>
      <c r="F1175" s="56">
        <v>7648289245</v>
      </c>
      <c r="G1175" s="52">
        <v>15921741881</v>
      </c>
      <c r="H1175" s="56">
        <v>435299380</v>
      </c>
      <c r="I1175" s="54">
        <f t="shared" si="20"/>
        <v>29949997024</v>
      </c>
      <c r="J1175" s="52">
        <v>0</v>
      </c>
      <c r="K1175" s="61"/>
      <c r="M1175" s="38" t="str">
        <f>IF([1]totrevprm!O1175="","",[1]totrevprm!O1175)</f>
        <v/>
      </c>
    </row>
    <row r="1176" spans="1:13">
      <c r="A1176" s="49" t="s">
        <v>57</v>
      </c>
      <c r="B1176" s="46" t="s">
        <v>293</v>
      </c>
      <c r="C1176" s="50"/>
      <c r="D1176" s="51">
        <v>2017</v>
      </c>
      <c r="E1176" s="56">
        <v>6403695519</v>
      </c>
      <c r="F1176" s="56">
        <v>7795921347</v>
      </c>
      <c r="G1176" s="52">
        <v>13660955868.889999</v>
      </c>
      <c r="H1176" s="56">
        <v>469491409</v>
      </c>
      <c r="I1176" s="54">
        <f t="shared" si="20"/>
        <v>28330064143.889999</v>
      </c>
      <c r="J1176" s="52">
        <v>0</v>
      </c>
      <c r="K1176" s="61" t="s">
        <v>749</v>
      </c>
      <c r="L1176" t="s">
        <v>720</v>
      </c>
      <c r="M1176" s="38" t="str">
        <f>IF([1]totrevprm!O1176="","",[1]totrevprm!O1176)</f>
        <v/>
      </c>
    </row>
    <row r="1177" spans="1:13">
      <c r="A1177" s="49" t="s">
        <v>57</v>
      </c>
      <c r="B1177" s="46" t="s">
        <v>293</v>
      </c>
      <c r="C1177" s="50"/>
      <c r="D1177" s="51">
        <v>2018</v>
      </c>
      <c r="E1177" s="56">
        <v>6250222990</v>
      </c>
      <c r="F1177" s="56">
        <v>9855656320</v>
      </c>
      <c r="G1177" s="52">
        <v>13589645403.41</v>
      </c>
      <c r="H1177" s="56">
        <v>519412755</v>
      </c>
      <c r="I1177" s="54">
        <f t="shared" si="20"/>
        <v>30214937468.41</v>
      </c>
      <c r="J1177" s="56">
        <v>0</v>
      </c>
      <c r="K1177" s="61" t="s">
        <v>749</v>
      </c>
      <c r="L1177" t="s">
        <v>720</v>
      </c>
      <c r="M1177" s="38" t="str">
        <f>IF([1]totrevprm!O1177="","",[1]totrevprm!O1177)</f>
        <v/>
      </c>
    </row>
    <row r="1178" spans="1:13">
      <c r="A1178" s="49" t="s">
        <v>57</v>
      </c>
      <c r="B1178" s="46" t="s">
        <v>293</v>
      </c>
      <c r="C1178" s="50"/>
      <c r="D1178" s="51">
        <v>2019</v>
      </c>
      <c r="E1178" s="56">
        <v>6540927269</v>
      </c>
      <c r="F1178" s="56">
        <v>10895249636</v>
      </c>
      <c r="G1178" s="52">
        <v>13617600875.023001</v>
      </c>
      <c r="H1178" s="56">
        <v>830446394</v>
      </c>
      <c r="I1178" s="54">
        <f t="shared" si="20"/>
        <v>31884224174.023003</v>
      </c>
      <c r="J1178" s="56">
        <v>0</v>
      </c>
      <c r="K1178" s="61"/>
      <c r="L1178" s="66"/>
      <c r="M1178" s="38" t="str">
        <f>IF([1]totrevprm!O1178="","",[1]totrevprm!O1178)</f>
        <v/>
      </c>
    </row>
    <row r="1179" spans="1:13">
      <c r="A1179" s="49" t="s">
        <v>57</v>
      </c>
      <c r="B1179" s="46" t="s">
        <v>293</v>
      </c>
      <c r="C1179" s="50"/>
      <c r="D1179" s="51">
        <v>2020</v>
      </c>
      <c r="E1179" s="56">
        <v>6613642363</v>
      </c>
      <c r="F1179" s="56">
        <v>9966243723</v>
      </c>
      <c r="G1179" s="56">
        <v>13720050889</v>
      </c>
      <c r="H1179" s="56">
        <v>908884723</v>
      </c>
      <c r="I1179" s="54">
        <f t="shared" si="20"/>
        <v>31208821698</v>
      </c>
      <c r="J1179" s="56">
        <v>0</v>
      </c>
      <c r="K1179" s="61"/>
      <c r="L1179" s="66"/>
      <c r="M1179" s="38" t="str">
        <f>IF([1]totrevprm!O1179="","",[1]totrevprm!O1179)</f>
        <v/>
      </c>
    </row>
    <row r="1180" spans="1:13">
      <c r="A1180" s="49" t="s">
        <v>57</v>
      </c>
      <c r="B1180" s="46" t="s">
        <v>293</v>
      </c>
      <c r="C1180" s="50"/>
      <c r="D1180" s="51">
        <v>2021</v>
      </c>
      <c r="E1180" s="56">
        <v>6970264872</v>
      </c>
      <c r="F1180" s="56">
        <v>10347754763</v>
      </c>
      <c r="G1180" s="56">
        <v>13861377799.880001</v>
      </c>
      <c r="H1180" s="56">
        <v>152084053</v>
      </c>
      <c r="I1180" s="54">
        <f t="shared" si="20"/>
        <v>31331481487.880001</v>
      </c>
      <c r="J1180" s="56">
        <v>0</v>
      </c>
      <c r="K1180" s="61"/>
      <c r="L1180" s="66"/>
      <c r="M1180" s="38"/>
    </row>
    <row r="1181" spans="1:13">
      <c r="A1181" s="49" t="s">
        <v>57</v>
      </c>
      <c r="B1181" s="46" t="s">
        <v>293</v>
      </c>
      <c r="C1181" s="50"/>
      <c r="D1181" s="51">
        <v>2022</v>
      </c>
      <c r="E1181" s="56">
        <v>7098187927</v>
      </c>
      <c r="F1181" s="56">
        <v>14157458652</v>
      </c>
      <c r="G1181" s="56">
        <v>14129621569</v>
      </c>
      <c r="H1181" s="56">
        <v>359084517</v>
      </c>
      <c r="I1181" s="54">
        <f t="shared" si="20"/>
        <v>35744352665</v>
      </c>
      <c r="J1181" s="56">
        <v>0</v>
      </c>
      <c r="K1181" s="60" t="s">
        <v>739</v>
      </c>
      <c r="M1181" s="38" t="str">
        <f>IF([1]totrevprm!O1184="","",[1]totrevprm!O1184)</f>
        <v/>
      </c>
    </row>
    <row r="1182" spans="1:13">
      <c r="A1182" s="49" t="s">
        <v>57</v>
      </c>
      <c r="B1182" s="46" t="s">
        <v>293</v>
      </c>
      <c r="C1182" s="50"/>
      <c r="D1182" s="51">
        <v>2023</v>
      </c>
      <c r="E1182" s="56">
        <v>7019493564</v>
      </c>
      <c r="F1182" s="56">
        <v>18652879658.3452</v>
      </c>
      <c r="G1182" s="56">
        <v>14549801759</v>
      </c>
      <c r="H1182" s="56">
        <v>171777858</v>
      </c>
      <c r="I1182" s="54">
        <f t="shared" si="20"/>
        <v>40393952839.3452</v>
      </c>
      <c r="J1182" s="52">
        <v>0</v>
      </c>
      <c r="K1182" s="60" t="s">
        <v>739</v>
      </c>
      <c r="M1182" s="38"/>
    </row>
    <row r="1183" spans="1:13">
      <c r="A1183" s="49" t="s">
        <v>57</v>
      </c>
      <c r="B1183" s="46" t="s">
        <v>293</v>
      </c>
      <c r="C1183" s="50"/>
      <c r="D1183" s="57">
        <v>2024</v>
      </c>
      <c r="E1183" s="52">
        <v>7118947053.9700003</v>
      </c>
      <c r="F1183" s="52">
        <v>21112587992.700001</v>
      </c>
      <c r="G1183" s="52">
        <v>15499646261.32</v>
      </c>
      <c r="H1183" s="52">
        <v>337283139.31999999</v>
      </c>
      <c r="I1183" s="54">
        <f t="shared" si="20"/>
        <v>44068464447.310005</v>
      </c>
      <c r="J1183" s="56">
        <v>0</v>
      </c>
      <c r="K1183" s="60" t="s">
        <v>739</v>
      </c>
      <c r="M1183" s="38"/>
    </row>
    <row r="1184" spans="1:13">
      <c r="A1184" s="49"/>
      <c r="B1184" s="50"/>
      <c r="C1184" s="50"/>
      <c r="E1184" s="53"/>
      <c r="F1184" s="53"/>
      <c r="G1184" s="53"/>
      <c r="H1184" s="53"/>
      <c r="I1184" s="54"/>
      <c r="J1184" s="52"/>
      <c r="K1184" s="61"/>
      <c r="M1184" s="38"/>
    </row>
    <row r="1185" spans="1:13">
      <c r="A1185" s="49" t="s">
        <v>58</v>
      </c>
      <c r="B1185" s="46" t="s">
        <v>799</v>
      </c>
      <c r="C1185" s="50" t="s">
        <v>731</v>
      </c>
      <c r="D1185" s="51">
        <v>1988</v>
      </c>
      <c r="E1185" s="53">
        <v>263207485</v>
      </c>
      <c r="F1185" s="53">
        <v>499770760</v>
      </c>
      <c r="G1185" s="53">
        <v>260588388</v>
      </c>
      <c r="H1185" s="53">
        <v>0</v>
      </c>
      <c r="I1185" s="54">
        <f t="shared" si="20"/>
        <v>1023566633</v>
      </c>
      <c r="J1185" s="52">
        <v>0</v>
      </c>
      <c r="K1185" s="61"/>
      <c r="M1185" s="38" t="str">
        <f>IF([1]totrevprm!O1185="","",[1]totrevprm!O1185)</f>
        <v/>
      </c>
    </row>
    <row r="1186" spans="1:13">
      <c r="A1186" s="49" t="s">
        <v>58</v>
      </c>
      <c r="B1186" s="46" t="s">
        <v>799</v>
      </c>
      <c r="C1186" s="50" t="s">
        <v>732</v>
      </c>
      <c r="D1186" s="51">
        <v>1989</v>
      </c>
      <c r="E1186" s="53">
        <v>254044968</v>
      </c>
      <c r="F1186" s="53">
        <v>531730200</v>
      </c>
      <c r="G1186" s="53">
        <v>288935513</v>
      </c>
      <c r="H1186" s="53">
        <v>0</v>
      </c>
      <c r="I1186" s="54">
        <f t="shared" si="20"/>
        <v>1074710681</v>
      </c>
      <c r="J1186" s="52">
        <v>0</v>
      </c>
      <c r="K1186" s="61"/>
      <c r="M1186" s="38" t="str">
        <f>IF([1]totrevprm!O1186="","",[1]totrevprm!O1186)</f>
        <v/>
      </c>
    </row>
    <row r="1187" spans="1:13">
      <c r="A1187" s="49" t="s">
        <v>58</v>
      </c>
      <c r="B1187" s="46" t="s">
        <v>799</v>
      </c>
      <c r="C1187" s="50" t="s">
        <v>732</v>
      </c>
      <c r="D1187" s="51">
        <v>1990</v>
      </c>
      <c r="E1187" s="53">
        <v>266559874</v>
      </c>
      <c r="F1187" s="53">
        <v>614125627.08000004</v>
      </c>
      <c r="G1187" s="53">
        <v>298043034</v>
      </c>
      <c r="H1187" s="53">
        <v>0</v>
      </c>
      <c r="I1187" s="54">
        <f t="shared" si="20"/>
        <v>1178728535.0799999</v>
      </c>
      <c r="J1187" s="52">
        <v>0</v>
      </c>
      <c r="K1187" s="61"/>
      <c r="M1187" s="38" t="str">
        <f>IF([1]totrevprm!O1187="","",[1]totrevprm!O1187)</f>
        <v/>
      </c>
    </row>
    <row r="1188" spans="1:13">
      <c r="A1188" s="49" t="s">
        <v>58</v>
      </c>
      <c r="B1188" s="46" t="s">
        <v>799</v>
      </c>
      <c r="C1188" s="50" t="s">
        <v>732</v>
      </c>
      <c r="D1188" s="51">
        <v>1991</v>
      </c>
      <c r="E1188" s="53">
        <v>290120028</v>
      </c>
      <c r="F1188" s="53">
        <v>544216464</v>
      </c>
      <c r="G1188" s="53">
        <v>313454917</v>
      </c>
      <c r="H1188" s="53">
        <v>0</v>
      </c>
      <c r="I1188" s="54">
        <f t="shared" si="20"/>
        <v>1147791409</v>
      </c>
      <c r="J1188" s="52">
        <v>0</v>
      </c>
      <c r="K1188" s="61"/>
      <c r="M1188" s="38" t="str">
        <f>IF([1]totrevprm!O1188="","",[1]totrevprm!O1188)</f>
        <v/>
      </c>
    </row>
    <row r="1189" spans="1:13">
      <c r="A1189" s="49" t="s">
        <v>58</v>
      </c>
      <c r="B1189" s="46" t="s">
        <v>799</v>
      </c>
      <c r="C1189" s="50" t="s">
        <v>732</v>
      </c>
      <c r="D1189" s="51">
        <v>1992</v>
      </c>
      <c r="E1189" s="53">
        <v>307678533</v>
      </c>
      <c r="F1189" s="53">
        <v>564487300.03999996</v>
      </c>
      <c r="G1189" s="53">
        <v>321008873</v>
      </c>
      <c r="H1189" s="53">
        <v>0</v>
      </c>
      <c r="I1189" s="54">
        <f t="shared" si="20"/>
        <v>1193174706.04</v>
      </c>
      <c r="J1189" s="52">
        <v>0</v>
      </c>
      <c r="K1189" s="61"/>
      <c r="M1189" s="38" t="str">
        <f>IF([1]totrevprm!O1189="","",[1]totrevprm!O1189)</f>
        <v/>
      </c>
    </row>
    <row r="1190" spans="1:13">
      <c r="A1190" s="49" t="s">
        <v>58</v>
      </c>
      <c r="B1190" s="46" t="s">
        <v>799</v>
      </c>
      <c r="C1190" s="50" t="s">
        <v>732</v>
      </c>
      <c r="D1190" s="51">
        <v>1993</v>
      </c>
      <c r="E1190" s="53">
        <v>320672161</v>
      </c>
      <c r="F1190" s="53">
        <v>645253299</v>
      </c>
      <c r="G1190" s="53">
        <v>296303291</v>
      </c>
      <c r="H1190" s="53">
        <v>0</v>
      </c>
      <c r="I1190" s="54">
        <f t="shared" si="20"/>
        <v>1262228751</v>
      </c>
      <c r="J1190" s="52">
        <v>0</v>
      </c>
      <c r="K1190" s="61"/>
      <c r="M1190" s="38" t="str">
        <f>IF([1]totrevprm!O1190="","",[1]totrevprm!O1190)</f>
        <v/>
      </c>
    </row>
    <row r="1191" spans="1:13">
      <c r="A1191" s="49" t="s">
        <v>58</v>
      </c>
      <c r="B1191" s="46" t="s">
        <v>799</v>
      </c>
      <c r="C1191" s="50" t="s">
        <v>732</v>
      </c>
      <c r="D1191" s="51">
        <v>1994</v>
      </c>
      <c r="E1191" s="53">
        <v>371393695</v>
      </c>
      <c r="F1191" s="53">
        <v>547626406</v>
      </c>
      <c r="G1191" s="53">
        <v>307732891</v>
      </c>
      <c r="H1191" s="53">
        <v>0</v>
      </c>
      <c r="I1191" s="54">
        <f t="shared" si="20"/>
        <v>1226752992</v>
      </c>
      <c r="J1191" s="52">
        <v>0</v>
      </c>
      <c r="K1191" s="61"/>
      <c r="M1191" s="38" t="str">
        <f>IF([1]totrevprm!O1191="","",[1]totrevprm!O1191)</f>
        <v/>
      </c>
    </row>
    <row r="1192" spans="1:13">
      <c r="A1192" s="49" t="s">
        <v>58</v>
      </c>
      <c r="B1192" s="46" t="s">
        <v>799</v>
      </c>
      <c r="C1192" s="50" t="s">
        <v>732</v>
      </c>
      <c r="D1192" s="51">
        <v>1995</v>
      </c>
      <c r="E1192" s="53">
        <v>370546476</v>
      </c>
      <c r="F1192" s="53">
        <v>640618306</v>
      </c>
      <c r="G1192" s="53">
        <v>316965441</v>
      </c>
      <c r="H1192" s="53">
        <v>0</v>
      </c>
      <c r="I1192" s="54">
        <f t="shared" si="20"/>
        <v>1328130223</v>
      </c>
      <c r="J1192" s="52">
        <v>0</v>
      </c>
      <c r="K1192" s="61"/>
      <c r="M1192" s="38" t="str">
        <f>IF([1]totrevprm!O1192="","",[1]totrevprm!O1192)</f>
        <v/>
      </c>
    </row>
    <row r="1193" spans="1:13">
      <c r="A1193" s="49" t="s">
        <v>58</v>
      </c>
      <c r="B1193" s="46" t="s">
        <v>799</v>
      </c>
      <c r="C1193" s="50" t="s">
        <v>732</v>
      </c>
      <c r="D1193" s="51">
        <v>1996</v>
      </c>
      <c r="E1193" s="53">
        <v>381363681</v>
      </c>
      <c r="F1193" s="53">
        <v>444425140</v>
      </c>
      <c r="G1193" s="53">
        <v>342582739</v>
      </c>
      <c r="H1193" s="53">
        <v>0</v>
      </c>
      <c r="I1193" s="54">
        <f t="shared" si="20"/>
        <v>1168371560</v>
      </c>
      <c r="J1193" s="52">
        <v>0</v>
      </c>
      <c r="K1193" s="61"/>
      <c r="M1193" s="38" t="str">
        <f>IF([1]totrevprm!O1193="","",[1]totrevprm!O1193)</f>
        <v/>
      </c>
    </row>
    <row r="1194" spans="1:13">
      <c r="A1194" s="49" t="s">
        <v>58</v>
      </c>
      <c r="B1194" s="46" t="s">
        <v>799</v>
      </c>
      <c r="C1194" s="50" t="s">
        <v>732</v>
      </c>
      <c r="D1194" s="51">
        <v>1997</v>
      </c>
      <c r="E1194" s="53">
        <v>315623262</v>
      </c>
      <c r="F1194" s="53">
        <v>375216289</v>
      </c>
      <c r="G1194" s="53">
        <v>325511693</v>
      </c>
      <c r="H1194" s="53">
        <v>0</v>
      </c>
      <c r="I1194" s="54">
        <f t="shared" si="20"/>
        <v>1016351244</v>
      </c>
      <c r="J1194" s="52">
        <v>0</v>
      </c>
      <c r="K1194" s="61"/>
      <c r="M1194" s="38" t="str">
        <f>IF([1]totrevprm!O1194="","",[1]totrevprm!O1194)</f>
        <v/>
      </c>
    </row>
    <row r="1195" spans="1:13">
      <c r="A1195" s="49" t="s">
        <v>58</v>
      </c>
      <c r="B1195" s="46" t="s">
        <v>799</v>
      </c>
      <c r="C1195" s="50" t="s">
        <v>732</v>
      </c>
      <c r="D1195" s="51">
        <v>1998</v>
      </c>
      <c r="E1195" s="53">
        <v>372791582</v>
      </c>
      <c r="F1195" s="53">
        <v>259460467</v>
      </c>
      <c r="G1195" s="53">
        <v>321391930</v>
      </c>
      <c r="H1195" s="53">
        <v>0</v>
      </c>
      <c r="I1195" s="54">
        <f t="shared" si="20"/>
        <v>953643979</v>
      </c>
      <c r="J1195" s="52">
        <v>0</v>
      </c>
      <c r="K1195" s="61"/>
      <c r="M1195" s="38" t="str">
        <f>IF([1]totrevprm!O1195="","",[1]totrevprm!O1195)</f>
        <v/>
      </c>
    </row>
    <row r="1196" spans="1:13">
      <c r="A1196" s="49" t="s">
        <v>58</v>
      </c>
      <c r="B1196" s="46" t="s">
        <v>799</v>
      </c>
      <c r="C1196" s="50" t="s">
        <v>732</v>
      </c>
      <c r="D1196" s="51">
        <v>1999</v>
      </c>
      <c r="E1196" s="53">
        <v>369365242</v>
      </c>
      <c r="F1196" s="53">
        <v>298302823</v>
      </c>
      <c r="G1196" s="53">
        <v>341133219</v>
      </c>
      <c r="H1196" s="53">
        <v>0</v>
      </c>
      <c r="I1196" s="54">
        <f t="shared" si="20"/>
        <v>1008801284</v>
      </c>
      <c r="J1196" s="52">
        <v>0</v>
      </c>
      <c r="K1196" s="61"/>
      <c r="M1196" s="38" t="str">
        <f>IF([1]totrevprm!O1196="","",[1]totrevprm!O1196)</f>
        <v/>
      </c>
    </row>
    <row r="1197" spans="1:13">
      <c r="A1197" s="49" t="s">
        <v>58</v>
      </c>
      <c r="B1197" s="46" t="s">
        <v>799</v>
      </c>
      <c r="C1197" s="50" t="s">
        <v>732</v>
      </c>
      <c r="D1197" s="51">
        <v>2000</v>
      </c>
      <c r="E1197" s="53">
        <v>401247610</v>
      </c>
      <c r="F1197" s="53">
        <v>308241290</v>
      </c>
      <c r="G1197" s="53">
        <v>378298654</v>
      </c>
      <c r="H1197" s="53">
        <v>0</v>
      </c>
      <c r="I1197" s="54">
        <f t="shared" si="20"/>
        <v>1087787554</v>
      </c>
      <c r="J1197" s="52">
        <v>0</v>
      </c>
      <c r="K1197" s="61"/>
      <c r="M1197" s="38" t="str">
        <f>IF([1]totrevprm!O1197="","",[1]totrevprm!O1197)</f>
        <v/>
      </c>
    </row>
    <row r="1198" spans="1:13">
      <c r="A1198" s="49" t="s">
        <v>58</v>
      </c>
      <c r="B1198" s="46" t="s">
        <v>799</v>
      </c>
      <c r="C1198" s="50" t="s">
        <v>732</v>
      </c>
      <c r="D1198" s="51">
        <v>2001</v>
      </c>
      <c r="E1198" s="53">
        <v>399776120</v>
      </c>
      <c r="F1198" s="53">
        <v>419768711</v>
      </c>
      <c r="G1198" s="53">
        <v>442798369</v>
      </c>
      <c r="H1198" s="53">
        <v>0</v>
      </c>
      <c r="I1198" s="54">
        <f t="shared" si="20"/>
        <v>1262343200</v>
      </c>
      <c r="J1198" s="52">
        <v>0</v>
      </c>
      <c r="K1198" s="61"/>
      <c r="M1198" s="38" t="str">
        <f>IF([1]totrevprm!O1198="","",[1]totrevprm!O1198)</f>
        <v/>
      </c>
    </row>
    <row r="1199" spans="1:13">
      <c r="A1199" s="49" t="s">
        <v>58</v>
      </c>
      <c r="B1199" s="46" t="s">
        <v>799</v>
      </c>
      <c r="C1199" s="50" t="s">
        <v>732</v>
      </c>
      <c r="D1199" s="51">
        <v>2002</v>
      </c>
      <c r="E1199" s="53">
        <v>395877531</v>
      </c>
      <c r="F1199" s="53">
        <v>514913400</v>
      </c>
      <c r="G1199" s="53">
        <v>513015519</v>
      </c>
      <c r="H1199" s="53">
        <v>0</v>
      </c>
      <c r="I1199" s="54">
        <f t="shared" si="20"/>
        <v>1423806450</v>
      </c>
      <c r="J1199" s="52">
        <v>0</v>
      </c>
      <c r="K1199" s="61"/>
      <c r="M1199" s="38" t="str">
        <f>IF([1]totrevprm!O1199="","",[1]totrevprm!O1199)</f>
        <v/>
      </c>
    </row>
    <row r="1200" spans="1:13">
      <c r="A1200" s="49" t="s">
        <v>58</v>
      </c>
      <c r="B1200" s="46" t="s">
        <v>799</v>
      </c>
      <c r="C1200" s="50" t="s">
        <v>732</v>
      </c>
      <c r="D1200" s="51">
        <v>2003</v>
      </c>
      <c r="E1200" s="55">
        <v>416199293</v>
      </c>
      <c r="F1200" s="55">
        <v>490942012</v>
      </c>
      <c r="G1200" s="55">
        <v>522800002</v>
      </c>
      <c r="H1200" s="53">
        <v>0</v>
      </c>
      <c r="I1200" s="54">
        <f t="shared" si="20"/>
        <v>1429941307</v>
      </c>
      <c r="J1200" s="52">
        <v>0</v>
      </c>
      <c r="K1200" s="61"/>
      <c r="M1200" s="38" t="str">
        <f>IF([1]totrevprm!O1200="","",[1]totrevprm!O1200)</f>
        <v/>
      </c>
    </row>
    <row r="1201" spans="1:13">
      <c r="A1201" s="49" t="s">
        <v>58</v>
      </c>
      <c r="B1201" s="46" t="s">
        <v>799</v>
      </c>
      <c r="C1201" s="50" t="s">
        <v>732</v>
      </c>
      <c r="D1201" s="51">
        <v>2004</v>
      </c>
      <c r="E1201" s="55">
        <v>424722865</v>
      </c>
      <c r="F1201" s="55">
        <v>439336806</v>
      </c>
      <c r="G1201" s="55">
        <v>525965504</v>
      </c>
      <c r="H1201" s="53">
        <v>0</v>
      </c>
      <c r="I1201" s="54">
        <f t="shared" si="20"/>
        <v>1390025175</v>
      </c>
      <c r="J1201" s="52">
        <v>0</v>
      </c>
      <c r="K1201" s="61"/>
      <c r="M1201" s="38" t="str">
        <f>IF([1]totrevprm!O1201="","",[1]totrevprm!O1201)</f>
        <v/>
      </c>
    </row>
    <row r="1202" spans="1:13">
      <c r="A1202" s="49" t="s">
        <v>58</v>
      </c>
      <c r="B1202" s="46" t="s">
        <v>799</v>
      </c>
      <c r="C1202" s="50"/>
      <c r="D1202" s="51">
        <v>2005</v>
      </c>
      <c r="E1202" s="55">
        <v>448972517</v>
      </c>
      <c r="F1202" s="55">
        <v>412759260</v>
      </c>
      <c r="G1202" s="55">
        <v>573230872.63</v>
      </c>
      <c r="H1202" s="53">
        <v>0</v>
      </c>
      <c r="I1202" s="54">
        <f t="shared" si="20"/>
        <v>1434962649.6300001</v>
      </c>
      <c r="J1202" s="52">
        <v>0</v>
      </c>
      <c r="K1202" s="61"/>
      <c r="M1202" s="38" t="str">
        <f>IF([1]totrevprm!O1202="","",[1]totrevprm!O1202)</f>
        <v/>
      </c>
    </row>
    <row r="1203" spans="1:13">
      <c r="A1203" s="49" t="s">
        <v>58</v>
      </c>
      <c r="B1203" s="46" t="s">
        <v>799</v>
      </c>
      <c r="C1203" s="50"/>
      <c r="D1203" s="51">
        <v>2006</v>
      </c>
      <c r="E1203" s="56">
        <v>476542909</v>
      </c>
      <c r="F1203" s="56">
        <v>453719971</v>
      </c>
      <c r="G1203" s="56">
        <v>699489440</v>
      </c>
      <c r="H1203" s="56">
        <v>0</v>
      </c>
      <c r="I1203" s="54">
        <f t="shared" si="20"/>
        <v>1629752320</v>
      </c>
      <c r="J1203" s="52">
        <v>0</v>
      </c>
      <c r="K1203" s="61"/>
      <c r="M1203" s="38" t="str">
        <f>IF([1]totrevprm!O1203="","",[1]totrevprm!O1203)</f>
        <v/>
      </c>
    </row>
    <row r="1204" spans="1:13">
      <c r="A1204" s="49" t="s">
        <v>58</v>
      </c>
      <c r="B1204" s="46" t="s">
        <v>799</v>
      </c>
      <c r="C1204" s="50"/>
      <c r="D1204" s="51">
        <v>2007</v>
      </c>
      <c r="E1204" s="56">
        <v>496065345</v>
      </c>
      <c r="F1204" s="56">
        <v>439507333</v>
      </c>
      <c r="G1204" s="56">
        <v>858165100</v>
      </c>
      <c r="H1204" s="56">
        <v>0</v>
      </c>
      <c r="I1204" s="54">
        <f t="shared" si="20"/>
        <v>1793737778</v>
      </c>
      <c r="J1204" s="52">
        <v>0</v>
      </c>
      <c r="K1204" s="61"/>
      <c r="M1204" s="38" t="str">
        <f>IF([1]totrevprm!O1204="","",[1]totrevprm!O1204)</f>
        <v/>
      </c>
    </row>
    <row r="1205" spans="1:13">
      <c r="A1205" s="49" t="s">
        <v>58</v>
      </c>
      <c r="B1205" s="46" t="s">
        <v>799</v>
      </c>
      <c r="C1205" s="50"/>
      <c r="D1205" s="51">
        <v>2008</v>
      </c>
      <c r="E1205" s="56">
        <v>504550468</v>
      </c>
      <c r="F1205" s="56">
        <v>556534610</v>
      </c>
      <c r="G1205" s="56">
        <v>1295299338</v>
      </c>
      <c r="H1205" s="56">
        <v>0</v>
      </c>
      <c r="I1205" s="54">
        <f t="shared" si="20"/>
        <v>2356384416</v>
      </c>
      <c r="J1205" s="52">
        <v>0</v>
      </c>
      <c r="K1205" s="61"/>
      <c r="M1205" s="38" t="str">
        <f>IF([1]totrevprm!O1205="","",[1]totrevprm!O1205)</f>
        <v/>
      </c>
    </row>
    <row r="1206" spans="1:13">
      <c r="A1206" s="49" t="s">
        <v>58</v>
      </c>
      <c r="B1206" s="46" t="s">
        <v>799</v>
      </c>
      <c r="C1206" s="50"/>
      <c r="D1206" s="51">
        <v>2009</v>
      </c>
      <c r="E1206" s="55">
        <v>578469695</v>
      </c>
      <c r="F1206" s="56">
        <v>581539791</v>
      </c>
      <c r="G1206" s="56">
        <v>1385110720</v>
      </c>
      <c r="H1206" s="56">
        <v>0</v>
      </c>
      <c r="I1206" s="54">
        <f t="shared" si="20"/>
        <v>2545120206</v>
      </c>
      <c r="J1206" s="52">
        <v>0</v>
      </c>
      <c r="K1206" s="61"/>
      <c r="M1206" s="38" t="str">
        <f>IF([1]totrevprm!O1206="","",[1]totrevprm!O1206)</f>
        <v/>
      </c>
    </row>
    <row r="1207" spans="1:13">
      <c r="A1207" s="49" t="s">
        <v>58</v>
      </c>
      <c r="B1207" s="46" t="s">
        <v>799</v>
      </c>
      <c r="C1207" s="50"/>
      <c r="D1207" s="51">
        <v>2010</v>
      </c>
      <c r="E1207" s="55">
        <v>598295452</v>
      </c>
      <c r="F1207" s="56">
        <v>500597871</v>
      </c>
      <c r="G1207" s="56">
        <v>1327280737</v>
      </c>
      <c r="H1207" s="56">
        <v>0</v>
      </c>
      <c r="I1207" s="54">
        <f t="shared" si="20"/>
        <v>2426174060</v>
      </c>
      <c r="J1207" s="52">
        <v>0</v>
      </c>
      <c r="K1207" s="61"/>
      <c r="M1207" s="38" t="str">
        <f>IF([1]totrevprm!O1207="","",[1]totrevprm!O1207)</f>
        <v/>
      </c>
    </row>
    <row r="1208" spans="1:13">
      <c r="A1208" s="49" t="s">
        <v>58</v>
      </c>
      <c r="B1208" s="46" t="s">
        <v>799</v>
      </c>
      <c r="C1208" s="50"/>
      <c r="D1208" s="51">
        <v>2011</v>
      </c>
      <c r="E1208" s="55">
        <v>608966980</v>
      </c>
      <c r="F1208" s="56">
        <v>519299365</v>
      </c>
      <c r="G1208" s="56">
        <v>1469603606.9200001</v>
      </c>
      <c r="H1208" s="56">
        <v>0</v>
      </c>
      <c r="I1208" s="54">
        <f t="shared" si="20"/>
        <v>2597869951.9200001</v>
      </c>
      <c r="J1208" s="52">
        <v>0</v>
      </c>
      <c r="K1208" s="61"/>
      <c r="M1208" s="38" t="str">
        <f>IF([1]totrevprm!O1208="","",[1]totrevprm!O1208)</f>
        <v/>
      </c>
    </row>
    <row r="1209" spans="1:13">
      <c r="A1209" s="49" t="s">
        <v>58</v>
      </c>
      <c r="B1209" s="46" t="s">
        <v>799</v>
      </c>
      <c r="C1209" s="50"/>
      <c r="D1209" s="51">
        <v>2012</v>
      </c>
      <c r="E1209" s="55">
        <v>638070785</v>
      </c>
      <c r="F1209" s="56">
        <v>590553977</v>
      </c>
      <c r="G1209" s="56">
        <v>1505448760</v>
      </c>
      <c r="H1209" s="56">
        <v>24715538</v>
      </c>
      <c r="I1209" s="54">
        <f t="shared" si="20"/>
        <v>2758789060</v>
      </c>
      <c r="J1209" s="52">
        <v>1860970</v>
      </c>
      <c r="K1209" s="61" t="s">
        <v>736</v>
      </c>
      <c r="L1209" t="s">
        <v>720</v>
      </c>
      <c r="M1209" s="38" t="str">
        <f>IF([1]totrevprm!O1209="","",[1]totrevprm!O1209)</f>
        <v/>
      </c>
    </row>
    <row r="1210" spans="1:13">
      <c r="A1210" s="49" t="s">
        <v>58</v>
      </c>
      <c r="B1210" s="46" t="s">
        <v>799</v>
      </c>
      <c r="C1210" s="50"/>
      <c r="D1210" s="51">
        <v>2013</v>
      </c>
      <c r="E1210" s="55">
        <v>655677042</v>
      </c>
      <c r="F1210" s="56">
        <v>593082126</v>
      </c>
      <c r="G1210" s="56">
        <v>1369852557</v>
      </c>
      <c r="H1210" s="56">
        <v>33023776</v>
      </c>
      <c r="I1210" s="54">
        <f t="shared" si="20"/>
        <v>2651635501</v>
      </c>
      <c r="J1210" s="52">
        <v>1277965</v>
      </c>
      <c r="K1210" s="61" t="s">
        <v>736</v>
      </c>
      <c r="L1210" t="s">
        <v>720</v>
      </c>
      <c r="M1210" s="38" t="str">
        <f>IF([1]totrevprm!O1210="","",[1]totrevprm!O1210)</f>
        <v/>
      </c>
    </row>
    <row r="1211" spans="1:13">
      <c r="A1211" s="49" t="s">
        <v>58</v>
      </c>
      <c r="B1211" s="46" t="s">
        <v>799</v>
      </c>
      <c r="C1211" s="50"/>
      <c r="D1211" s="51">
        <v>2014</v>
      </c>
      <c r="E1211" s="56">
        <v>645822640</v>
      </c>
      <c r="F1211" s="56">
        <v>690778862</v>
      </c>
      <c r="G1211" s="56">
        <v>1686194410</v>
      </c>
      <c r="H1211" s="56">
        <v>32508659</v>
      </c>
      <c r="I1211" s="54">
        <f t="shared" si="20"/>
        <v>3055304571</v>
      </c>
      <c r="J1211" s="52">
        <v>26363846</v>
      </c>
      <c r="K1211" s="61" t="s">
        <v>736</v>
      </c>
      <c r="L1211" t="s">
        <v>720</v>
      </c>
      <c r="M1211" s="38" t="str">
        <f>IF([1]totrevprm!O1211="","",[1]totrevprm!O1211)</f>
        <v/>
      </c>
    </row>
    <row r="1212" spans="1:13">
      <c r="A1212" s="49" t="s">
        <v>58</v>
      </c>
      <c r="B1212" s="46" t="s">
        <v>799</v>
      </c>
      <c r="C1212" s="50"/>
      <c r="D1212" s="51">
        <v>2015</v>
      </c>
      <c r="E1212" s="56">
        <v>656402675</v>
      </c>
      <c r="F1212" s="56">
        <v>701163890</v>
      </c>
      <c r="G1212" s="56">
        <v>1858055338</v>
      </c>
      <c r="H1212" s="56">
        <v>18771174</v>
      </c>
      <c r="I1212" s="54">
        <f t="shared" si="20"/>
        <v>3234393077</v>
      </c>
      <c r="J1212" s="52">
        <v>12544821</v>
      </c>
      <c r="K1212" s="61" t="s">
        <v>736</v>
      </c>
      <c r="L1212" t="s">
        <v>720</v>
      </c>
      <c r="M1212" s="38" t="str">
        <f>IF([1]totrevprm!O1212="","",[1]totrevprm!O1212)</f>
        <v/>
      </c>
    </row>
    <row r="1213" spans="1:13">
      <c r="A1213" s="49" t="s">
        <v>58</v>
      </c>
      <c r="B1213" s="46" t="s">
        <v>799</v>
      </c>
      <c r="C1213" s="50"/>
      <c r="D1213" s="51">
        <v>2016</v>
      </c>
      <c r="E1213" s="56">
        <v>708441165</v>
      </c>
      <c r="F1213" s="56">
        <v>793513382</v>
      </c>
      <c r="G1213" s="56">
        <v>892718175</v>
      </c>
      <c r="H1213" s="56">
        <v>24593014</v>
      </c>
      <c r="I1213" s="54">
        <f t="shared" si="20"/>
        <v>2419265736</v>
      </c>
      <c r="J1213" s="52">
        <v>8242847</v>
      </c>
      <c r="K1213" s="61" t="s">
        <v>736</v>
      </c>
      <c r="L1213" t="s">
        <v>720</v>
      </c>
      <c r="M1213" s="38" t="str">
        <f>IF([1]totrevprm!O1213="","",[1]totrevprm!O1213)</f>
        <v/>
      </c>
    </row>
    <row r="1214" spans="1:13">
      <c r="A1214" s="49" t="s">
        <v>58</v>
      </c>
      <c r="B1214" s="46" t="s">
        <v>799</v>
      </c>
      <c r="C1214" s="50"/>
      <c r="D1214" s="51">
        <v>2017</v>
      </c>
      <c r="E1214" s="56">
        <v>713796158</v>
      </c>
      <c r="F1214" s="56">
        <v>738550467</v>
      </c>
      <c r="G1214" s="56">
        <v>933882300</v>
      </c>
      <c r="H1214" s="56">
        <v>25973661</v>
      </c>
      <c r="I1214" s="54">
        <f t="shared" si="20"/>
        <v>2412202586</v>
      </c>
      <c r="J1214" s="56">
        <v>5062155</v>
      </c>
      <c r="K1214" s="61" t="s">
        <v>736</v>
      </c>
      <c r="L1214" t="s">
        <v>720</v>
      </c>
      <c r="M1214" s="38" t="str">
        <f>IF([1]totrevprm!O1214="","",[1]totrevprm!O1214)</f>
        <v/>
      </c>
    </row>
    <row r="1215" spans="1:13">
      <c r="A1215" s="49" t="s">
        <v>58</v>
      </c>
      <c r="B1215" s="46" t="s">
        <v>799</v>
      </c>
      <c r="C1215" s="50"/>
      <c r="D1215" s="51">
        <v>2018</v>
      </c>
      <c r="E1215" s="56">
        <v>697636445</v>
      </c>
      <c r="F1215" s="56">
        <v>908266078</v>
      </c>
      <c r="G1215" s="56">
        <v>1056109714.98</v>
      </c>
      <c r="H1215" s="56">
        <v>21076379</v>
      </c>
      <c r="I1215" s="54">
        <f t="shared" si="20"/>
        <v>2683088616.98</v>
      </c>
      <c r="J1215" s="56">
        <v>3853744</v>
      </c>
      <c r="K1215" s="61" t="s">
        <v>736</v>
      </c>
      <c r="L1215" t="s">
        <v>720</v>
      </c>
      <c r="M1215" s="38" t="str">
        <f>IF([1]totrevprm!O1215="","",[1]totrevprm!O1215)</f>
        <v/>
      </c>
    </row>
    <row r="1216" spans="1:13">
      <c r="A1216" s="49" t="s">
        <v>58</v>
      </c>
      <c r="B1216" s="46" t="s">
        <v>799</v>
      </c>
      <c r="C1216" s="50"/>
      <c r="D1216" s="51">
        <v>2019</v>
      </c>
      <c r="E1216" s="56">
        <v>700362508</v>
      </c>
      <c r="F1216" s="56">
        <v>944160783</v>
      </c>
      <c r="G1216" s="56">
        <v>975431583</v>
      </c>
      <c r="H1216" s="56">
        <v>29616613</v>
      </c>
      <c r="I1216" s="54">
        <f t="shared" si="20"/>
        <v>2649571487</v>
      </c>
      <c r="J1216" s="56">
        <v>7609220</v>
      </c>
      <c r="K1216" s="61" t="s">
        <v>736</v>
      </c>
      <c r="L1216" t="s">
        <v>720</v>
      </c>
      <c r="M1216" s="38" t="str">
        <f>IF([1]totrevprm!O1216="","",[1]totrevprm!O1216)</f>
        <v/>
      </c>
    </row>
    <row r="1217" spans="1:13">
      <c r="A1217" s="49" t="s">
        <v>58</v>
      </c>
      <c r="B1217" s="46" t="s">
        <v>799</v>
      </c>
      <c r="C1217" s="50"/>
      <c r="D1217" s="51">
        <v>2020</v>
      </c>
      <c r="E1217" s="56">
        <v>726987826</v>
      </c>
      <c r="F1217" s="56">
        <v>1031892193</v>
      </c>
      <c r="G1217" s="56">
        <v>975507551</v>
      </c>
      <c r="H1217" s="56">
        <v>27479861</v>
      </c>
      <c r="I1217" s="54">
        <f t="shared" si="20"/>
        <v>2761867431</v>
      </c>
      <c r="J1217" s="56">
        <v>8436940</v>
      </c>
      <c r="K1217" s="61" t="s">
        <v>736</v>
      </c>
      <c r="L1217" t="s">
        <v>720</v>
      </c>
      <c r="M1217" s="38" t="str">
        <f>IF([1]totrevprm!O1217="","",[1]totrevprm!O1217)</f>
        <v/>
      </c>
    </row>
    <row r="1218" spans="1:13">
      <c r="A1218" s="49" t="s">
        <v>58</v>
      </c>
      <c r="B1218" s="46" t="s">
        <v>799</v>
      </c>
      <c r="C1218" s="50"/>
      <c r="D1218" s="51">
        <v>2021</v>
      </c>
      <c r="E1218" s="56">
        <v>745581597</v>
      </c>
      <c r="F1218" s="56">
        <v>977458417</v>
      </c>
      <c r="G1218" s="56">
        <v>961170903</v>
      </c>
      <c r="H1218" s="56">
        <v>15332378</v>
      </c>
      <c r="I1218" s="54">
        <f t="shared" si="20"/>
        <v>2699543295</v>
      </c>
      <c r="J1218" s="52">
        <v>0</v>
      </c>
      <c r="K1218" s="61"/>
      <c r="L1218" t="s">
        <v>720</v>
      </c>
      <c r="M1218" s="38"/>
    </row>
    <row r="1219" spans="1:13">
      <c r="A1219" s="49" t="s">
        <v>58</v>
      </c>
      <c r="B1219" s="46" t="s">
        <v>799</v>
      </c>
      <c r="C1219" s="50"/>
      <c r="D1219" s="51">
        <v>2022</v>
      </c>
      <c r="E1219" s="56">
        <v>782216686</v>
      </c>
      <c r="F1219" s="56">
        <v>1159892613</v>
      </c>
      <c r="G1219" s="56">
        <v>1021110861</v>
      </c>
      <c r="H1219" s="56">
        <v>26369656</v>
      </c>
      <c r="I1219" s="54">
        <f t="shared" si="20"/>
        <v>2989589816</v>
      </c>
      <c r="J1219" s="52">
        <v>0</v>
      </c>
      <c r="K1219" s="61"/>
      <c r="M1219" s="38" t="str">
        <f>IF([1]totrevprm!O1222="","",[1]totrevprm!O1222)</f>
        <v/>
      </c>
    </row>
    <row r="1220" spans="1:13">
      <c r="A1220" s="49" t="s">
        <v>58</v>
      </c>
      <c r="B1220" s="46" t="s">
        <v>799</v>
      </c>
      <c r="C1220" s="50"/>
      <c r="D1220" s="51">
        <v>2023</v>
      </c>
      <c r="E1220" s="56">
        <v>798170430</v>
      </c>
      <c r="F1220" s="56">
        <v>1341957924.1156001</v>
      </c>
      <c r="G1220" s="56">
        <v>1090223506.21</v>
      </c>
      <c r="H1220" s="56">
        <v>16962584</v>
      </c>
      <c r="I1220" s="54">
        <f t="shared" si="20"/>
        <v>3247314444.3256001</v>
      </c>
      <c r="J1220" s="52">
        <v>0</v>
      </c>
      <c r="K1220" s="61"/>
      <c r="M1220" s="38"/>
    </row>
    <row r="1221" spans="1:13">
      <c r="A1221" s="49" t="s">
        <v>58</v>
      </c>
      <c r="B1221" s="46" t="s">
        <v>799</v>
      </c>
      <c r="C1221" s="50"/>
      <c r="D1221" s="57">
        <v>2024</v>
      </c>
      <c r="E1221" s="52">
        <v>833062523.27999997</v>
      </c>
      <c r="F1221" s="52">
        <v>1580801834.25</v>
      </c>
      <c r="G1221" s="52">
        <v>1100405783.8199999</v>
      </c>
      <c r="H1221" s="52">
        <v>13480991.57</v>
      </c>
      <c r="I1221" s="54">
        <f t="shared" si="20"/>
        <v>3527751132.9199996</v>
      </c>
      <c r="J1221" s="56">
        <v>0</v>
      </c>
      <c r="M1221" s="38"/>
    </row>
    <row r="1222" spans="1:13">
      <c r="A1222" s="49"/>
      <c r="B1222" s="50"/>
      <c r="C1222" s="50"/>
      <c r="E1222" s="53"/>
      <c r="F1222" s="53"/>
      <c r="G1222" s="53"/>
      <c r="H1222" s="53"/>
      <c r="I1222" s="54"/>
      <c r="J1222" s="52"/>
      <c r="K1222" s="61"/>
      <c r="M1222" s="38"/>
    </row>
    <row r="1223" spans="1:13">
      <c r="A1223" s="49" t="s">
        <v>59</v>
      </c>
      <c r="B1223" s="46" t="s">
        <v>282</v>
      </c>
      <c r="C1223" s="50" t="s">
        <v>800</v>
      </c>
      <c r="D1223" s="51">
        <v>1988</v>
      </c>
      <c r="E1223" s="53">
        <v>4446025393</v>
      </c>
      <c r="F1223" s="53">
        <v>4568377805</v>
      </c>
      <c r="G1223" s="53">
        <v>4742304311</v>
      </c>
      <c r="H1223" s="53">
        <v>1632565849</v>
      </c>
      <c r="I1223" s="54">
        <f t="shared" si="20"/>
        <v>15389273358</v>
      </c>
      <c r="J1223" s="52">
        <v>0</v>
      </c>
      <c r="K1223" s="61"/>
      <c r="M1223" s="38" t="str">
        <f>IF([1]totrevprm!O1223="","",[1]totrevprm!O1223)</f>
        <v/>
      </c>
    </row>
    <row r="1224" spans="1:13">
      <c r="A1224" s="49" t="s">
        <v>59</v>
      </c>
      <c r="B1224" s="46" t="s">
        <v>282</v>
      </c>
      <c r="C1224" s="50" t="s">
        <v>801</v>
      </c>
      <c r="D1224" s="51">
        <v>1989</v>
      </c>
      <c r="E1224" s="53">
        <v>4509186013</v>
      </c>
      <c r="F1224" s="53">
        <v>4812919847</v>
      </c>
      <c r="G1224" s="53">
        <v>5149446770</v>
      </c>
      <c r="H1224" s="53">
        <v>1639511338</v>
      </c>
      <c r="I1224" s="54">
        <f t="shared" si="20"/>
        <v>16111063968</v>
      </c>
      <c r="J1224" s="52">
        <v>0</v>
      </c>
      <c r="K1224" s="61"/>
      <c r="M1224" s="38" t="str">
        <f>IF([1]totrevprm!O1224="","",[1]totrevprm!O1224)</f>
        <v/>
      </c>
    </row>
    <row r="1225" spans="1:13">
      <c r="A1225" s="49" t="s">
        <v>59</v>
      </c>
      <c r="B1225" s="46" t="s">
        <v>282</v>
      </c>
      <c r="C1225" s="50" t="s">
        <v>802</v>
      </c>
      <c r="D1225" s="51">
        <v>1990</v>
      </c>
      <c r="E1225" s="53">
        <v>4765779478</v>
      </c>
      <c r="F1225" s="53">
        <v>5726596587.96</v>
      </c>
      <c r="G1225" s="53">
        <v>5267075151</v>
      </c>
      <c r="H1225" s="53">
        <v>1388082664</v>
      </c>
      <c r="I1225" s="54">
        <f t="shared" si="20"/>
        <v>17147533880.959999</v>
      </c>
      <c r="J1225" s="52">
        <v>0</v>
      </c>
      <c r="K1225" s="61"/>
      <c r="M1225" s="38" t="str">
        <f>IF([1]totrevprm!O1225="","",[1]totrevprm!O1225)</f>
        <v/>
      </c>
    </row>
    <row r="1226" spans="1:13">
      <c r="A1226" s="49" t="s">
        <v>59</v>
      </c>
      <c r="B1226" s="46" t="s">
        <v>282</v>
      </c>
      <c r="C1226" s="50" t="s">
        <v>795</v>
      </c>
      <c r="D1226" s="51">
        <v>1991</v>
      </c>
      <c r="E1226" s="53">
        <v>5073975953</v>
      </c>
      <c r="F1226" s="53">
        <v>5829948814</v>
      </c>
      <c r="G1226" s="53">
        <v>5573432664</v>
      </c>
      <c r="H1226" s="53">
        <v>1313616365</v>
      </c>
      <c r="I1226" s="54">
        <f t="shared" si="20"/>
        <v>17790973796</v>
      </c>
      <c r="J1226" s="52">
        <v>0</v>
      </c>
      <c r="K1226" s="61"/>
      <c r="M1226" s="38" t="str">
        <f>IF([1]totrevprm!O1226="","",[1]totrevprm!O1226)</f>
        <v/>
      </c>
    </row>
    <row r="1227" spans="1:13">
      <c r="A1227" s="49" t="s">
        <v>59</v>
      </c>
      <c r="B1227" s="46" t="s">
        <v>282</v>
      </c>
      <c r="C1227" s="50" t="s">
        <v>803</v>
      </c>
      <c r="D1227" s="51">
        <v>1992</v>
      </c>
      <c r="E1227" s="53">
        <v>5423692378</v>
      </c>
      <c r="F1227" s="53">
        <v>6077931582.5600004</v>
      </c>
      <c r="G1227" s="53">
        <v>5692188109</v>
      </c>
      <c r="H1227" s="53">
        <v>749635505</v>
      </c>
      <c r="I1227" s="54">
        <f t="shared" ref="I1227:I1292" si="21">SUM(E1227:H1227)</f>
        <v>17943447574.560001</v>
      </c>
      <c r="J1227" s="52">
        <v>0</v>
      </c>
      <c r="K1227" s="61"/>
      <c r="M1227" s="38" t="str">
        <f>IF([1]totrevprm!O1227="","",[1]totrevprm!O1227)</f>
        <v/>
      </c>
    </row>
    <row r="1228" spans="1:13">
      <c r="A1228" s="49" t="s">
        <v>59</v>
      </c>
      <c r="B1228" s="46" t="s">
        <v>282</v>
      </c>
      <c r="C1228" s="50" t="s">
        <v>732</v>
      </c>
      <c r="D1228" s="51">
        <v>1993</v>
      </c>
      <c r="E1228" s="53">
        <v>5564000618</v>
      </c>
      <c r="F1228" s="53">
        <v>4539803629</v>
      </c>
      <c r="G1228" s="53">
        <v>5895008131</v>
      </c>
      <c r="H1228" s="53">
        <v>741223678</v>
      </c>
      <c r="I1228" s="54">
        <f t="shared" si="21"/>
        <v>16740036056</v>
      </c>
      <c r="J1228" s="52">
        <v>0</v>
      </c>
      <c r="K1228" s="61"/>
      <c r="M1228" s="38" t="str">
        <f>IF([1]totrevprm!O1228="","",[1]totrevprm!O1228)</f>
        <v/>
      </c>
    </row>
    <row r="1229" spans="1:13">
      <c r="A1229" s="49" t="s">
        <v>59</v>
      </c>
      <c r="B1229" s="46" t="s">
        <v>282</v>
      </c>
      <c r="C1229" s="50" t="s">
        <v>732</v>
      </c>
      <c r="D1229" s="51">
        <v>1994</v>
      </c>
      <c r="E1229" s="53">
        <v>5682942116</v>
      </c>
      <c r="F1229" s="53">
        <v>5925954151</v>
      </c>
      <c r="G1229" s="53">
        <v>5687164985</v>
      </c>
      <c r="H1229" s="53">
        <v>-20828161</v>
      </c>
      <c r="I1229" s="54">
        <f t="shared" si="21"/>
        <v>17275233091</v>
      </c>
      <c r="J1229" s="52">
        <v>0</v>
      </c>
      <c r="K1229" s="61"/>
      <c r="M1229" s="38" t="str">
        <f>IF([1]totrevprm!O1229="","",[1]totrevprm!O1229)</f>
        <v/>
      </c>
    </row>
    <row r="1230" spans="1:13">
      <c r="A1230" s="49" t="s">
        <v>59</v>
      </c>
      <c r="B1230" s="46" t="s">
        <v>282</v>
      </c>
      <c r="C1230" s="50" t="s">
        <v>732</v>
      </c>
      <c r="D1230" s="51">
        <v>1995</v>
      </c>
      <c r="E1230" s="53">
        <v>6540894447</v>
      </c>
      <c r="F1230" s="53">
        <v>6077855541</v>
      </c>
      <c r="G1230" s="53">
        <v>5463297233</v>
      </c>
      <c r="H1230" s="53">
        <v>711370555</v>
      </c>
      <c r="I1230" s="54">
        <f t="shared" si="21"/>
        <v>18793417776</v>
      </c>
      <c r="J1230" s="52">
        <v>0</v>
      </c>
      <c r="K1230" s="61"/>
      <c r="M1230" s="38" t="str">
        <f>IF([1]totrevprm!O1230="","",[1]totrevprm!O1230)</f>
        <v/>
      </c>
    </row>
    <row r="1231" spans="1:13">
      <c r="A1231" s="49" t="s">
        <v>59</v>
      </c>
      <c r="B1231" s="46" t="s">
        <v>282</v>
      </c>
      <c r="C1231" s="50" t="s">
        <v>732</v>
      </c>
      <c r="D1231" s="51">
        <v>1996</v>
      </c>
      <c r="E1231" s="53">
        <v>5865473390</v>
      </c>
      <c r="F1231" s="53">
        <v>4961870011</v>
      </c>
      <c r="G1231" s="53">
        <v>5378899201</v>
      </c>
      <c r="H1231" s="53">
        <v>505529008</v>
      </c>
      <c r="I1231" s="54">
        <f t="shared" si="21"/>
        <v>16711771610</v>
      </c>
      <c r="J1231" s="52">
        <v>0</v>
      </c>
      <c r="K1231" s="61"/>
      <c r="M1231" s="38" t="str">
        <f>IF([1]totrevprm!O1231="","",[1]totrevprm!O1231)</f>
        <v/>
      </c>
    </row>
    <row r="1232" spans="1:13">
      <c r="A1232" s="49" t="s">
        <v>59</v>
      </c>
      <c r="B1232" s="46" t="s">
        <v>282</v>
      </c>
      <c r="C1232" s="50" t="s">
        <v>732</v>
      </c>
      <c r="D1232" s="51">
        <v>1997</v>
      </c>
      <c r="E1232" s="53">
        <v>6237127269</v>
      </c>
      <c r="F1232" s="53">
        <v>5624309462</v>
      </c>
      <c r="G1232" s="53">
        <v>5951408523</v>
      </c>
      <c r="H1232" s="53">
        <v>456203706</v>
      </c>
      <c r="I1232" s="54">
        <f t="shared" si="21"/>
        <v>18269048960</v>
      </c>
      <c r="J1232" s="52">
        <v>0</v>
      </c>
      <c r="K1232" s="61"/>
      <c r="M1232" s="38" t="str">
        <f>IF([1]totrevprm!O1232="","",[1]totrevprm!O1232)</f>
        <v/>
      </c>
    </row>
    <row r="1233" spans="1:13">
      <c r="A1233" s="49" t="s">
        <v>59</v>
      </c>
      <c r="B1233" s="46" t="s">
        <v>282</v>
      </c>
      <c r="C1233" s="50" t="s">
        <v>732</v>
      </c>
      <c r="D1233" s="51">
        <v>1998</v>
      </c>
      <c r="E1233" s="53">
        <v>6671375041</v>
      </c>
      <c r="F1233" s="53">
        <v>4921252456</v>
      </c>
      <c r="G1233" s="53">
        <v>5865800022</v>
      </c>
      <c r="H1233" s="53">
        <v>878698579</v>
      </c>
      <c r="I1233" s="54">
        <f t="shared" si="21"/>
        <v>18337126098</v>
      </c>
      <c r="J1233" s="52">
        <v>0</v>
      </c>
      <c r="K1233" s="61"/>
      <c r="M1233" s="38" t="str">
        <f>IF([1]totrevprm!O1233="","",[1]totrevprm!O1233)</f>
        <v/>
      </c>
    </row>
    <row r="1234" spans="1:13">
      <c r="A1234" s="49" t="s">
        <v>59</v>
      </c>
      <c r="B1234" s="46" t="s">
        <v>282</v>
      </c>
      <c r="C1234" s="50" t="s">
        <v>732</v>
      </c>
      <c r="D1234" s="51">
        <v>1999</v>
      </c>
      <c r="E1234" s="53">
        <v>6274814732</v>
      </c>
      <c r="F1234" s="53">
        <v>5878277911</v>
      </c>
      <c r="G1234" s="53">
        <v>6370923275</v>
      </c>
      <c r="H1234" s="53">
        <v>663704996</v>
      </c>
      <c r="I1234" s="54">
        <f t="shared" si="21"/>
        <v>19187720914</v>
      </c>
      <c r="J1234" s="52">
        <v>0</v>
      </c>
      <c r="K1234" s="61"/>
      <c r="M1234" s="38" t="str">
        <f>IF([1]totrevprm!O1234="","",[1]totrevprm!O1234)</f>
        <v/>
      </c>
    </row>
    <row r="1235" spans="1:13">
      <c r="A1235" s="49" t="s">
        <v>59</v>
      </c>
      <c r="B1235" s="46" t="s">
        <v>282</v>
      </c>
      <c r="C1235" s="50" t="s">
        <v>732</v>
      </c>
      <c r="D1235" s="51">
        <v>2000</v>
      </c>
      <c r="E1235" s="53">
        <v>6349579179</v>
      </c>
      <c r="F1235" s="53">
        <v>7613325320</v>
      </c>
      <c r="G1235" s="53">
        <v>7206223650</v>
      </c>
      <c r="H1235" s="53">
        <v>680144164</v>
      </c>
      <c r="I1235" s="54">
        <f t="shared" si="21"/>
        <v>21849272313</v>
      </c>
      <c r="J1235" s="52">
        <v>0</v>
      </c>
      <c r="K1235" s="61"/>
      <c r="M1235" s="38" t="str">
        <f>IF([1]totrevprm!O1235="","",[1]totrevprm!O1235)</f>
        <v/>
      </c>
    </row>
    <row r="1236" spans="1:13">
      <c r="A1236" s="49" t="s">
        <v>59</v>
      </c>
      <c r="B1236" s="46" t="s">
        <v>282</v>
      </c>
      <c r="C1236" s="50" t="s">
        <v>732</v>
      </c>
      <c r="D1236" s="51">
        <v>2001</v>
      </c>
      <c r="E1236" s="53">
        <v>6372678143</v>
      </c>
      <c r="F1236" s="53">
        <v>10572064049</v>
      </c>
      <c r="G1236" s="53">
        <v>6848297092</v>
      </c>
      <c r="H1236" s="53">
        <v>912651400</v>
      </c>
      <c r="I1236" s="54">
        <f t="shared" si="21"/>
        <v>24705690684</v>
      </c>
      <c r="J1236" s="52">
        <v>0</v>
      </c>
      <c r="K1236" s="61"/>
      <c r="M1236" s="38" t="str">
        <f>IF([1]totrevprm!O1236="","",[1]totrevprm!O1236)</f>
        <v/>
      </c>
    </row>
    <row r="1237" spans="1:13">
      <c r="A1237" s="49" t="s">
        <v>59</v>
      </c>
      <c r="B1237" s="46" t="s">
        <v>282</v>
      </c>
      <c r="C1237" s="50" t="s">
        <v>732</v>
      </c>
      <c r="D1237" s="51">
        <v>2002</v>
      </c>
      <c r="E1237" s="53">
        <v>6683022346</v>
      </c>
      <c r="F1237" s="53">
        <v>14288214828</v>
      </c>
      <c r="G1237" s="53">
        <v>7434052485</v>
      </c>
      <c r="H1237" s="53">
        <v>460435693</v>
      </c>
      <c r="I1237" s="54">
        <f t="shared" si="21"/>
        <v>28865725352</v>
      </c>
      <c r="J1237" s="52">
        <v>0</v>
      </c>
      <c r="K1237" s="61"/>
      <c r="M1237" s="38" t="str">
        <f>IF([1]totrevprm!O1237="","",[1]totrevprm!O1237)</f>
        <v/>
      </c>
    </row>
    <row r="1238" spans="1:13">
      <c r="A1238" s="49" t="s">
        <v>59</v>
      </c>
      <c r="B1238" s="46" t="s">
        <v>282</v>
      </c>
      <c r="C1238" s="50" t="s">
        <v>732</v>
      </c>
      <c r="D1238" s="51">
        <v>2003</v>
      </c>
      <c r="E1238" s="55">
        <v>7093177608</v>
      </c>
      <c r="F1238" s="55">
        <v>12339386483</v>
      </c>
      <c r="G1238" s="55">
        <v>7851903600</v>
      </c>
      <c r="H1238" s="55">
        <v>631846092</v>
      </c>
      <c r="I1238" s="54">
        <f t="shared" si="21"/>
        <v>27916313783</v>
      </c>
      <c r="J1238" s="52">
        <v>0</v>
      </c>
      <c r="K1238" s="61"/>
      <c r="M1238" s="38" t="str">
        <f>IF([1]totrevprm!O1238="","",[1]totrevprm!O1238)</f>
        <v/>
      </c>
    </row>
    <row r="1239" spans="1:13">
      <c r="A1239" s="49" t="s">
        <v>59</v>
      </c>
      <c r="B1239" s="46" t="s">
        <v>282</v>
      </c>
      <c r="C1239" s="50" t="s">
        <v>732</v>
      </c>
      <c r="D1239" s="51">
        <v>2004</v>
      </c>
      <c r="E1239" s="55">
        <v>7635497556</v>
      </c>
      <c r="F1239" s="55">
        <v>10723207047</v>
      </c>
      <c r="G1239" s="55">
        <v>8800931777</v>
      </c>
      <c r="H1239" s="55">
        <v>942362774</v>
      </c>
      <c r="I1239" s="54">
        <f t="shared" si="21"/>
        <v>28101999154</v>
      </c>
      <c r="J1239" s="52">
        <v>0</v>
      </c>
      <c r="K1239" s="61"/>
      <c r="M1239" s="38" t="str">
        <f>IF([1]totrevprm!O1239="","",[1]totrevprm!O1239)</f>
        <v/>
      </c>
    </row>
    <row r="1240" spans="1:13">
      <c r="A1240" s="49" t="s">
        <v>59</v>
      </c>
      <c r="B1240" s="46" t="s">
        <v>282</v>
      </c>
      <c r="C1240" s="50"/>
      <c r="D1240" s="51">
        <v>2005</v>
      </c>
      <c r="E1240" s="55">
        <v>7699921709</v>
      </c>
      <c r="F1240" s="55">
        <v>9442568288</v>
      </c>
      <c r="G1240" s="55">
        <v>9104872358.4300003</v>
      </c>
      <c r="H1240" s="55">
        <v>1326022439</v>
      </c>
      <c r="I1240" s="54">
        <f t="shared" si="21"/>
        <v>27573384794.43</v>
      </c>
      <c r="J1240" s="52">
        <v>0</v>
      </c>
      <c r="K1240" s="61"/>
      <c r="M1240" s="38" t="str">
        <f>IF([1]totrevprm!O1240="","",[1]totrevprm!O1240)</f>
        <v/>
      </c>
    </row>
    <row r="1241" spans="1:13">
      <c r="A1241" s="49" t="s">
        <v>59</v>
      </c>
      <c r="B1241" s="46" t="s">
        <v>282</v>
      </c>
      <c r="C1241" s="50"/>
      <c r="D1241" s="51">
        <v>2006</v>
      </c>
      <c r="E1241" s="56">
        <v>8202674363</v>
      </c>
      <c r="F1241" s="56">
        <v>10976356560</v>
      </c>
      <c r="G1241" s="56">
        <v>8662114950</v>
      </c>
      <c r="H1241" s="56">
        <v>1468048338</v>
      </c>
      <c r="I1241" s="54">
        <f t="shared" si="21"/>
        <v>29309194211</v>
      </c>
      <c r="J1241" s="52">
        <v>0</v>
      </c>
      <c r="K1241" s="61"/>
      <c r="M1241" s="38" t="str">
        <f>IF([1]totrevprm!O1241="","",[1]totrevprm!O1241)</f>
        <v/>
      </c>
    </row>
    <row r="1242" spans="1:13">
      <c r="A1242" s="49" t="s">
        <v>59</v>
      </c>
      <c r="B1242" s="46" t="s">
        <v>282</v>
      </c>
      <c r="C1242" s="50"/>
      <c r="D1242" s="51">
        <v>2007</v>
      </c>
      <c r="E1242" s="56">
        <v>8538356100</v>
      </c>
      <c r="F1242" s="56">
        <v>10777659214</v>
      </c>
      <c r="G1242" s="56">
        <v>13303773763</v>
      </c>
      <c r="H1242" s="56">
        <v>1110537877</v>
      </c>
      <c r="I1242" s="54">
        <f t="shared" si="21"/>
        <v>33730326954</v>
      </c>
      <c r="J1242" s="52">
        <v>0</v>
      </c>
      <c r="K1242" s="61"/>
      <c r="M1242" s="38" t="str">
        <f>IF([1]totrevprm!O1242="","",[1]totrevprm!O1242)</f>
        <v/>
      </c>
    </row>
    <row r="1243" spans="1:13">
      <c r="A1243" s="49" t="s">
        <v>59</v>
      </c>
      <c r="B1243" s="46" t="s">
        <v>282</v>
      </c>
      <c r="C1243" s="50"/>
      <c r="D1243" s="51">
        <v>2008</v>
      </c>
      <c r="E1243" s="56">
        <v>8891375084</v>
      </c>
      <c r="F1243" s="56">
        <v>14798276605</v>
      </c>
      <c r="G1243" s="56">
        <v>15717395126</v>
      </c>
      <c r="H1243" s="56">
        <v>1701438893</v>
      </c>
      <c r="I1243" s="54">
        <f t="shared" si="21"/>
        <v>41108485708</v>
      </c>
      <c r="J1243" s="52">
        <v>0</v>
      </c>
      <c r="K1243" s="61"/>
      <c r="M1243" s="38" t="str">
        <f>IF([1]totrevprm!O1243="","",[1]totrevprm!O1243)</f>
        <v/>
      </c>
    </row>
    <row r="1244" spans="1:13">
      <c r="A1244" s="49" t="s">
        <v>59</v>
      </c>
      <c r="B1244" s="46" t="s">
        <v>282</v>
      </c>
      <c r="C1244" s="50"/>
      <c r="D1244" s="51">
        <v>2009</v>
      </c>
      <c r="E1244" s="56">
        <v>9136279389</v>
      </c>
      <c r="F1244" s="56">
        <v>12795184044</v>
      </c>
      <c r="G1244" s="56">
        <v>17059951581</v>
      </c>
      <c r="H1244" s="56">
        <v>882632693</v>
      </c>
      <c r="I1244" s="54">
        <f t="shared" si="21"/>
        <v>39874047707</v>
      </c>
      <c r="J1244" s="52">
        <v>0</v>
      </c>
      <c r="K1244" s="61"/>
      <c r="M1244" s="38" t="str">
        <f>IF([1]totrevprm!O1244="","",[1]totrevprm!O1244)</f>
        <v/>
      </c>
    </row>
    <row r="1245" spans="1:13">
      <c r="A1245" s="49" t="s">
        <v>59</v>
      </c>
      <c r="B1245" s="46" t="s">
        <v>282</v>
      </c>
      <c r="C1245" s="50"/>
      <c r="D1245" s="51">
        <v>2010</v>
      </c>
      <c r="E1245" s="56">
        <v>9544372938</v>
      </c>
      <c r="F1245" s="56">
        <v>9912269203</v>
      </c>
      <c r="G1245" s="56">
        <v>17918052852</v>
      </c>
      <c r="H1245" s="56">
        <v>954446598</v>
      </c>
      <c r="I1245" s="54">
        <f t="shared" si="21"/>
        <v>38329141591</v>
      </c>
      <c r="J1245" s="52">
        <v>0</v>
      </c>
      <c r="K1245" s="61"/>
      <c r="M1245" s="38" t="str">
        <f>IF([1]totrevprm!O1245="","",[1]totrevprm!O1245)</f>
        <v/>
      </c>
    </row>
    <row r="1246" spans="1:13">
      <c r="A1246" s="49" t="s">
        <v>59</v>
      </c>
      <c r="B1246" s="46" t="s">
        <v>282</v>
      </c>
      <c r="C1246" s="50"/>
      <c r="D1246" s="51">
        <v>2011</v>
      </c>
      <c r="E1246" s="56">
        <v>9479565517</v>
      </c>
      <c r="F1246" s="56">
        <v>9851073462</v>
      </c>
      <c r="G1246" s="56">
        <v>19322720141.060001</v>
      </c>
      <c r="H1246" s="56">
        <v>891791285</v>
      </c>
      <c r="I1246" s="54">
        <f t="shared" si="21"/>
        <v>39545150405.059998</v>
      </c>
      <c r="J1246" s="52">
        <v>0</v>
      </c>
      <c r="K1246" s="61"/>
      <c r="M1246" s="38" t="str">
        <f>IF([1]totrevprm!O1246="","",[1]totrevprm!O1246)</f>
        <v/>
      </c>
    </row>
    <row r="1247" spans="1:13">
      <c r="A1247" s="49" t="s">
        <v>59</v>
      </c>
      <c r="B1247" s="46" t="s">
        <v>282</v>
      </c>
      <c r="C1247" s="50"/>
      <c r="D1247" s="51">
        <v>2012</v>
      </c>
      <c r="E1247" s="56">
        <v>9901794357</v>
      </c>
      <c r="F1247" s="56">
        <v>11873451449</v>
      </c>
      <c r="G1247" s="56">
        <v>19093858928</v>
      </c>
      <c r="H1247" s="56">
        <v>2294245562</v>
      </c>
      <c r="I1247" s="54">
        <f t="shared" si="21"/>
        <v>43163350296</v>
      </c>
      <c r="J1247" s="52">
        <v>0</v>
      </c>
      <c r="K1247" s="61"/>
      <c r="M1247" s="38" t="str">
        <f>IF([1]totrevprm!O1247="","",[1]totrevprm!O1247)</f>
        <v/>
      </c>
    </row>
    <row r="1248" spans="1:13">
      <c r="A1248" s="49" t="s">
        <v>59</v>
      </c>
      <c r="B1248" s="46" t="s">
        <v>282</v>
      </c>
      <c r="C1248" s="50"/>
      <c r="D1248" s="51">
        <v>2013</v>
      </c>
      <c r="E1248" s="56">
        <v>9973283595</v>
      </c>
      <c r="F1248" s="56">
        <v>9345013476</v>
      </c>
      <c r="G1248" s="56">
        <v>18104957299</v>
      </c>
      <c r="H1248" s="56">
        <v>892088370</v>
      </c>
      <c r="I1248" s="54">
        <f t="shared" si="21"/>
        <v>38315342740</v>
      </c>
      <c r="J1248" s="52">
        <v>0</v>
      </c>
      <c r="K1248" s="61"/>
      <c r="M1248" s="38" t="str">
        <f>IF([1]totrevprm!O1248="","",[1]totrevprm!O1248)</f>
        <v/>
      </c>
    </row>
    <row r="1249" spans="1:13">
      <c r="A1249" s="49" t="s">
        <v>59</v>
      </c>
      <c r="B1249" s="46" t="s">
        <v>282</v>
      </c>
      <c r="C1249" s="50"/>
      <c r="D1249" s="51">
        <v>2014</v>
      </c>
      <c r="E1249" s="56">
        <v>10073987164</v>
      </c>
      <c r="F1249" s="56">
        <v>10001285137</v>
      </c>
      <c r="G1249" s="56">
        <v>16824064778.09</v>
      </c>
      <c r="H1249" s="56">
        <v>2129188195</v>
      </c>
      <c r="I1249" s="54">
        <f t="shared" si="21"/>
        <v>39028525274.089996</v>
      </c>
      <c r="J1249" s="52">
        <v>0</v>
      </c>
      <c r="K1249" s="61"/>
      <c r="M1249" s="38" t="str">
        <f>IF([1]totrevprm!O1249="","",[1]totrevprm!O1249)</f>
        <v/>
      </c>
    </row>
    <row r="1250" spans="1:13">
      <c r="A1250" s="49" t="s">
        <v>59</v>
      </c>
      <c r="B1250" s="46" t="s">
        <v>282</v>
      </c>
      <c r="C1250" s="50"/>
      <c r="D1250" s="51">
        <v>2015</v>
      </c>
      <c r="E1250" s="56">
        <v>10326932415</v>
      </c>
      <c r="F1250" s="56">
        <v>10201881234</v>
      </c>
      <c r="G1250" s="56">
        <v>8095019819</v>
      </c>
      <c r="H1250" s="56">
        <v>1446921940</v>
      </c>
      <c r="I1250" s="54">
        <f t="shared" si="21"/>
        <v>30070755408</v>
      </c>
      <c r="J1250" s="52">
        <v>0</v>
      </c>
      <c r="K1250" s="61"/>
      <c r="M1250" s="38" t="str">
        <f>IF([1]totrevprm!O1250="","",[1]totrevprm!O1250)</f>
        <v/>
      </c>
    </row>
    <row r="1251" spans="1:13">
      <c r="A1251" s="49" t="s">
        <v>59</v>
      </c>
      <c r="B1251" s="46" t="s">
        <v>282</v>
      </c>
      <c r="C1251" s="50"/>
      <c r="D1251" s="51">
        <v>2016</v>
      </c>
      <c r="E1251" s="56">
        <v>10757891925</v>
      </c>
      <c r="F1251" s="56">
        <v>11323366528</v>
      </c>
      <c r="G1251" s="56">
        <v>8299220333</v>
      </c>
      <c r="H1251" s="56">
        <v>2026555358</v>
      </c>
      <c r="I1251" s="54">
        <f t="shared" si="21"/>
        <v>32407034144</v>
      </c>
      <c r="J1251" s="52">
        <v>0</v>
      </c>
      <c r="K1251" s="61"/>
      <c r="M1251" s="38" t="str">
        <f>IF([1]totrevprm!O1251="","",[1]totrevprm!O1251)</f>
        <v/>
      </c>
    </row>
    <row r="1252" spans="1:13">
      <c r="A1252" s="49" t="s">
        <v>59</v>
      </c>
      <c r="B1252" s="46" t="s">
        <v>282</v>
      </c>
      <c r="C1252" s="50"/>
      <c r="D1252" s="51">
        <v>2017</v>
      </c>
      <c r="E1252" s="56">
        <v>10926246265</v>
      </c>
      <c r="F1252" s="56">
        <v>12234665227</v>
      </c>
      <c r="G1252" s="56">
        <v>8374680381</v>
      </c>
      <c r="H1252" s="56">
        <v>1878487204</v>
      </c>
      <c r="I1252" s="54">
        <f t="shared" si="21"/>
        <v>33414079077</v>
      </c>
      <c r="J1252" s="52">
        <v>0</v>
      </c>
      <c r="K1252" s="61"/>
      <c r="M1252" s="38" t="str">
        <f>IF([1]totrevprm!O1252="","",[1]totrevprm!O1252)</f>
        <v/>
      </c>
    </row>
    <row r="1253" spans="1:13">
      <c r="A1253" s="49" t="s">
        <v>59</v>
      </c>
      <c r="B1253" s="46" t="s">
        <v>282</v>
      </c>
      <c r="C1253" s="50"/>
      <c r="D1253" s="51">
        <v>2018</v>
      </c>
      <c r="E1253" s="56">
        <v>11187783920</v>
      </c>
      <c r="F1253" s="56">
        <v>13567713949</v>
      </c>
      <c r="G1253" s="56">
        <v>8772216798</v>
      </c>
      <c r="H1253" s="56">
        <v>913431596</v>
      </c>
      <c r="I1253" s="54">
        <f t="shared" si="21"/>
        <v>34441146263</v>
      </c>
      <c r="J1253" s="56">
        <v>0</v>
      </c>
      <c r="K1253" s="61"/>
      <c r="M1253" s="38" t="str">
        <f>IF([1]totrevprm!O1253="","",[1]totrevprm!O1253)</f>
        <v/>
      </c>
    </row>
    <row r="1254" spans="1:13">
      <c r="A1254" s="49" t="s">
        <v>59</v>
      </c>
      <c r="B1254" s="46" t="s">
        <v>282</v>
      </c>
      <c r="C1254" s="50"/>
      <c r="D1254" s="51">
        <v>2019</v>
      </c>
      <c r="E1254" s="56">
        <v>11563396227</v>
      </c>
      <c r="F1254" s="56">
        <v>12724965868</v>
      </c>
      <c r="G1254" s="56">
        <v>10751690504</v>
      </c>
      <c r="H1254" s="56">
        <v>1047454470</v>
      </c>
      <c r="I1254" s="54">
        <f t="shared" si="21"/>
        <v>36087507069</v>
      </c>
      <c r="J1254" s="56">
        <v>0</v>
      </c>
      <c r="K1254" s="61"/>
      <c r="M1254" s="38" t="str">
        <f>IF([1]totrevprm!O1254="","",[1]totrevprm!O1254)</f>
        <v/>
      </c>
    </row>
    <row r="1255" spans="1:13">
      <c r="A1255" s="49" t="s">
        <v>59</v>
      </c>
      <c r="B1255" s="46" t="s">
        <v>282</v>
      </c>
      <c r="C1255" s="50"/>
      <c r="D1255" s="51">
        <v>2020</v>
      </c>
      <c r="E1255" s="56">
        <v>11303958757</v>
      </c>
      <c r="F1255" s="56">
        <v>14727333969</v>
      </c>
      <c r="G1255" s="56">
        <v>11199608630</v>
      </c>
      <c r="H1255" s="56">
        <v>1263180320</v>
      </c>
      <c r="I1255" s="54">
        <f t="shared" si="21"/>
        <v>38494081676</v>
      </c>
      <c r="J1255" s="56">
        <v>0</v>
      </c>
      <c r="K1255" s="61"/>
      <c r="M1255" s="38" t="str">
        <f>IF([1]totrevprm!O1255="","",[1]totrevprm!O1255)</f>
        <v/>
      </c>
    </row>
    <row r="1256" spans="1:13">
      <c r="A1256" s="49" t="s">
        <v>59</v>
      </c>
      <c r="B1256" s="46" t="s">
        <v>282</v>
      </c>
      <c r="C1256" s="50"/>
      <c r="D1256" s="51">
        <v>2021</v>
      </c>
      <c r="E1256" s="56">
        <v>11797497873</v>
      </c>
      <c r="F1256" s="56">
        <v>13584659575</v>
      </c>
      <c r="G1256" s="56">
        <v>12116273881</v>
      </c>
      <c r="H1256" s="56">
        <v>373606304</v>
      </c>
      <c r="I1256" s="54">
        <f t="shared" si="21"/>
        <v>37872037633</v>
      </c>
      <c r="J1256" s="56">
        <v>0</v>
      </c>
      <c r="K1256" s="61"/>
      <c r="M1256" s="38"/>
    </row>
    <row r="1257" spans="1:13">
      <c r="A1257" s="49" t="s">
        <v>59</v>
      </c>
      <c r="B1257" s="46" t="s">
        <v>282</v>
      </c>
      <c r="C1257" s="50"/>
      <c r="D1257" s="51">
        <v>2022</v>
      </c>
      <c r="E1257" s="56">
        <v>11507628420</v>
      </c>
      <c r="F1257" s="56">
        <v>20914037724</v>
      </c>
      <c r="G1257" s="56">
        <v>13746300632</v>
      </c>
      <c r="H1257" s="56">
        <v>320084780</v>
      </c>
      <c r="I1257" s="54">
        <f t="shared" si="21"/>
        <v>46488051556</v>
      </c>
      <c r="J1257" s="56">
        <v>0</v>
      </c>
      <c r="K1257" s="61"/>
      <c r="M1257" s="38" t="str">
        <f>IF([1]totrevprm!O1260="","",[1]totrevprm!O1260)</f>
        <v/>
      </c>
    </row>
    <row r="1258" spans="1:13">
      <c r="A1258" s="49" t="s">
        <v>59</v>
      </c>
      <c r="B1258" s="46" t="s">
        <v>282</v>
      </c>
      <c r="C1258" s="50"/>
      <c r="D1258" s="51">
        <v>2023</v>
      </c>
      <c r="E1258" s="56">
        <v>11703455463</v>
      </c>
      <c r="F1258" s="56">
        <v>23616439727</v>
      </c>
      <c r="G1258" s="56">
        <v>50523091933.458702</v>
      </c>
      <c r="H1258" s="56">
        <v>6275301941</v>
      </c>
      <c r="I1258" s="54">
        <f t="shared" si="21"/>
        <v>92118289064.45871</v>
      </c>
      <c r="J1258" s="52">
        <v>0</v>
      </c>
      <c r="K1258" s="61" t="s">
        <v>739</v>
      </c>
      <c r="M1258" s="38" t="s">
        <v>750</v>
      </c>
    </row>
    <row r="1259" spans="1:13">
      <c r="A1259" s="49" t="s">
        <v>59</v>
      </c>
      <c r="B1259" s="46" t="s">
        <v>282</v>
      </c>
      <c r="C1259" s="50"/>
      <c r="D1259" s="57">
        <v>2024</v>
      </c>
      <c r="E1259" s="52">
        <v>11822918573.370001</v>
      </c>
      <c r="F1259" s="52">
        <v>27443686830.16</v>
      </c>
      <c r="G1259" s="52">
        <v>34697523782.092102</v>
      </c>
      <c r="H1259" s="52">
        <v>674713575.41999996</v>
      </c>
      <c r="I1259" s="54">
        <f t="shared" si="21"/>
        <v>74638842761.042099</v>
      </c>
      <c r="J1259" s="56">
        <v>0</v>
      </c>
      <c r="K1259" s="61" t="s">
        <v>739</v>
      </c>
      <c r="M1259" s="38"/>
    </row>
    <row r="1260" spans="1:13">
      <c r="A1260" s="49"/>
      <c r="B1260" s="50"/>
      <c r="C1260" s="50"/>
      <c r="E1260" s="53"/>
      <c r="F1260" s="53"/>
      <c r="G1260" s="53"/>
      <c r="H1260" s="53"/>
      <c r="I1260" s="54"/>
      <c r="J1260" s="52"/>
      <c r="K1260" s="61"/>
      <c r="M1260" s="38"/>
    </row>
    <row r="1261" spans="1:13">
      <c r="A1261" s="49" t="s">
        <v>60</v>
      </c>
      <c r="B1261" s="46" t="s">
        <v>205</v>
      </c>
      <c r="C1261" s="50" t="s">
        <v>804</v>
      </c>
      <c r="D1261" s="51">
        <v>1988</v>
      </c>
      <c r="E1261" s="53">
        <v>1576211257</v>
      </c>
      <c r="F1261" s="53">
        <v>965244453</v>
      </c>
      <c r="G1261" s="53">
        <v>1169154078</v>
      </c>
      <c r="H1261" s="53">
        <v>297345235</v>
      </c>
      <c r="I1261" s="54">
        <f t="shared" si="21"/>
        <v>4007955023</v>
      </c>
      <c r="J1261" s="52">
        <v>0</v>
      </c>
      <c r="K1261" s="61"/>
      <c r="M1261" s="38" t="str">
        <f>IF([1]totrevprm!O1261="","",[1]totrevprm!O1261)</f>
        <v/>
      </c>
    </row>
    <row r="1262" spans="1:13">
      <c r="A1262" s="49" t="s">
        <v>60</v>
      </c>
      <c r="B1262" s="46" t="s">
        <v>205</v>
      </c>
      <c r="C1262" s="50" t="s">
        <v>732</v>
      </c>
      <c r="D1262" s="51">
        <v>1989</v>
      </c>
      <c r="E1262" s="53">
        <v>1623745015</v>
      </c>
      <c r="F1262" s="53">
        <v>999194134</v>
      </c>
      <c r="G1262" s="53">
        <v>1319275033</v>
      </c>
      <c r="H1262" s="53">
        <v>140253076</v>
      </c>
      <c r="I1262" s="54">
        <f t="shared" si="21"/>
        <v>4082467258</v>
      </c>
      <c r="J1262" s="52">
        <v>0</v>
      </c>
      <c r="K1262" s="61"/>
      <c r="M1262" s="38" t="str">
        <f>IF([1]totrevprm!O1262="","",[1]totrevprm!O1262)</f>
        <v/>
      </c>
    </row>
    <row r="1263" spans="1:13">
      <c r="A1263" s="49" t="s">
        <v>60</v>
      </c>
      <c r="B1263" s="46" t="s">
        <v>205</v>
      </c>
      <c r="C1263" s="50" t="s">
        <v>732</v>
      </c>
      <c r="D1263" s="51">
        <v>1990</v>
      </c>
      <c r="E1263" s="53">
        <v>1822113981</v>
      </c>
      <c r="F1263" s="53">
        <v>1187538878.5999999</v>
      </c>
      <c r="G1263" s="53">
        <v>1457270393</v>
      </c>
      <c r="H1263" s="53">
        <v>161054913</v>
      </c>
      <c r="I1263" s="54">
        <f t="shared" si="21"/>
        <v>4627978165.6000004</v>
      </c>
      <c r="J1263" s="52">
        <v>0</v>
      </c>
      <c r="K1263" s="61"/>
      <c r="M1263" s="38" t="str">
        <f>IF([1]totrevprm!O1263="","",[1]totrevprm!O1263)</f>
        <v/>
      </c>
    </row>
    <row r="1264" spans="1:13">
      <c r="A1264" s="49" t="s">
        <v>60</v>
      </c>
      <c r="B1264" s="46" t="s">
        <v>205</v>
      </c>
      <c r="C1264" s="50" t="s">
        <v>769</v>
      </c>
      <c r="D1264" s="51">
        <v>1991</v>
      </c>
      <c r="E1264" s="53">
        <v>1890224150</v>
      </c>
      <c r="F1264" s="53">
        <v>1009419304</v>
      </c>
      <c r="G1264" s="53">
        <v>1575306222</v>
      </c>
      <c r="H1264" s="53">
        <v>985271351</v>
      </c>
      <c r="I1264" s="54">
        <f t="shared" si="21"/>
        <v>5460221027</v>
      </c>
      <c r="J1264" s="52">
        <v>0</v>
      </c>
      <c r="K1264" s="61"/>
      <c r="M1264" s="38" t="str">
        <f>IF([1]totrevprm!O1264="","",[1]totrevprm!O1264)</f>
        <v/>
      </c>
    </row>
    <row r="1265" spans="1:13">
      <c r="A1265" s="49" t="s">
        <v>60</v>
      </c>
      <c r="B1265" s="46" t="s">
        <v>205</v>
      </c>
      <c r="C1265" s="50" t="s">
        <v>742</v>
      </c>
      <c r="D1265" s="51">
        <v>1992</v>
      </c>
      <c r="E1265" s="53">
        <v>2005947831</v>
      </c>
      <c r="F1265" s="53">
        <v>1053287642.4</v>
      </c>
      <c r="G1265" s="53">
        <v>1674492275</v>
      </c>
      <c r="H1265" s="53">
        <v>646822015</v>
      </c>
      <c r="I1265" s="54">
        <f t="shared" si="21"/>
        <v>5380549763.3999996</v>
      </c>
      <c r="J1265" s="52">
        <v>0</v>
      </c>
      <c r="K1265" s="61"/>
      <c r="M1265" s="38" t="str">
        <f>IF([1]totrevprm!O1265="","",[1]totrevprm!O1265)</f>
        <v/>
      </c>
    </row>
    <row r="1266" spans="1:13">
      <c r="A1266" s="49" t="s">
        <v>60</v>
      </c>
      <c r="B1266" s="46" t="s">
        <v>205</v>
      </c>
      <c r="C1266" s="50" t="s">
        <v>762</v>
      </c>
      <c r="D1266" s="51">
        <v>1993</v>
      </c>
      <c r="E1266" s="53">
        <v>2303511574</v>
      </c>
      <c r="F1266" s="53">
        <v>821679848</v>
      </c>
      <c r="G1266" s="53">
        <v>1821947289</v>
      </c>
      <c r="H1266" s="53">
        <v>757431262</v>
      </c>
      <c r="I1266" s="54">
        <f t="shared" si="21"/>
        <v>5704569973</v>
      </c>
      <c r="J1266" s="52">
        <v>0</v>
      </c>
      <c r="K1266" s="61"/>
      <c r="M1266" s="38" t="str">
        <f>IF([1]totrevprm!O1266="","",[1]totrevprm!O1266)</f>
        <v/>
      </c>
    </row>
    <row r="1267" spans="1:13">
      <c r="A1267" s="49" t="s">
        <v>60</v>
      </c>
      <c r="B1267" s="46" t="s">
        <v>205</v>
      </c>
      <c r="C1267" s="50" t="s">
        <v>732</v>
      </c>
      <c r="D1267" s="51">
        <v>1994</v>
      </c>
      <c r="E1267" s="53">
        <v>2436915646</v>
      </c>
      <c r="F1267" s="53">
        <v>1203222295</v>
      </c>
      <c r="G1267" s="53">
        <v>1911502511</v>
      </c>
      <c r="H1267" s="53">
        <v>720045572</v>
      </c>
      <c r="I1267" s="54">
        <f t="shared" si="21"/>
        <v>6271686024</v>
      </c>
      <c r="J1267" s="52">
        <v>0</v>
      </c>
      <c r="K1267" s="61"/>
      <c r="M1267" s="38" t="str">
        <f>IF([1]totrevprm!O1267="","",[1]totrevprm!O1267)</f>
        <v/>
      </c>
    </row>
    <row r="1268" spans="1:13">
      <c r="A1268" s="49" t="s">
        <v>60</v>
      </c>
      <c r="B1268" s="46" t="s">
        <v>205</v>
      </c>
      <c r="C1268" s="50" t="s">
        <v>732</v>
      </c>
      <c r="D1268" s="51">
        <v>1995</v>
      </c>
      <c r="E1268" s="53">
        <v>2534603476</v>
      </c>
      <c r="F1268" s="53">
        <v>1189509137</v>
      </c>
      <c r="G1268" s="53">
        <v>3010616221</v>
      </c>
      <c r="H1268" s="53">
        <v>626791461</v>
      </c>
      <c r="I1268" s="54">
        <f t="shared" si="21"/>
        <v>7361520295</v>
      </c>
      <c r="J1268" s="52">
        <v>0</v>
      </c>
      <c r="K1268" s="61"/>
      <c r="M1268" s="38" t="str">
        <f>IF([1]totrevprm!O1268="","",[1]totrevprm!O1268)</f>
        <v/>
      </c>
    </row>
    <row r="1269" spans="1:13">
      <c r="A1269" s="49" t="s">
        <v>60</v>
      </c>
      <c r="B1269" s="46" t="s">
        <v>205</v>
      </c>
      <c r="C1269" s="50" t="s">
        <v>732</v>
      </c>
      <c r="D1269" s="51">
        <v>1996</v>
      </c>
      <c r="E1269" s="53">
        <v>2610371300</v>
      </c>
      <c r="F1269" s="53">
        <v>1024509545</v>
      </c>
      <c r="G1269" s="53">
        <v>3123139337</v>
      </c>
      <c r="H1269" s="53">
        <v>649527488</v>
      </c>
      <c r="I1269" s="54">
        <f t="shared" si="21"/>
        <v>7407547670</v>
      </c>
      <c r="J1269" s="52">
        <v>0</v>
      </c>
      <c r="K1269" s="61"/>
      <c r="M1269" s="38" t="str">
        <f>IF([1]totrevprm!O1269="","",[1]totrevprm!O1269)</f>
        <v/>
      </c>
    </row>
    <row r="1270" spans="1:13">
      <c r="A1270" s="49" t="s">
        <v>60</v>
      </c>
      <c r="B1270" s="46" t="s">
        <v>205</v>
      </c>
      <c r="C1270" s="50" t="s">
        <v>732</v>
      </c>
      <c r="D1270" s="51">
        <v>1997</v>
      </c>
      <c r="E1270" s="53">
        <v>2549315599</v>
      </c>
      <c r="F1270" s="53">
        <v>1236750477</v>
      </c>
      <c r="G1270" s="53">
        <v>3295674983</v>
      </c>
      <c r="H1270" s="53">
        <v>579634800</v>
      </c>
      <c r="I1270" s="54">
        <f t="shared" si="21"/>
        <v>7661375859</v>
      </c>
      <c r="J1270" s="52">
        <v>0</v>
      </c>
      <c r="K1270" s="61"/>
      <c r="M1270" s="38" t="str">
        <f>IF([1]totrevprm!O1270="","",[1]totrevprm!O1270)</f>
        <v/>
      </c>
    </row>
    <row r="1271" spans="1:13">
      <c r="A1271" s="49" t="s">
        <v>60</v>
      </c>
      <c r="B1271" s="46" t="s">
        <v>205</v>
      </c>
      <c r="C1271" s="50" t="s">
        <v>732</v>
      </c>
      <c r="D1271" s="51">
        <v>1998</v>
      </c>
      <c r="E1271" s="53">
        <v>3102840241</v>
      </c>
      <c r="F1271" s="53">
        <v>1300280894</v>
      </c>
      <c r="G1271" s="53">
        <v>3349075310</v>
      </c>
      <c r="H1271" s="53">
        <v>473111198</v>
      </c>
      <c r="I1271" s="54">
        <f t="shared" si="21"/>
        <v>8225307643</v>
      </c>
      <c r="J1271" s="52">
        <v>0</v>
      </c>
      <c r="K1271" s="61"/>
      <c r="M1271" s="38" t="str">
        <f>IF([1]totrevprm!O1271="","",[1]totrevprm!O1271)</f>
        <v/>
      </c>
    </row>
    <row r="1272" spans="1:13">
      <c r="A1272" s="49" t="s">
        <v>60</v>
      </c>
      <c r="B1272" s="46" t="s">
        <v>205</v>
      </c>
      <c r="C1272" s="50" t="s">
        <v>732</v>
      </c>
      <c r="D1272" s="51">
        <v>1999</v>
      </c>
      <c r="E1272" s="53">
        <v>2696896497</v>
      </c>
      <c r="F1272" s="53">
        <v>1836633077</v>
      </c>
      <c r="G1272" s="53">
        <v>3649778320</v>
      </c>
      <c r="H1272" s="53">
        <v>891843054</v>
      </c>
      <c r="I1272" s="54">
        <f t="shared" si="21"/>
        <v>9075150948</v>
      </c>
      <c r="J1272" s="52">
        <v>0</v>
      </c>
      <c r="K1272" s="61"/>
      <c r="M1272" s="38" t="str">
        <f>IF([1]totrevprm!O1272="","",[1]totrevprm!O1272)</f>
        <v/>
      </c>
    </row>
    <row r="1273" spans="1:13">
      <c r="A1273" s="49" t="s">
        <v>60</v>
      </c>
      <c r="B1273" s="46" t="s">
        <v>205</v>
      </c>
      <c r="C1273" s="50" t="s">
        <v>732</v>
      </c>
      <c r="D1273" s="51">
        <v>2000</v>
      </c>
      <c r="E1273" s="53">
        <v>3336683293</v>
      </c>
      <c r="F1273" s="53">
        <v>2053852555</v>
      </c>
      <c r="G1273" s="53">
        <v>4112063991</v>
      </c>
      <c r="H1273" s="53">
        <v>699776079</v>
      </c>
      <c r="I1273" s="54">
        <f t="shared" si="21"/>
        <v>10202375918</v>
      </c>
      <c r="J1273" s="52">
        <v>0</v>
      </c>
      <c r="K1273" s="61"/>
      <c r="M1273" s="38" t="str">
        <f>IF([1]totrevprm!O1273="","",[1]totrevprm!O1273)</f>
        <v/>
      </c>
    </row>
    <row r="1274" spans="1:13">
      <c r="A1274" s="49" t="s">
        <v>60</v>
      </c>
      <c r="B1274" s="46" t="s">
        <v>205</v>
      </c>
      <c r="C1274" s="50" t="s">
        <v>732</v>
      </c>
      <c r="D1274" s="51">
        <v>2001</v>
      </c>
      <c r="E1274" s="53">
        <v>3045458927</v>
      </c>
      <c r="F1274" s="53">
        <v>2843495265</v>
      </c>
      <c r="G1274" s="53">
        <v>4317663762</v>
      </c>
      <c r="H1274" s="53">
        <v>492959828</v>
      </c>
      <c r="I1274" s="54">
        <f t="shared" si="21"/>
        <v>10699577782</v>
      </c>
      <c r="J1274" s="52">
        <v>0</v>
      </c>
      <c r="K1274" s="61"/>
      <c r="M1274" s="38" t="str">
        <f>IF([1]totrevprm!O1274="","",[1]totrevprm!O1274)</f>
        <v/>
      </c>
    </row>
    <row r="1275" spans="1:13">
      <c r="A1275" s="49" t="s">
        <v>60</v>
      </c>
      <c r="B1275" s="46" t="s">
        <v>205</v>
      </c>
      <c r="C1275" s="50" t="s">
        <v>732</v>
      </c>
      <c r="D1275" s="51">
        <v>2002</v>
      </c>
      <c r="E1275" s="53">
        <v>3135939431</v>
      </c>
      <c r="F1275" s="53">
        <v>3979428122</v>
      </c>
      <c r="G1275" s="53">
        <v>4698009006</v>
      </c>
      <c r="H1275" s="53">
        <v>619625352</v>
      </c>
      <c r="I1275" s="54">
        <f t="shared" si="21"/>
        <v>12433001911</v>
      </c>
      <c r="J1275" s="52">
        <v>0</v>
      </c>
      <c r="K1275" s="61"/>
      <c r="M1275" s="38" t="str">
        <f>IF([1]totrevprm!O1275="","",[1]totrevprm!O1275)</f>
        <v/>
      </c>
    </row>
    <row r="1276" spans="1:13">
      <c r="A1276" s="49" t="s">
        <v>60</v>
      </c>
      <c r="B1276" s="46" t="s">
        <v>205</v>
      </c>
      <c r="C1276" s="50" t="s">
        <v>732</v>
      </c>
      <c r="D1276" s="51">
        <v>2003</v>
      </c>
      <c r="E1276" s="55">
        <v>2983351816</v>
      </c>
      <c r="F1276" s="55">
        <v>3676818985</v>
      </c>
      <c r="G1276" s="55">
        <v>4905869805</v>
      </c>
      <c r="H1276" s="55">
        <v>430790322</v>
      </c>
      <c r="I1276" s="54">
        <f t="shared" si="21"/>
        <v>11996830928</v>
      </c>
      <c r="J1276" s="52">
        <v>0</v>
      </c>
      <c r="K1276" s="61"/>
      <c r="M1276" s="38" t="str">
        <f>IF([1]totrevprm!O1276="","",[1]totrevprm!O1276)</f>
        <v/>
      </c>
    </row>
    <row r="1277" spans="1:13">
      <c r="A1277" s="49" t="s">
        <v>60</v>
      </c>
      <c r="B1277" s="46" t="s">
        <v>205</v>
      </c>
      <c r="C1277" s="50" t="s">
        <v>732</v>
      </c>
      <c r="D1277" s="51">
        <v>2004</v>
      </c>
      <c r="E1277" s="55">
        <v>3017296814</v>
      </c>
      <c r="F1277" s="55">
        <v>3145321138</v>
      </c>
      <c r="G1277" s="55">
        <v>5362292378</v>
      </c>
      <c r="H1277" s="55">
        <v>412138877</v>
      </c>
      <c r="I1277" s="54">
        <f t="shared" si="21"/>
        <v>11937049207</v>
      </c>
      <c r="J1277" s="52">
        <v>0</v>
      </c>
      <c r="K1277" s="61"/>
      <c r="M1277" s="38" t="str">
        <f>IF([1]totrevprm!O1277="","",[1]totrevprm!O1277)</f>
        <v/>
      </c>
    </row>
    <row r="1278" spans="1:13">
      <c r="A1278" s="49" t="s">
        <v>60</v>
      </c>
      <c r="B1278" s="46" t="s">
        <v>205</v>
      </c>
      <c r="C1278" s="50"/>
      <c r="D1278" s="51">
        <v>2005</v>
      </c>
      <c r="E1278" s="55">
        <v>3115275303</v>
      </c>
      <c r="F1278" s="55">
        <v>3099911047</v>
      </c>
      <c r="G1278" s="55">
        <v>5884210882.1499901</v>
      </c>
      <c r="H1278" s="55">
        <v>817039712</v>
      </c>
      <c r="I1278" s="54">
        <f t="shared" si="21"/>
        <v>12916436944.14999</v>
      </c>
      <c r="J1278" s="52">
        <v>0</v>
      </c>
      <c r="K1278" s="61"/>
      <c r="M1278" s="38" t="str">
        <f>IF([1]totrevprm!O1278="","",[1]totrevprm!O1278)</f>
        <v/>
      </c>
    </row>
    <row r="1279" spans="1:13">
      <c r="A1279" s="49" t="s">
        <v>60</v>
      </c>
      <c r="B1279" s="46" t="s">
        <v>205</v>
      </c>
      <c r="C1279" s="50"/>
      <c r="D1279" s="51">
        <v>2006</v>
      </c>
      <c r="E1279" s="56">
        <v>3370338158</v>
      </c>
      <c r="F1279" s="56">
        <v>3375914426</v>
      </c>
      <c r="G1279" s="56">
        <v>6752379642</v>
      </c>
      <c r="H1279" s="56">
        <v>442370847</v>
      </c>
      <c r="I1279" s="54">
        <f t="shared" si="21"/>
        <v>13941003073</v>
      </c>
      <c r="J1279" s="52">
        <v>0</v>
      </c>
      <c r="K1279" s="61"/>
      <c r="M1279" s="38" t="str">
        <f>IF([1]totrevprm!O1279="","",[1]totrevprm!O1279)</f>
        <v/>
      </c>
    </row>
    <row r="1280" spans="1:13">
      <c r="A1280" s="49" t="s">
        <v>60</v>
      </c>
      <c r="B1280" s="46" t="s">
        <v>205</v>
      </c>
      <c r="C1280" s="50"/>
      <c r="D1280" s="51">
        <v>2007</v>
      </c>
      <c r="E1280" s="56">
        <v>3471950313</v>
      </c>
      <c r="F1280" s="56">
        <v>3430752748</v>
      </c>
      <c r="G1280" s="56">
        <v>7751883243</v>
      </c>
      <c r="H1280" s="56">
        <v>526667603</v>
      </c>
      <c r="I1280" s="54">
        <f t="shared" si="21"/>
        <v>15181253907</v>
      </c>
      <c r="J1280" s="52">
        <v>0</v>
      </c>
      <c r="K1280" s="61"/>
      <c r="M1280" s="38" t="str">
        <f>IF([1]totrevprm!O1280="","",[1]totrevprm!O1280)</f>
        <v/>
      </c>
    </row>
    <row r="1281" spans="1:13">
      <c r="A1281" s="49" t="s">
        <v>60</v>
      </c>
      <c r="B1281" s="46" t="s">
        <v>205</v>
      </c>
      <c r="C1281" s="50"/>
      <c r="D1281" s="51">
        <v>2008</v>
      </c>
      <c r="E1281" s="56">
        <v>3578435894</v>
      </c>
      <c r="F1281" s="56">
        <v>4701898477</v>
      </c>
      <c r="G1281" s="56">
        <v>8283868055</v>
      </c>
      <c r="H1281" s="56">
        <v>642489200</v>
      </c>
      <c r="I1281" s="54">
        <f t="shared" si="21"/>
        <v>17206691626</v>
      </c>
      <c r="J1281" s="52">
        <v>0</v>
      </c>
      <c r="K1281" s="61"/>
      <c r="M1281" s="38" t="str">
        <f>IF([1]totrevprm!O1281="","",[1]totrevprm!O1281)</f>
        <v/>
      </c>
    </row>
    <row r="1282" spans="1:13">
      <c r="A1282" s="49" t="s">
        <v>60</v>
      </c>
      <c r="B1282" s="46" t="s">
        <v>205</v>
      </c>
      <c r="C1282" s="50"/>
      <c r="D1282" s="51">
        <v>2009</v>
      </c>
      <c r="E1282" s="56">
        <v>3732635087</v>
      </c>
      <c r="F1282" s="56">
        <v>4671091867</v>
      </c>
      <c r="G1282" s="56">
        <v>8403625995</v>
      </c>
      <c r="H1282" s="56">
        <v>757020943</v>
      </c>
      <c r="I1282" s="54">
        <f t="shared" si="21"/>
        <v>17564373892</v>
      </c>
      <c r="J1282" s="52">
        <v>0</v>
      </c>
      <c r="K1282" s="61"/>
      <c r="M1282" s="38" t="str">
        <f>IF([1]totrevprm!O1282="","",[1]totrevprm!O1282)</f>
        <v/>
      </c>
    </row>
    <row r="1283" spans="1:13">
      <c r="A1283" s="49" t="s">
        <v>60</v>
      </c>
      <c r="B1283" s="46" t="s">
        <v>205</v>
      </c>
      <c r="C1283" s="50"/>
      <c r="D1283" s="51">
        <v>2010</v>
      </c>
      <c r="E1283" s="56">
        <v>3941644362</v>
      </c>
      <c r="F1283" s="56">
        <v>3896747082</v>
      </c>
      <c r="G1283" s="56">
        <v>8847410340</v>
      </c>
      <c r="H1283" s="56">
        <v>522861618</v>
      </c>
      <c r="I1283" s="54">
        <f t="shared" si="21"/>
        <v>17208663402</v>
      </c>
      <c r="J1283" s="52">
        <v>0</v>
      </c>
      <c r="K1283" s="61"/>
      <c r="M1283" s="38" t="str">
        <f>IF([1]totrevprm!O1283="","",[1]totrevprm!O1283)</f>
        <v/>
      </c>
    </row>
    <row r="1284" spans="1:13">
      <c r="A1284" s="49" t="s">
        <v>60</v>
      </c>
      <c r="B1284" s="46" t="s">
        <v>205</v>
      </c>
      <c r="C1284" s="50"/>
      <c r="D1284" s="51">
        <v>2011</v>
      </c>
      <c r="E1284" s="56">
        <v>4117051619</v>
      </c>
      <c r="F1284" s="56">
        <v>3809439687</v>
      </c>
      <c r="G1284" s="56">
        <v>8915135852.5100002</v>
      </c>
      <c r="H1284" s="56">
        <v>601777807</v>
      </c>
      <c r="I1284" s="54">
        <f t="shared" si="21"/>
        <v>17443404965.510002</v>
      </c>
      <c r="J1284" s="52">
        <v>0</v>
      </c>
      <c r="K1284" s="61"/>
      <c r="M1284" s="38" t="str">
        <f>IF([1]totrevprm!O1284="","",[1]totrevprm!O1284)</f>
        <v/>
      </c>
    </row>
    <row r="1285" spans="1:13">
      <c r="A1285" s="49" t="s">
        <v>60</v>
      </c>
      <c r="B1285" s="46" t="s">
        <v>205</v>
      </c>
      <c r="C1285" s="50"/>
      <c r="D1285" s="51">
        <v>2012</v>
      </c>
      <c r="E1285" s="56">
        <v>4203464916</v>
      </c>
      <c r="F1285" s="56">
        <v>4254123065</v>
      </c>
      <c r="G1285" s="56">
        <v>9264707784</v>
      </c>
      <c r="H1285" s="56">
        <v>626185615</v>
      </c>
      <c r="I1285" s="54">
        <f t="shared" si="21"/>
        <v>18348481380</v>
      </c>
      <c r="J1285" s="52">
        <v>0</v>
      </c>
      <c r="K1285" s="61"/>
      <c r="M1285" s="38" t="str">
        <f>IF([1]totrevprm!O1285="","",[1]totrevprm!O1285)</f>
        <v/>
      </c>
    </row>
    <row r="1286" spans="1:13">
      <c r="A1286" s="49" t="s">
        <v>60</v>
      </c>
      <c r="B1286" s="46" t="s">
        <v>205</v>
      </c>
      <c r="C1286" s="50"/>
      <c r="D1286" s="51">
        <v>2013</v>
      </c>
      <c r="E1286" s="56">
        <v>4107216595</v>
      </c>
      <c r="F1286" s="56">
        <v>4599872888</v>
      </c>
      <c r="G1286" s="56">
        <v>8166237292</v>
      </c>
      <c r="H1286" s="56">
        <v>582274089</v>
      </c>
      <c r="I1286" s="54">
        <f t="shared" si="21"/>
        <v>17455600864</v>
      </c>
      <c r="J1286" s="52">
        <v>0</v>
      </c>
      <c r="K1286" s="61"/>
      <c r="M1286" s="38" t="str">
        <f>IF([1]totrevprm!O1286="","",[1]totrevprm!O1286)</f>
        <v/>
      </c>
    </row>
    <row r="1287" spans="1:13">
      <c r="A1287" s="49" t="s">
        <v>60</v>
      </c>
      <c r="B1287" s="46" t="s">
        <v>205</v>
      </c>
      <c r="C1287" s="50"/>
      <c r="D1287" s="51">
        <v>2014</v>
      </c>
      <c r="E1287" s="56">
        <v>4154424080</v>
      </c>
      <c r="F1287" s="56">
        <v>4440490624</v>
      </c>
      <c r="G1287" s="56">
        <v>9127098739.1599998</v>
      </c>
      <c r="H1287" s="56">
        <v>750616789</v>
      </c>
      <c r="I1287" s="54">
        <f t="shared" si="21"/>
        <v>18472630232.16</v>
      </c>
      <c r="J1287" s="52">
        <v>0</v>
      </c>
      <c r="K1287" s="61"/>
      <c r="M1287" s="38" t="str">
        <f>IF([1]totrevprm!O1287="","",[1]totrevprm!O1287)</f>
        <v/>
      </c>
    </row>
    <row r="1288" spans="1:13">
      <c r="A1288" s="49" t="s">
        <v>60</v>
      </c>
      <c r="B1288" s="46" t="s">
        <v>205</v>
      </c>
      <c r="C1288" s="50"/>
      <c r="D1288" s="51">
        <v>2015</v>
      </c>
      <c r="E1288" s="56">
        <v>4325330231</v>
      </c>
      <c r="F1288" s="56">
        <v>4985448302</v>
      </c>
      <c r="G1288" s="56">
        <v>9399002542</v>
      </c>
      <c r="H1288" s="56">
        <v>604296142</v>
      </c>
      <c r="I1288" s="54">
        <f t="shared" si="21"/>
        <v>19314077217</v>
      </c>
      <c r="J1288" s="52">
        <v>0</v>
      </c>
      <c r="K1288" s="61"/>
      <c r="M1288" s="38" t="str">
        <f>IF([1]totrevprm!O1288="","",[1]totrevprm!O1288)</f>
        <v/>
      </c>
    </row>
    <row r="1289" spans="1:13">
      <c r="A1289" s="49" t="s">
        <v>60</v>
      </c>
      <c r="B1289" s="46" t="s">
        <v>205</v>
      </c>
      <c r="C1289" s="50"/>
      <c r="D1289" s="51">
        <v>2016</v>
      </c>
      <c r="E1289" s="56">
        <v>4469531709</v>
      </c>
      <c r="F1289" s="56">
        <v>5357752938</v>
      </c>
      <c r="G1289" s="56">
        <v>9409901862</v>
      </c>
      <c r="H1289" s="56">
        <v>862608231</v>
      </c>
      <c r="I1289" s="54">
        <f t="shared" si="21"/>
        <v>20099794740</v>
      </c>
      <c r="J1289" s="52">
        <v>0</v>
      </c>
      <c r="K1289" s="61"/>
      <c r="M1289" s="38" t="str">
        <f>IF([1]totrevprm!O1289="","",[1]totrevprm!O1289)</f>
        <v/>
      </c>
    </row>
    <row r="1290" spans="1:13">
      <c r="A1290" s="49" t="s">
        <v>60</v>
      </c>
      <c r="B1290" s="46" t="s">
        <v>205</v>
      </c>
      <c r="C1290" s="50"/>
      <c r="D1290" s="51">
        <v>2017</v>
      </c>
      <c r="E1290" s="56">
        <v>4714555372</v>
      </c>
      <c r="F1290" s="56">
        <v>5723207601</v>
      </c>
      <c r="G1290" s="56">
        <v>11501098601.540001</v>
      </c>
      <c r="H1290" s="56">
        <v>510956399</v>
      </c>
      <c r="I1290" s="54">
        <f t="shared" si="21"/>
        <v>22449817973.540001</v>
      </c>
      <c r="J1290" s="52">
        <v>0</v>
      </c>
      <c r="K1290" s="61"/>
      <c r="M1290" s="38" t="str">
        <f>IF([1]totrevprm!O1290="","",[1]totrevprm!O1290)</f>
        <v/>
      </c>
    </row>
    <row r="1291" spans="1:13">
      <c r="A1291" s="49" t="s">
        <v>60</v>
      </c>
      <c r="B1291" s="46" t="s">
        <v>205</v>
      </c>
      <c r="C1291" s="50"/>
      <c r="D1291" s="51">
        <v>2018</v>
      </c>
      <c r="E1291" s="56">
        <v>4661514622</v>
      </c>
      <c r="F1291" s="56">
        <v>6397994310</v>
      </c>
      <c r="G1291" s="56">
        <v>12778783116.1</v>
      </c>
      <c r="H1291" s="56">
        <v>599230820</v>
      </c>
      <c r="I1291" s="54">
        <f t="shared" si="21"/>
        <v>24437522868.099998</v>
      </c>
      <c r="J1291" s="56">
        <v>0</v>
      </c>
      <c r="K1291" s="61" t="s">
        <v>740</v>
      </c>
      <c r="L1291" t="s">
        <v>720</v>
      </c>
      <c r="M1291" s="38" t="str">
        <f>IF([1]totrevprm!O1291="","",[1]totrevprm!O1291)</f>
        <v>Yes</v>
      </c>
    </row>
    <row r="1292" spans="1:13">
      <c r="A1292" s="49" t="s">
        <v>60</v>
      </c>
      <c r="B1292" s="46" t="s">
        <v>205</v>
      </c>
      <c r="C1292" s="50"/>
      <c r="D1292" s="51">
        <v>2019</v>
      </c>
      <c r="E1292" s="56">
        <v>4851453359</v>
      </c>
      <c r="F1292" s="56">
        <v>7455723301</v>
      </c>
      <c r="G1292" s="56">
        <v>12802370171.619101</v>
      </c>
      <c r="H1292" s="56">
        <v>259243525</v>
      </c>
      <c r="I1292" s="54">
        <f t="shared" si="21"/>
        <v>25368790356.619102</v>
      </c>
      <c r="J1292" s="52">
        <v>32841798</v>
      </c>
      <c r="K1292" s="61" t="s">
        <v>738</v>
      </c>
      <c r="L1292" t="s">
        <v>720</v>
      </c>
      <c r="M1292" s="38" t="str">
        <f>IF([1]totrevprm!O1292="","",[1]totrevprm!O1292)</f>
        <v/>
      </c>
    </row>
    <row r="1293" spans="1:13">
      <c r="A1293" s="49" t="s">
        <v>60</v>
      </c>
      <c r="B1293" s="46" t="s">
        <v>205</v>
      </c>
      <c r="C1293" s="50"/>
      <c r="D1293" s="51">
        <v>2020</v>
      </c>
      <c r="E1293" s="56">
        <v>4944062712</v>
      </c>
      <c r="F1293" s="56">
        <v>7015864715</v>
      </c>
      <c r="G1293" s="56">
        <v>12535962612</v>
      </c>
      <c r="H1293" s="56">
        <v>340475874</v>
      </c>
      <c r="I1293" s="54">
        <f t="shared" ref="I1293:I1358" si="22">SUM(E1293:H1293)</f>
        <v>24836365913</v>
      </c>
      <c r="J1293" s="52">
        <v>33535968</v>
      </c>
      <c r="K1293" s="61" t="s">
        <v>738</v>
      </c>
      <c r="L1293" t="s">
        <v>720</v>
      </c>
      <c r="M1293" s="38" t="str">
        <f>IF([1]totrevprm!O1293="","",[1]totrevprm!O1293)</f>
        <v/>
      </c>
    </row>
    <row r="1294" spans="1:13">
      <c r="A1294" s="49" t="s">
        <v>60</v>
      </c>
      <c r="B1294" s="46" t="s">
        <v>205</v>
      </c>
      <c r="C1294" s="50"/>
      <c r="D1294" s="51">
        <v>2021</v>
      </c>
      <c r="E1294" s="56">
        <v>5482790746</v>
      </c>
      <c r="F1294" s="56">
        <v>8982996099</v>
      </c>
      <c r="G1294" s="56">
        <v>13244408230</v>
      </c>
      <c r="H1294" s="56">
        <v>131422606</v>
      </c>
      <c r="I1294" s="54">
        <f t="shared" si="22"/>
        <v>27841617681</v>
      </c>
      <c r="J1294" s="56">
        <v>0</v>
      </c>
      <c r="K1294" s="61" t="s">
        <v>739</v>
      </c>
      <c r="L1294" t="s">
        <v>720</v>
      </c>
      <c r="M1294" s="38"/>
    </row>
    <row r="1295" spans="1:13">
      <c r="A1295" s="49" t="s">
        <v>60</v>
      </c>
      <c r="B1295" s="46" t="s">
        <v>205</v>
      </c>
      <c r="C1295" s="50"/>
      <c r="D1295" s="51">
        <v>2022</v>
      </c>
      <c r="E1295" s="56">
        <v>5383648187</v>
      </c>
      <c r="F1295" s="56">
        <v>12221006335</v>
      </c>
      <c r="G1295" s="56">
        <v>14038206982</v>
      </c>
      <c r="H1295" s="56">
        <v>129265209</v>
      </c>
      <c r="I1295" s="54">
        <f t="shared" si="22"/>
        <v>31772126713</v>
      </c>
      <c r="J1295" s="56">
        <v>0</v>
      </c>
      <c r="K1295" s="61" t="s">
        <v>739</v>
      </c>
      <c r="L1295" t="s">
        <v>720</v>
      </c>
      <c r="M1295" s="38" t="str">
        <f>IF([1]totrevprm!O1298="","",[1]totrevprm!O1298)</f>
        <v/>
      </c>
    </row>
    <row r="1296" spans="1:13">
      <c r="A1296" s="49" t="s">
        <v>60</v>
      </c>
      <c r="B1296" s="46" t="s">
        <v>205</v>
      </c>
      <c r="C1296" s="50"/>
      <c r="D1296" s="51">
        <v>2023</v>
      </c>
      <c r="E1296" s="56">
        <v>5570490169</v>
      </c>
      <c r="F1296" s="56">
        <v>12708971837.351601</v>
      </c>
      <c r="G1296" s="56">
        <v>15393934410.211899</v>
      </c>
      <c r="H1296" s="56">
        <v>95757373</v>
      </c>
      <c r="I1296" s="54">
        <f t="shared" si="22"/>
        <v>33769153789.563499</v>
      </c>
      <c r="J1296" s="52">
        <v>0</v>
      </c>
      <c r="K1296" s="61" t="s">
        <v>739</v>
      </c>
      <c r="M1296" s="38"/>
    </row>
    <row r="1297" spans="1:13">
      <c r="A1297" s="49" t="s">
        <v>60</v>
      </c>
      <c r="B1297" s="46" t="s">
        <v>205</v>
      </c>
      <c r="C1297" s="50"/>
      <c r="D1297" s="57">
        <v>2024</v>
      </c>
      <c r="E1297" s="52">
        <v>5620984566.9200001</v>
      </c>
      <c r="F1297" s="52">
        <v>15913983416.92</v>
      </c>
      <c r="G1297" s="52">
        <v>16459454252.7383</v>
      </c>
      <c r="H1297" s="52">
        <v>132086667.45</v>
      </c>
      <c r="I1297" s="54">
        <f t="shared" si="22"/>
        <v>38126508904.028297</v>
      </c>
      <c r="J1297" s="56">
        <v>0</v>
      </c>
      <c r="K1297" s="61" t="s">
        <v>739</v>
      </c>
      <c r="M1297" s="38"/>
    </row>
    <row r="1298" spans="1:13">
      <c r="A1298" s="49"/>
      <c r="B1298" s="50"/>
      <c r="C1298" s="50"/>
      <c r="E1298" s="53"/>
      <c r="F1298" s="53"/>
      <c r="G1298" s="53"/>
      <c r="H1298" s="53"/>
      <c r="I1298" s="54"/>
      <c r="J1298" s="52"/>
      <c r="M1298" s="38"/>
    </row>
    <row r="1299" spans="1:13">
      <c r="A1299" s="49" t="s">
        <v>61</v>
      </c>
      <c r="B1299" s="46" t="s">
        <v>805</v>
      </c>
      <c r="C1299" s="50" t="s">
        <v>751</v>
      </c>
      <c r="D1299" s="51">
        <v>1988</v>
      </c>
      <c r="E1299" s="53">
        <v>149101958</v>
      </c>
      <c r="F1299" s="53">
        <v>150864610</v>
      </c>
      <c r="G1299" s="53">
        <v>117708329</v>
      </c>
      <c r="H1299" s="53">
        <v>20081033</v>
      </c>
      <c r="I1299" s="54">
        <f t="shared" si="22"/>
        <v>437755930</v>
      </c>
      <c r="J1299" s="52">
        <v>0</v>
      </c>
      <c r="M1299" s="38" t="str">
        <f>IF([1]totrevprm!O1299="","",[1]totrevprm!O1299)</f>
        <v/>
      </c>
    </row>
    <row r="1300" spans="1:13">
      <c r="A1300" s="49" t="s">
        <v>61</v>
      </c>
      <c r="B1300" s="46" t="s">
        <v>805</v>
      </c>
      <c r="C1300" s="50" t="s">
        <v>732</v>
      </c>
      <c r="D1300" s="51">
        <v>1989</v>
      </c>
      <c r="E1300" s="53">
        <v>147961050</v>
      </c>
      <c r="F1300" s="53">
        <v>144092600</v>
      </c>
      <c r="G1300" s="53">
        <v>118596232</v>
      </c>
      <c r="H1300" s="53">
        <v>23499885</v>
      </c>
      <c r="I1300" s="54">
        <f t="shared" si="22"/>
        <v>434149767</v>
      </c>
      <c r="J1300" s="52">
        <v>0</v>
      </c>
      <c r="M1300" s="38" t="str">
        <f>IF([1]totrevprm!O1300="","",[1]totrevprm!O1300)</f>
        <v/>
      </c>
    </row>
    <row r="1301" spans="1:13">
      <c r="A1301" s="49" t="s">
        <v>61</v>
      </c>
      <c r="B1301" s="46" t="s">
        <v>805</v>
      </c>
      <c r="C1301" s="50" t="s">
        <v>732</v>
      </c>
      <c r="D1301" s="51">
        <v>1990</v>
      </c>
      <c r="E1301" s="53">
        <v>142834709</v>
      </c>
      <c r="F1301" s="53">
        <v>173952838.72</v>
      </c>
      <c r="G1301" s="53">
        <v>125638553</v>
      </c>
      <c r="H1301" s="53">
        <v>21249321</v>
      </c>
      <c r="I1301" s="54">
        <f t="shared" si="22"/>
        <v>463675421.72000003</v>
      </c>
      <c r="J1301" s="52">
        <v>0</v>
      </c>
      <c r="M1301" s="38" t="str">
        <f>IF([1]totrevprm!O1301="","",[1]totrevprm!O1301)</f>
        <v/>
      </c>
    </row>
    <row r="1302" spans="1:13">
      <c r="A1302" s="49" t="s">
        <v>61</v>
      </c>
      <c r="B1302" s="46" t="s">
        <v>805</v>
      </c>
      <c r="C1302" s="50" t="s">
        <v>732</v>
      </c>
      <c r="D1302" s="51">
        <v>1991</v>
      </c>
      <c r="E1302" s="53">
        <v>137922363</v>
      </c>
      <c r="F1302" s="53">
        <v>150360104</v>
      </c>
      <c r="G1302" s="53">
        <v>439549120</v>
      </c>
      <c r="H1302" s="53">
        <v>30874468</v>
      </c>
      <c r="I1302" s="54">
        <f t="shared" si="22"/>
        <v>758706055</v>
      </c>
      <c r="J1302" s="52">
        <v>0</v>
      </c>
      <c r="M1302" s="38" t="str">
        <f>IF([1]totrevprm!O1302="","",[1]totrevprm!O1302)</f>
        <v/>
      </c>
    </row>
    <row r="1303" spans="1:13">
      <c r="A1303" s="49" t="s">
        <v>61</v>
      </c>
      <c r="B1303" s="46" t="s">
        <v>805</v>
      </c>
      <c r="C1303" s="50" t="s">
        <v>732</v>
      </c>
      <c r="D1303" s="51">
        <v>1992</v>
      </c>
      <c r="E1303" s="53">
        <v>152556667</v>
      </c>
      <c r="F1303" s="53">
        <v>137468722.75999999</v>
      </c>
      <c r="G1303" s="53">
        <v>427971629</v>
      </c>
      <c r="H1303" s="53">
        <v>23033145</v>
      </c>
      <c r="I1303" s="54">
        <f t="shared" si="22"/>
        <v>741030163.75999999</v>
      </c>
      <c r="J1303" s="52">
        <v>0</v>
      </c>
      <c r="M1303" s="38" t="str">
        <f>IF([1]totrevprm!O1303="","",[1]totrevprm!O1303)</f>
        <v/>
      </c>
    </row>
    <row r="1304" spans="1:13">
      <c r="A1304" s="49" t="s">
        <v>61</v>
      </c>
      <c r="B1304" s="46" t="s">
        <v>805</v>
      </c>
      <c r="C1304" s="50" t="s">
        <v>732</v>
      </c>
      <c r="D1304" s="51">
        <v>1993</v>
      </c>
      <c r="E1304" s="53">
        <v>150416311</v>
      </c>
      <c r="F1304" s="53">
        <v>131286055</v>
      </c>
      <c r="G1304" s="53">
        <v>431716028</v>
      </c>
      <c r="H1304" s="53">
        <v>30785124</v>
      </c>
      <c r="I1304" s="54">
        <f t="shared" si="22"/>
        <v>744203518</v>
      </c>
      <c r="J1304" s="52">
        <v>0</v>
      </c>
      <c r="M1304" s="38" t="str">
        <f>IF([1]totrevprm!O1304="","",[1]totrevprm!O1304)</f>
        <v/>
      </c>
    </row>
    <row r="1305" spans="1:13">
      <c r="A1305" s="49" t="s">
        <v>61</v>
      </c>
      <c r="B1305" s="46" t="s">
        <v>805</v>
      </c>
      <c r="C1305" s="50" t="s">
        <v>732</v>
      </c>
      <c r="D1305" s="51">
        <v>1994</v>
      </c>
      <c r="E1305" s="53">
        <v>166905606</v>
      </c>
      <c r="F1305" s="53">
        <v>186484399</v>
      </c>
      <c r="G1305" s="53">
        <v>417967802</v>
      </c>
      <c r="H1305" s="53">
        <v>37601911</v>
      </c>
      <c r="I1305" s="54">
        <f t="shared" si="22"/>
        <v>808959718</v>
      </c>
      <c r="J1305" s="52">
        <v>0</v>
      </c>
      <c r="M1305" s="38" t="str">
        <f>IF([1]totrevprm!O1305="","",[1]totrevprm!O1305)</f>
        <v/>
      </c>
    </row>
    <row r="1306" spans="1:13">
      <c r="A1306" s="49" t="s">
        <v>61</v>
      </c>
      <c r="B1306" s="46" t="s">
        <v>805</v>
      </c>
      <c r="C1306" s="50" t="s">
        <v>732</v>
      </c>
      <c r="D1306" s="51">
        <v>1995</v>
      </c>
      <c r="E1306" s="53">
        <v>177236172</v>
      </c>
      <c r="F1306" s="53">
        <v>169084571</v>
      </c>
      <c r="G1306" s="53">
        <v>491480586</v>
      </c>
      <c r="H1306" s="53">
        <v>40178860</v>
      </c>
      <c r="I1306" s="54">
        <f t="shared" si="22"/>
        <v>877980189</v>
      </c>
      <c r="J1306" s="52">
        <v>0</v>
      </c>
      <c r="M1306" s="38" t="str">
        <f>IF([1]totrevprm!O1306="","",[1]totrevprm!O1306)</f>
        <v/>
      </c>
    </row>
    <row r="1307" spans="1:13">
      <c r="A1307" s="49" t="s">
        <v>61</v>
      </c>
      <c r="B1307" s="46" t="s">
        <v>805</v>
      </c>
      <c r="C1307" s="50" t="s">
        <v>732</v>
      </c>
      <c r="D1307" s="51">
        <v>1996</v>
      </c>
      <c r="E1307" s="53">
        <v>187428957</v>
      </c>
      <c r="F1307" s="53">
        <v>115781794</v>
      </c>
      <c r="G1307" s="53">
        <v>500364417</v>
      </c>
      <c r="H1307" s="53">
        <v>25722770</v>
      </c>
      <c r="I1307" s="54">
        <f t="shared" si="22"/>
        <v>829297938</v>
      </c>
      <c r="J1307" s="52">
        <v>0</v>
      </c>
      <c r="M1307" s="38" t="str">
        <f>IF([1]totrevprm!O1307="","",[1]totrevprm!O1307)</f>
        <v/>
      </c>
    </row>
    <row r="1308" spans="1:13">
      <c r="A1308" s="49" t="s">
        <v>61</v>
      </c>
      <c r="B1308" s="46" t="s">
        <v>805</v>
      </c>
      <c r="C1308" s="50" t="s">
        <v>732</v>
      </c>
      <c r="D1308" s="51">
        <v>1997</v>
      </c>
      <c r="E1308" s="53">
        <v>172230258</v>
      </c>
      <c r="F1308" s="53">
        <v>129491597</v>
      </c>
      <c r="G1308" s="53">
        <v>526107462</v>
      </c>
      <c r="H1308" s="53">
        <v>23451593</v>
      </c>
      <c r="I1308" s="54">
        <f t="shared" si="22"/>
        <v>851280910</v>
      </c>
      <c r="J1308" s="52">
        <v>0</v>
      </c>
      <c r="M1308" s="38" t="str">
        <f>IF([1]totrevprm!O1308="","",[1]totrevprm!O1308)</f>
        <v/>
      </c>
    </row>
    <row r="1309" spans="1:13">
      <c r="A1309" s="49" t="s">
        <v>61</v>
      </c>
      <c r="B1309" s="46" t="s">
        <v>805</v>
      </c>
      <c r="C1309" s="50" t="s">
        <v>732</v>
      </c>
      <c r="D1309" s="51">
        <v>1998</v>
      </c>
      <c r="E1309" s="53">
        <v>173984219</v>
      </c>
      <c r="F1309" s="53">
        <v>126063852</v>
      </c>
      <c r="G1309" s="53">
        <v>539861490</v>
      </c>
      <c r="H1309" s="53">
        <v>26800511</v>
      </c>
      <c r="I1309" s="54">
        <f t="shared" si="22"/>
        <v>866710072</v>
      </c>
      <c r="J1309" s="52">
        <v>0</v>
      </c>
      <c r="M1309" s="38" t="str">
        <f>IF([1]totrevprm!O1309="","",[1]totrevprm!O1309)</f>
        <v/>
      </c>
    </row>
    <row r="1310" spans="1:13">
      <c r="A1310" s="49" t="s">
        <v>61</v>
      </c>
      <c r="B1310" s="46" t="s">
        <v>805</v>
      </c>
      <c r="C1310" s="50" t="s">
        <v>806</v>
      </c>
      <c r="D1310" s="51">
        <v>1999</v>
      </c>
      <c r="E1310" s="53">
        <v>179281481</v>
      </c>
      <c r="F1310" s="53">
        <v>166910886</v>
      </c>
      <c r="G1310" s="53">
        <v>575402233</v>
      </c>
      <c r="H1310" s="53">
        <v>14751927</v>
      </c>
      <c r="I1310" s="54">
        <f t="shared" si="22"/>
        <v>936346527</v>
      </c>
      <c r="J1310" s="52">
        <v>964766</v>
      </c>
      <c r="K1310" s="60" t="s">
        <v>736</v>
      </c>
      <c r="L1310" t="s">
        <v>720</v>
      </c>
      <c r="M1310" s="38" t="str">
        <f>IF([1]totrevprm!O1310="","",[1]totrevprm!O1310)</f>
        <v/>
      </c>
    </row>
    <row r="1311" spans="1:13">
      <c r="A1311" s="49" t="s">
        <v>61</v>
      </c>
      <c r="B1311" s="46" t="s">
        <v>805</v>
      </c>
      <c r="C1311" s="50" t="s">
        <v>732</v>
      </c>
      <c r="D1311" s="51">
        <v>2000</v>
      </c>
      <c r="E1311" s="53">
        <v>170778946</v>
      </c>
      <c r="F1311" s="53">
        <v>186989723</v>
      </c>
      <c r="G1311" s="53">
        <v>613396859</v>
      </c>
      <c r="H1311" s="53">
        <v>5592101</v>
      </c>
      <c r="I1311" s="54">
        <f t="shared" si="22"/>
        <v>976757629</v>
      </c>
      <c r="J1311" s="52">
        <v>992413</v>
      </c>
      <c r="K1311" s="60" t="s">
        <v>736</v>
      </c>
      <c r="L1311" t="s">
        <v>720</v>
      </c>
      <c r="M1311" s="38" t="str">
        <f>IF([1]totrevprm!O1311="","",[1]totrevprm!O1311)</f>
        <v/>
      </c>
    </row>
    <row r="1312" spans="1:13">
      <c r="A1312" s="49" t="s">
        <v>61</v>
      </c>
      <c r="B1312" s="46" t="s">
        <v>805</v>
      </c>
      <c r="C1312" s="50" t="s">
        <v>785</v>
      </c>
      <c r="D1312" s="51">
        <v>2001</v>
      </c>
      <c r="E1312" s="53">
        <v>167726029</v>
      </c>
      <c r="F1312" s="53">
        <v>237276819</v>
      </c>
      <c r="G1312" s="53">
        <v>667558395</v>
      </c>
      <c r="H1312" s="53">
        <v>5084432</v>
      </c>
      <c r="I1312" s="54">
        <f t="shared" si="22"/>
        <v>1077645675</v>
      </c>
      <c r="J1312" s="37">
        <v>1868793</v>
      </c>
      <c r="K1312" s="60" t="s">
        <v>736</v>
      </c>
      <c r="L1312" t="s">
        <v>720</v>
      </c>
      <c r="M1312" s="38" t="str">
        <f>IF([1]totrevprm!O1312="","",[1]totrevprm!O1312)</f>
        <v/>
      </c>
    </row>
    <row r="1313" spans="1:13">
      <c r="A1313" s="49" t="s">
        <v>61</v>
      </c>
      <c r="B1313" s="46" t="s">
        <v>805</v>
      </c>
      <c r="C1313" s="50" t="s">
        <v>732</v>
      </c>
      <c r="D1313" s="51">
        <v>2002</v>
      </c>
      <c r="E1313" s="53">
        <v>179993108</v>
      </c>
      <c r="F1313" s="53">
        <v>298409254</v>
      </c>
      <c r="G1313" s="68">
        <v>718328407</v>
      </c>
      <c r="H1313" s="53">
        <v>4391859</v>
      </c>
      <c r="I1313" s="54">
        <f t="shared" si="22"/>
        <v>1201122628</v>
      </c>
      <c r="J1313" s="37">
        <v>1319154</v>
      </c>
      <c r="K1313" s="60" t="s">
        <v>736</v>
      </c>
      <c r="L1313" t="s">
        <v>720</v>
      </c>
      <c r="M1313" s="38" t="str">
        <f>IF([1]totrevprm!O1313="","",[1]totrevprm!O1313)</f>
        <v/>
      </c>
    </row>
    <row r="1314" spans="1:13">
      <c r="A1314" s="49" t="s">
        <v>61</v>
      </c>
      <c r="B1314" s="46" t="s">
        <v>805</v>
      </c>
      <c r="C1314" s="50" t="s">
        <v>732</v>
      </c>
      <c r="D1314" s="51">
        <v>2003</v>
      </c>
      <c r="E1314" s="55">
        <v>199940786</v>
      </c>
      <c r="F1314" s="55">
        <v>214983939</v>
      </c>
      <c r="G1314" s="55">
        <v>752551816</v>
      </c>
      <c r="H1314" s="55">
        <v>8927860</v>
      </c>
      <c r="I1314" s="54">
        <f t="shared" si="22"/>
        <v>1176404401</v>
      </c>
      <c r="J1314" s="37">
        <v>2425038</v>
      </c>
      <c r="K1314" s="60" t="s">
        <v>736</v>
      </c>
      <c r="L1314" t="s">
        <v>720</v>
      </c>
      <c r="M1314" s="38" t="str">
        <f>IF([1]totrevprm!O1314="","",[1]totrevprm!O1314)</f>
        <v/>
      </c>
    </row>
    <row r="1315" spans="1:13">
      <c r="A1315" s="49" t="s">
        <v>61</v>
      </c>
      <c r="B1315" s="46" t="s">
        <v>805</v>
      </c>
      <c r="C1315" s="50" t="s">
        <v>732</v>
      </c>
      <c r="D1315" s="51">
        <v>2004</v>
      </c>
      <c r="E1315" s="55">
        <v>190420415</v>
      </c>
      <c r="F1315" s="55">
        <v>246554585</v>
      </c>
      <c r="G1315" s="55">
        <v>747293199</v>
      </c>
      <c r="H1315" s="55">
        <v>7477913</v>
      </c>
      <c r="I1315" s="54">
        <f t="shared" si="22"/>
        <v>1191746112</v>
      </c>
      <c r="J1315" s="37">
        <v>2945300</v>
      </c>
      <c r="K1315" s="60" t="s">
        <v>736</v>
      </c>
      <c r="L1315" t="s">
        <v>720</v>
      </c>
      <c r="M1315" s="38" t="str">
        <f>IF([1]totrevprm!O1315="","",[1]totrevprm!O1315)</f>
        <v/>
      </c>
    </row>
    <row r="1316" spans="1:13">
      <c r="A1316" s="49" t="s">
        <v>61</v>
      </c>
      <c r="B1316" s="46" t="s">
        <v>805</v>
      </c>
      <c r="C1316" s="50"/>
      <c r="D1316" s="51">
        <v>2005</v>
      </c>
      <c r="E1316" s="55">
        <v>204700170</v>
      </c>
      <c r="F1316" s="55">
        <v>232238540</v>
      </c>
      <c r="G1316" s="55">
        <v>795945941</v>
      </c>
      <c r="H1316" s="55">
        <v>9976482</v>
      </c>
      <c r="I1316" s="54">
        <f t="shared" si="22"/>
        <v>1242861133</v>
      </c>
      <c r="J1316" s="37">
        <v>2021166</v>
      </c>
      <c r="K1316" s="60" t="s">
        <v>736</v>
      </c>
      <c r="L1316" t="s">
        <v>720</v>
      </c>
      <c r="M1316" s="38" t="str">
        <f>IF([1]totrevprm!O1316="","",[1]totrevprm!O1316)</f>
        <v/>
      </c>
    </row>
    <row r="1317" spans="1:13">
      <c r="A1317" s="49" t="s">
        <v>61</v>
      </c>
      <c r="B1317" s="46" t="s">
        <v>805</v>
      </c>
      <c r="C1317" s="50"/>
      <c r="D1317" s="51">
        <v>2006</v>
      </c>
      <c r="E1317" s="56">
        <v>209507628</v>
      </c>
      <c r="F1317" s="56">
        <v>280702791</v>
      </c>
      <c r="G1317" s="56">
        <v>888908754</v>
      </c>
      <c r="H1317" s="53">
        <v>-2529673</v>
      </c>
      <c r="I1317" s="54">
        <f t="shared" si="22"/>
        <v>1376589500</v>
      </c>
      <c r="J1317" s="37">
        <v>2159080</v>
      </c>
      <c r="K1317" s="60" t="s">
        <v>736</v>
      </c>
      <c r="L1317" t="s">
        <v>720</v>
      </c>
      <c r="M1317" s="38" t="str">
        <f>IF([1]totrevprm!O1317="","",[1]totrevprm!O1317)</f>
        <v/>
      </c>
    </row>
    <row r="1318" spans="1:13">
      <c r="A1318" s="49" t="s">
        <v>61</v>
      </c>
      <c r="B1318" s="46" t="s">
        <v>805</v>
      </c>
      <c r="C1318" s="50"/>
      <c r="D1318" s="51">
        <v>2007</v>
      </c>
      <c r="E1318" s="56">
        <v>225711099</v>
      </c>
      <c r="F1318" s="56">
        <v>298272097</v>
      </c>
      <c r="G1318" s="56">
        <v>928023397</v>
      </c>
      <c r="H1318" s="52">
        <v>3487589</v>
      </c>
      <c r="I1318" s="54">
        <f t="shared" si="22"/>
        <v>1455494182</v>
      </c>
      <c r="J1318" s="37">
        <v>2347150</v>
      </c>
      <c r="K1318" s="60" t="s">
        <v>736</v>
      </c>
      <c r="L1318" t="s">
        <v>720</v>
      </c>
      <c r="M1318" s="38" t="str">
        <f>IF([1]totrevprm!O1318="","",[1]totrevprm!O1318)</f>
        <v/>
      </c>
    </row>
    <row r="1319" spans="1:13">
      <c r="A1319" s="49" t="s">
        <v>61</v>
      </c>
      <c r="B1319" s="46" t="s">
        <v>805</v>
      </c>
      <c r="C1319" s="50"/>
      <c r="D1319" s="51">
        <v>2008</v>
      </c>
      <c r="E1319" s="56">
        <v>236636267</v>
      </c>
      <c r="F1319" s="56">
        <v>374229774</v>
      </c>
      <c r="G1319" s="56">
        <v>981971991</v>
      </c>
      <c r="H1319" s="52">
        <v>16014912</v>
      </c>
      <c r="I1319" s="54">
        <f t="shared" si="22"/>
        <v>1608852944</v>
      </c>
      <c r="J1319" s="37">
        <v>3311260</v>
      </c>
      <c r="K1319" s="60" t="s">
        <v>736</v>
      </c>
      <c r="L1319" t="s">
        <v>720</v>
      </c>
      <c r="M1319" s="38" t="str">
        <f>IF([1]totrevprm!O1319="","",[1]totrevprm!O1319)</f>
        <v/>
      </c>
    </row>
    <row r="1320" spans="1:13">
      <c r="A1320" s="49" t="s">
        <v>61</v>
      </c>
      <c r="B1320" s="46" t="s">
        <v>805</v>
      </c>
      <c r="C1320" s="50"/>
      <c r="D1320" s="51">
        <v>2009</v>
      </c>
      <c r="E1320" s="56">
        <v>263368693</v>
      </c>
      <c r="F1320" s="56">
        <v>351655949</v>
      </c>
      <c r="G1320" s="56">
        <v>1034529270</v>
      </c>
      <c r="H1320" s="52">
        <v>12071423</v>
      </c>
      <c r="I1320" s="54">
        <f t="shared" si="22"/>
        <v>1661625335</v>
      </c>
      <c r="J1320" s="37">
        <v>2832478</v>
      </c>
      <c r="K1320" s="60" t="s">
        <v>736</v>
      </c>
      <c r="L1320" t="s">
        <v>720</v>
      </c>
      <c r="M1320" s="38" t="str">
        <f>IF([1]totrevprm!O1320="","",[1]totrevprm!O1320)</f>
        <v/>
      </c>
    </row>
    <row r="1321" spans="1:13">
      <c r="A1321" s="49" t="s">
        <v>61</v>
      </c>
      <c r="B1321" s="46" t="s">
        <v>805</v>
      </c>
      <c r="C1321" s="50"/>
      <c r="D1321" s="51">
        <v>2010</v>
      </c>
      <c r="E1321" s="56">
        <v>290074904</v>
      </c>
      <c r="F1321" s="52">
        <v>341671299</v>
      </c>
      <c r="G1321" s="56">
        <v>1134430726</v>
      </c>
      <c r="H1321" s="52">
        <v>4889188</v>
      </c>
      <c r="I1321" s="54">
        <f t="shared" si="22"/>
        <v>1771066117</v>
      </c>
      <c r="J1321" s="37">
        <v>2590819</v>
      </c>
      <c r="K1321" s="60" t="s">
        <v>736</v>
      </c>
      <c r="L1321" t="s">
        <v>720</v>
      </c>
      <c r="M1321" s="38" t="str">
        <f>IF([1]totrevprm!O1321="","",[1]totrevprm!O1321)</f>
        <v/>
      </c>
    </row>
    <row r="1322" spans="1:13">
      <c r="A1322" s="49" t="s">
        <v>61</v>
      </c>
      <c r="B1322" s="46" t="s">
        <v>805</v>
      </c>
      <c r="C1322" s="50"/>
      <c r="D1322" s="51">
        <v>2011</v>
      </c>
      <c r="E1322" s="56">
        <v>303487585</v>
      </c>
      <c r="F1322" s="52">
        <v>353538961</v>
      </c>
      <c r="G1322" s="56">
        <v>1236899852</v>
      </c>
      <c r="H1322" s="56">
        <v>7679570</v>
      </c>
      <c r="I1322" s="54">
        <f t="shared" si="22"/>
        <v>1901605968</v>
      </c>
      <c r="J1322" s="37">
        <v>3964662</v>
      </c>
      <c r="K1322" s="60" t="s">
        <v>736</v>
      </c>
      <c r="L1322" t="s">
        <v>720</v>
      </c>
      <c r="M1322" s="38" t="str">
        <f>IF([1]totrevprm!O1322="","",[1]totrevprm!O1322)</f>
        <v/>
      </c>
    </row>
    <row r="1323" spans="1:13">
      <c r="A1323" s="49" t="s">
        <v>61</v>
      </c>
      <c r="B1323" s="46" t="s">
        <v>805</v>
      </c>
      <c r="C1323" s="50"/>
      <c r="D1323" s="51">
        <v>2012</v>
      </c>
      <c r="E1323" s="56">
        <v>325718251</v>
      </c>
      <c r="F1323" s="52">
        <v>359108037</v>
      </c>
      <c r="G1323" s="56">
        <v>1337121150</v>
      </c>
      <c r="H1323" s="56">
        <v>17652954</v>
      </c>
      <c r="I1323" s="54">
        <f t="shared" si="22"/>
        <v>2039600392</v>
      </c>
      <c r="J1323" s="37">
        <v>4207254</v>
      </c>
      <c r="K1323" s="60" t="s">
        <v>736</v>
      </c>
      <c r="L1323" t="s">
        <v>720</v>
      </c>
      <c r="M1323" s="38" t="str">
        <f>IF([1]totrevprm!O1323="","",[1]totrevprm!O1323)</f>
        <v/>
      </c>
    </row>
    <row r="1324" spans="1:13">
      <c r="A1324" s="49" t="s">
        <v>61</v>
      </c>
      <c r="B1324" s="46" t="s">
        <v>805</v>
      </c>
      <c r="C1324" s="50"/>
      <c r="D1324" s="51">
        <v>2013</v>
      </c>
      <c r="E1324" s="56">
        <v>331248624</v>
      </c>
      <c r="F1324" s="52">
        <v>379362436</v>
      </c>
      <c r="G1324" s="56">
        <v>1354458128</v>
      </c>
      <c r="H1324" s="56">
        <v>27623124</v>
      </c>
      <c r="I1324" s="54">
        <f t="shared" si="22"/>
        <v>2092692312</v>
      </c>
      <c r="J1324" s="37">
        <v>3639153</v>
      </c>
      <c r="K1324" s="60" t="s">
        <v>736</v>
      </c>
      <c r="L1324" t="s">
        <v>720</v>
      </c>
      <c r="M1324" s="38" t="str">
        <f>IF([1]totrevprm!O1324="","",[1]totrevprm!O1324)</f>
        <v/>
      </c>
    </row>
    <row r="1325" spans="1:13">
      <c r="A1325" s="49" t="s">
        <v>61</v>
      </c>
      <c r="B1325" s="46" t="s">
        <v>805</v>
      </c>
      <c r="C1325" s="50"/>
      <c r="D1325" s="51">
        <v>2014</v>
      </c>
      <c r="E1325" s="56">
        <v>348502956</v>
      </c>
      <c r="F1325" s="56">
        <v>490488034</v>
      </c>
      <c r="G1325" s="56">
        <v>1470327677</v>
      </c>
      <c r="H1325" s="56">
        <v>15160902</v>
      </c>
      <c r="I1325" s="54">
        <f t="shared" si="22"/>
        <v>2324479569</v>
      </c>
      <c r="J1325" s="52">
        <v>18580680</v>
      </c>
      <c r="K1325" s="60" t="s">
        <v>736</v>
      </c>
      <c r="L1325" t="s">
        <v>720</v>
      </c>
      <c r="M1325" s="38" t="str">
        <f>IF([1]totrevprm!O1325="","",[1]totrevprm!O1325)</f>
        <v/>
      </c>
    </row>
    <row r="1326" spans="1:13">
      <c r="A1326" s="49" t="s">
        <v>61</v>
      </c>
      <c r="B1326" s="46" t="s">
        <v>805</v>
      </c>
      <c r="C1326" s="50"/>
      <c r="D1326" s="51">
        <v>2015</v>
      </c>
      <c r="E1326" s="56">
        <v>384625284</v>
      </c>
      <c r="F1326" s="56">
        <v>458393922</v>
      </c>
      <c r="G1326" s="56">
        <v>1434911821</v>
      </c>
      <c r="H1326" s="56">
        <v>14741838</v>
      </c>
      <c r="I1326" s="54">
        <f t="shared" si="22"/>
        <v>2292672865</v>
      </c>
      <c r="J1326" s="52">
        <v>13162508</v>
      </c>
      <c r="K1326" s="60" t="s">
        <v>736</v>
      </c>
      <c r="L1326" t="s">
        <v>720</v>
      </c>
      <c r="M1326" s="38" t="str">
        <f>IF([1]totrevprm!O1326="","",[1]totrevprm!O1326)</f>
        <v/>
      </c>
    </row>
    <row r="1327" spans="1:13">
      <c r="A1327" s="49" t="s">
        <v>61</v>
      </c>
      <c r="B1327" s="46" t="s">
        <v>805</v>
      </c>
      <c r="C1327" s="50"/>
      <c r="D1327" s="51">
        <v>2016</v>
      </c>
      <c r="E1327" s="56">
        <v>379667300</v>
      </c>
      <c r="F1327" s="56">
        <v>535586933</v>
      </c>
      <c r="G1327" s="56">
        <v>1283972956</v>
      </c>
      <c r="H1327" s="56">
        <v>5866094</v>
      </c>
      <c r="I1327" s="54">
        <f t="shared" si="22"/>
        <v>2205093283</v>
      </c>
      <c r="J1327" s="52">
        <v>6036180</v>
      </c>
      <c r="K1327" s="60" t="s">
        <v>736</v>
      </c>
      <c r="L1327" t="s">
        <v>720</v>
      </c>
      <c r="M1327" s="38" t="str">
        <f>IF([1]totrevprm!O1327="","",[1]totrevprm!O1327)</f>
        <v/>
      </c>
    </row>
    <row r="1328" spans="1:13">
      <c r="A1328" s="49" t="s">
        <v>61</v>
      </c>
      <c r="B1328" s="46" t="s">
        <v>805</v>
      </c>
      <c r="C1328" s="50"/>
      <c r="D1328" s="51">
        <v>2017</v>
      </c>
      <c r="E1328" s="56">
        <v>389707230</v>
      </c>
      <c r="F1328" s="56">
        <v>482344334</v>
      </c>
      <c r="G1328" s="56">
        <v>1320736226</v>
      </c>
      <c r="H1328" s="56">
        <v>5833643</v>
      </c>
      <c r="I1328" s="54">
        <f t="shared" si="22"/>
        <v>2198621433</v>
      </c>
      <c r="J1328" s="56">
        <v>6258699</v>
      </c>
      <c r="K1328" s="60" t="s">
        <v>736</v>
      </c>
      <c r="L1328" t="s">
        <v>720</v>
      </c>
      <c r="M1328" s="38" t="str">
        <f>IF([1]totrevprm!O1328="","",[1]totrevprm!O1328)</f>
        <v/>
      </c>
    </row>
    <row r="1329" spans="1:13">
      <c r="A1329" s="49" t="s">
        <v>61</v>
      </c>
      <c r="B1329" s="46" t="s">
        <v>805</v>
      </c>
      <c r="C1329" s="50"/>
      <c r="D1329" s="51">
        <v>2018</v>
      </c>
      <c r="E1329" s="56">
        <v>395998988</v>
      </c>
      <c r="F1329" s="56">
        <v>636299135</v>
      </c>
      <c r="G1329" s="56">
        <v>1673433674</v>
      </c>
      <c r="H1329" s="56">
        <v>13317746</v>
      </c>
      <c r="I1329" s="54">
        <f t="shared" si="22"/>
        <v>2719049543</v>
      </c>
      <c r="J1329" s="56">
        <v>6217491</v>
      </c>
      <c r="K1329" s="60" t="s">
        <v>736</v>
      </c>
      <c r="L1329" t="s">
        <v>720</v>
      </c>
      <c r="M1329" s="38" t="str">
        <f>IF([1]totrevprm!O1329="","",[1]totrevprm!O1329)</f>
        <v/>
      </c>
    </row>
    <row r="1330" spans="1:13">
      <c r="A1330" s="49" t="s">
        <v>61</v>
      </c>
      <c r="B1330" s="46" t="s">
        <v>805</v>
      </c>
      <c r="C1330" s="50"/>
      <c r="D1330" s="51">
        <v>2019</v>
      </c>
      <c r="E1330" s="56">
        <v>408918767</v>
      </c>
      <c r="F1330" s="56">
        <v>590678577</v>
      </c>
      <c r="G1330" s="56">
        <v>1885178424.02</v>
      </c>
      <c r="H1330" s="53">
        <v>-2854846</v>
      </c>
      <c r="I1330" s="54">
        <f t="shared" si="22"/>
        <v>2881920922.02</v>
      </c>
      <c r="J1330" s="56">
        <v>21176428</v>
      </c>
      <c r="K1330" s="60" t="s">
        <v>746</v>
      </c>
      <c r="L1330" t="s">
        <v>720</v>
      </c>
      <c r="M1330" s="38" t="str">
        <f>IF([1]totrevprm!O1330="","",[1]totrevprm!O1330)</f>
        <v>Yes</v>
      </c>
    </row>
    <row r="1331" spans="1:13">
      <c r="A1331" s="49" t="s">
        <v>61</v>
      </c>
      <c r="B1331" s="46" t="s">
        <v>805</v>
      </c>
      <c r="C1331" s="50"/>
      <c r="D1331" s="51">
        <v>2020</v>
      </c>
      <c r="E1331" s="56">
        <v>404141068</v>
      </c>
      <c r="F1331" s="56">
        <v>621098382</v>
      </c>
      <c r="G1331" s="56">
        <v>1894895324</v>
      </c>
      <c r="H1331" s="56">
        <v>20329803</v>
      </c>
      <c r="I1331" s="54">
        <f t="shared" si="22"/>
        <v>2940464577</v>
      </c>
      <c r="J1331" s="56">
        <v>6029013</v>
      </c>
      <c r="K1331" s="60" t="s">
        <v>738</v>
      </c>
      <c r="L1331" t="s">
        <v>720</v>
      </c>
      <c r="M1331" s="38" t="str">
        <f>IF([1]totrevprm!O1331="","",[1]totrevprm!O1331)</f>
        <v/>
      </c>
    </row>
    <row r="1332" spans="1:13">
      <c r="A1332" s="49" t="s">
        <v>61</v>
      </c>
      <c r="B1332" s="46" t="s">
        <v>805</v>
      </c>
      <c r="C1332" s="50"/>
      <c r="D1332" s="51">
        <v>2021</v>
      </c>
      <c r="E1332" s="56">
        <v>480800545</v>
      </c>
      <c r="F1332" s="56">
        <v>761072983</v>
      </c>
      <c r="G1332" s="56">
        <v>1947584585</v>
      </c>
      <c r="H1332" s="56">
        <v>19370368</v>
      </c>
      <c r="I1332" s="54">
        <f t="shared" si="22"/>
        <v>3208828481</v>
      </c>
      <c r="J1332" s="52">
        <v>0</v>
      </c>
      <c r="K1332" s="60" t="s">
        <v>739</v>
      </c>
      <c r="L1332" t="s">
        <v>720</v>
      </c>
      <c r="M1332" s="38"/>
    </row>
    <row r="1333" spans="1:13">
      <c r="A1333" s="49" t="s">
        <v>61</v>
      </c>
      <c r="B1333" s="46" t="s">
        <v>805</v>
      </c>
      <c r="C1333" s="50"/>
      <c r="D1333" s="51">
        <v>2022</v>
      </c>
      <c r="E1333" s="56">
        <v>491039847</v>
      </c>
      <c r="F1333" s="56">
        <v>1322780926</v>
      </c>
      <c r="G1333" s="56">
        <v>1984939779</v>
      </c>
      <c r="H1333" s="56">
        <v>88230132</v>
      </c>
      <c r="I1333" s="54">
        <f t="shared" si="22"/>
        <v>3886990684</v>
      </c>
      <c r="J1333" s="52">
        <v>0</v>
      </c>
      <c r="K1333" s="60" t="s">
        <v>739</v>
      </c>
      <c r="L1333" t="s">
        <v>720</v>
      </c>
      <c r="M1333" s="38" t="str">
        <f>IF([1]totrevprm!O1336="","",[1]totrevprm!O1336)</f>
        <v/>
      </c>
    </row>
    <row r="1334" spans="1:13">
      <c r="A1334" s="49" t="s">
        <v>61</v>
      </c>
      <c r="B1334" s="46" t="s">
        <v>805</v>
      </c>
      <c r="C1334" s="50"/>
      <c r="D1334" s="51">
        <v>2023</v>
      </c>
      <c r="E1334" s="56">
        <v>482766866</v>
      </c>
      <c r="F1334" s="56">
        <v>1304448053.7433</v>
      </c>
      <c r="G1334" s="56">
        <v>2088500824.8099999</v>
      </c>
      <c r="H1334" s="56">
        <v>23746380</v>
      </c>
      <c r="I1334" s="54">
        <f t="shared" si="22"/>
        <v>3899462124.5532999</v>
      </c>
      <c r="J1334" s="52">
        <v>0</v>
      </c>
      <c r="K1334" s="60" t="s">
        <v>739</v>
      </c>
      <c r="M1334" s="38"/>
    </row>
    <row r="1335" spans="1:13">
      <c r="A1335" s="49" t="s">
        <v>61</v>
      </c>
      <c r="B1335" s="46" t="s">
        <v>805</v>
      </c>
      <c r="C1335" s="50"/>
      <c r="D1335" s="57">
        <v>2024</v>
      </c>
      <c r="E1335" s="52">
        <v>484340819.94</v>
      </c>
      <c r="F1335" s="52">
        <v>1603968241.6400001</v>
      </c>
      <c r="G1335" s="52">
        <v>2165253350.4899998</v>
      </c>
      <c r="H1335" s="52">
        <v>27604264.440000001</v>
      </c>
      <c r="I1335" s="54">
        <f t="shared" si="22"/>
        <v>4281166676.5099998</v>
      </c>
      <c r="J1335" s="56">
        <v>0</v>
      </c>
      <c r="K1335" s="60" t="s">
        <v>739</v>
      </c>
      <c r="M1335" s="38"/>
    </row>
    <row r="1336" spans="1:13">
      <c r="A1336" s="49"/>
      <c r="B1336" s="50"/>
      <c r="C1336" s="50"/>
      <c r="E1336" s="53"/>
      <c r="F1336" s="53"/>
      <c r="G1336" s="53"/>
      <c r="H1336" s="53"/>
      <c r="I1336" s="54"/>
      <c r="J1336" s="52"/>
      <c r="M1336" s="38"/>
    </row>
    <row r="1337" spans="1:13">
      <c r="A1337" s="49" t="s">
        <v>62</v>
      </c>
      <c r="B1337" s="46" t="s">
        <v>271</v>
      </c>
      <c r="C1337" s="50" t="s">
        <v>741</v>
      </c>
      <c r="D1337" s="51">
        <v>1988</v>
      </c>
      <c r="E1337" s="53">
        <v>2534034513</v>
      </c>
      <c r="F1337" s="53">
        <v>1736787192</v>
      </c>
      <c r="G1337" s="53">
        <v>4989784981</v>
      </c>
      <c r="H1337" s="53">
        <v>1042229723</v>
      </c>
      <c r="I1337" s="54">
        <f t="shared" si="22"/>
        <v>10302836409</v>
      </c>
      <c r="J1337" s="52">
        <v>0</v>
      </c>
      <c r="M1337" s="38" t="str">
        <f>IF([1]totrevprm!O1337="","",[1]totrevprm!O1337)</f>
        <v/>
      </c>
    </row>
    <row r="1338" spans="1:13">
      <c r="A1338" s="49" t="s">
        <v>62</v>
      </c>
      <c r="B1338" s="46" t="s">
        <v>271</v>
      </c>
      <c r="C1338" s="50" t="s">
        <v>742</v>
      </c>
      <c r="D1338" s="51">
        <v>1989</v>
      </c>
      <c r="E1338" s="53">
        <v>2407743599</v>
      </c>
      <c r="F1338" s="53">
        <v>1856477537</v>
      </c>
      <c r="G1338" s="53">
        <v>3619642666</v>
      </c>
      <c r="H1338" s="53">
        <v>1083026448</v>
      </c>
      <c r="I1338" s="54">
        <f t="shared" si="22"/>
        <v>8966890250</v>
      </c>
      <c r="J1338" s="52">
        <v>0</v>
      </c>
      <c r="M1338" s="38" t="str">
        <f>IF([1]totrevprm!O1338="","",[1]totrevprm!O1338)</f>
        <v/>
      </c>
    </row>
    <row r="1339" spans="1:13">
      <c r="A1339" s="49" t="s">
        <v>62</v>
      </c>
      <c r="B1339" s="46" t="s">
        <v>271</v>
      </c>
      <c r="C1339" s="50" t="s">
        <v>743</v>
      </c>
      <c r="D1339" s="51">
        <v>1990</v>
      </c>
      <c r="E1339" s="53">
        <v>2741981136</v>
      </c>
      <c r="F1339" s="53">
        <v>2179135464.5999999</v>
      </c>
      <c r="G1339" s="53">
        <v>3828721118</v>
      </c>
      <c r="H1339" s="53">
        <v>1187795652</v>
      </c>
      <c r="I1339" s="54">
        <f t="shared" si="22"/>
        <v>9937633370.6000004</v>
      </c>
      <c r="J1339" s="52">
        <v>0</v>
      </c>
      <c r="M1339" s="38" t="str">
        <f>IF([1]totrevprm!O1339="","",[1]totrevprm!O1339)</f>
        <v/>
      </c>
    </row>
    <row r="1340" spans="1:13">
      <c r="A1340" s="49" t="s">
        <v>62</v>
      </c>
      <c r="B1340" s="46" t="s">
        <v>271</v>
      </c>
      <c r="C1340" s="50" t="s">
        <v>732</v>
      </c>
      <c r="D1340" s="51">
        <v>1991</v>
      </c>
      <c r="E1340" s="53">
        <v>2920332567</v>
      </c>
      <c r="F1340" s="53">
        <v>1828524058</v>
      </c>
      <c r="G1340" s="53">
        <v>3966484296</v>
      </c>
      <c r="H1340" s="53">
        <v>1205698462</v>
      </c>
      <c r="I1340" s="54">
        <f t="shared" si="22"/>
        <v>9921039383</v>
      </c>
      <c r="J1340" s="52">
        <v>0</v>
      </c>
      <c r="M1340" s="38" t="str">
        <f>IF([1]totrevprm!O1340="","",[1]totrevprm!O1340)</f>
        <v/>
      </c>
    </row>
    <row r="1341" spans="1:13">
      <c r="A1341" s="49" t="s">
        <v>62</v>
      </c>
      <c r="B1341" s="46" t="s">
        <v>271</v>
      </c>
      <c r="C1341" s="50" t="s">
        <v>732</v>
      </c>
      <c r="D1341" s="51">
        <v>1992</v>
      </c>
      <c r="E1341" s="53">
        <v>3055029400</v>
      </c>
      <c r="F1341" s="53">
        <v>1893658458.9200001</v>
      </c>
      <c r="G1341" s="53">
        <v>4254594238</v>
      </c>
      <c r="H1341" s="53">
        <v>956370309</v>
      </c>
      <c r="I1341" s="54">
        <f t="shared" si="22"/>
        <v>10159652405.92</v>
      </c>
      <c r="J1341" s="52">
        <v>0</v>
      </c>
      <c r="M1341" s="38" t="str">
        <f>IF([1]totrevprm!O1341="","",[1]totrevprm!O1341)</f>
        <v/>
      </c>
    </row>
    <row r="1342" spans="1:13">
      <c r="A1342" s="49" t="s">
        <v>62</v>
      </c>
      <c r="B1342" s="46" t="s">
        <v>271</v>
      </c>
      <c r="C1342" s="50" t="s">
        <v>732</v>
      </c>
      <c r="D1342" s="51">
        <v>1993</v>
      </c>
      <c r="E1342" s="53">
        <v>3987751884</v>
      </c>
      <c r="F1342" s="53">
        <v>1716262992</v>
      </c>
      <c r="G1342" s="53">
        <v>4446737088</v>
      </c>
      <c r="H1342" s="53">
        <v>962654689</v>
      </c>
      <c r="I1342" s="54">
        <f t="shared" si="22"/>
        <v>11113406653</v>
      </c>
      <c r="J1342" s="52">
        <v>0</v>
      </c>
      <c r="M1342" s="38" t="str">
        <f>IF([1]totrevprm!O1342="","",[1]totrevprm!O1342)</f>
        <v/>
      </c>
    </row>
    <row r="1343" spans="1:13">
      <c r="A1343" s="49" t="s">
        <v>62</v>
      </c>
      <c r="B1343" s="46" t="s">
        <v>271</v>
      </c>
      <c r="C1343" s="50" t="s">
        <v>732</v>
      </c>
      <c r="D1343" s="51">
        <v>1994</v>
      </c>
      <c r="E1343" s="53">
        <v>3819936218</v>
      </c>
      <c r="F1343" s="53">
        <v>2179499942</v>
      </c>
      <c r="G1343" s="53">
        <v>4258140845</v>
      </c>
      <c r="H1343" s="53">
        <v>646454967</v>
      </c>
      <c r="I1343" s="54">
        <f t="shared" si="22"/>
        <v>10904031972</v>
      </c>
      <c r="J1343" s="52">
        <v>0</v>
      </c>
      <c r="M1343" s="38" t="str">
        <f>IF([1]totrevprm!O1343="","",[1]totrevprm!O1343)</f>
        <v/>
      </c>
    </row>
    <row r="1344" spans="1:13">
      <c r="A1344" s="49" t="s">
        <v>62</v>
      </c>
      <c r="B1344" s="46" t="s">
        <v>271</v>
      </c>
      <c r="C1344" s="50" t="s">
        <v>732</v>
      </c>
      <c r="D1344" s="51">
        <v>1995</v>
      </c>
      <c r="E1344" s="53">
        <v>4118333150</v>
      </c>
      <c r="F1344" s="53">
        <v>2336864381</v>
      </c>
      <c r="G1344" s="53">
        <v>4489683366</v>
      </c>
      <c r="H1344" s="53">
        <v>819651829</v>
      </c>
      <c r="I1344" s="54">
        <f t="shared" si="22"/>
        <v>11764532726</v>
      </c>
      <c r="J1344" s="52">
        <v>0</v>
      </c>
      <c r="M1344" s="38" t="str">
        <f>IF([1]totrevprm!O1344="","",[1]totrevprm!O1344)</f>
        <v/>
      </c>
    </row>
    <row r="1345" spans="1:13">
      <c r="A1345" s="49" t="s">
        <v>62</v>
      </c>
      <c r="B1345" s="46" t="s">
        <v>271</v>
      </c>
      <c r="C1345" s="50" t="s">
        <v>732</v>
      </c>
      <c r="D1345" s="51">
        <v>1996</v>
      </c>
      <c r="E1345" s="53">
        <v>3975047154</v>
      </c>
      <c r="F1345" s="53">
        <v>1909547932</v>
      </c>
      <c r="G1345" s="53">
        <v>5602533542</v>
      </c>
      <c r="H1345" s="53">
        <v>551809112</v>
      </c>
      <c r="I1345" s="54">
        <f t="shared" si="22"/>
        <v>12038937740</v>
      </c>
      <c r="J1345" s="52">
        <v>0</v>
      </c>
      <c r="M1345" s="38" t="str">
        <f>IF([1]totrevprm!O1345="","",[1]totrevprm!O1345)</f>
        <v/>
      </c>
    </row>
    <row r="1346" spans="1:13">
      <c r="A1346" s="49" t="s">
        <v>62</v>
      </c>
      <c r="B1346" s="46" t="s">
        <v>271</v>
      </c>
      <c r="C1346" s="50" t="s">
        <v>732</v>
      </c>
      <c r="D1346" s="51">
        <v>1997</v>
      </c>
      <c r="E1346" s="53">
        <v>4104119628</v>
      </c>
      <c r="F1346" s="53">
        <v>1912971877</v>
      </c>
      <c r="G1346" s="53">
        <v>5500310888</v>
      </c>
      <c r="H1346" s="53">
        <v>727195937</v>
      </c>
      <c r="I1346" s="54">
        <f t="shared" si="22"/>
        <v>12244598330</v>
      </c>
      <c r="J1346" s="52">
        <v>0</v>
      </c>
      <c r="M1346" s="38" t="str">
        <f>IF([1]totrevprm!O1346="","",[1]totrevprm!O1346)</f>
        <v/>
      </c>
    </row>
    <row r="1347" spans="1:13">
      <c r="A1347" s="49" t="s">
        <v>62</v>
      </c>
      <c r="B1347" s="46" t="s">
        <v>271</v>
      </c>
      <c r="C1347" s="50" t="s">
        <v>732</v>
      </c>
      <c r="D1347" s="51">
        <v>1998</v>
      </c>
      <c r="E1347" s="53">
        <v>3760213838</v>
      </c>
      <c r="F1347" s="53">
        <v>2023173180</v>
      </c>
      <c r="G1347" s="53">
        <v>5903365925</v>
      </c>
      <c r="H1347" s="53">
        <v>558994105</v>
      </c>
      <c r="I1347" s="54">
        <f t="shared" si="22"/>
        <v>12245747048</v>
      </c>
      <c r="J1347" s="52">
        <v>0</v>
      </c>
      <c r="M1347" s="38" t="str">
        <f>IF([1]totrevprm!O1347="","",[1]totrevprm!O1347)</f>
        <v/>
      </c>
    </row>
    <row r="1348" spans="1:13">
      <c r="A1348" s="49" t="s">
        <v>62</v>
      </c>
      <c r="B1348" s="46" t="s">
        <v>271</v>
      </c>
      <c r="C1348" s="50" t="s">
        <v>732</v>
      </c>
      <c r="D1348" s="51">
        <v>1999</v>
      </c>
      <c r="E1348" s="53">
        <v>4183454778</v>
      </c>
      <c r="F1348" s="53">
        <v>2853879537</v>
      </c>
      <c r="G1348" s="53">
        <v>6488902076</v>
      </c>
      <c r="H1348" s="53">
        <v>551307354</v>
      </c>
      <c r="I1348" s="54">
        <f t="shared" si="22"/>
        <v>14077543745</v>
      </c>
      <c r="J1348" s="52">
        <v>0</v>
      </c>
      <c r="M1348" s="38" t="str">
        <f>IF([1]totrevprm!O1348="","",[1]totrevprm!O1348)</f>
        <v/>
      </c>
    </row>
    <row r="1349" spans="1:13">
      <c r="A1349" s="49" t="s">
        <v>62</v>
      </c>
      <c r="B1349" s="46" t="s">
        <v>271</v>
      </c>
      <c r="C1349" s="50" t="s">
        <v>732</v>
      </c>
      <c r="D1349" s="51">
        <v>2000</v>
      </c>
      <c r="E1349" s="53">
        <v>3779121377</v>
      </c>
      <c r="F1349" s="53">
        <v>3602435917</v>
      </c>
      <c r="G1349" s="53">
        <v>7043854647</v>
      </c>
      <c r="H1349" s="53">
        <v>505227072</v>
      </c>
      <c r="I1349" s="54">
        <f t="shared" si="22"/>
        <v>14930639013</v>
      </c>
      <c r="J1349" s="52">
        <v>0</v>
      </c>
      <c r="M1349" s="38" t="str">
        <f>IF([1]totrevprm!O1349="","",[1]totrevprm!O1349)</f>
        <v/>
      </c>
    </row>
    <row r="1350" spans="1:13">
      <c r="A1350" s="49" t="s">
        <v>62</v>
      </c>
      <c r="B1350" s="46" t="s">
        <v>271</v>
      </c>
      <c r="C1350" s="50" t="s">
        <v>732</v>
      </c>
      <c r="D1350" s="51">
        <v>2001</v>
      </c>
      <c r="E1350" s="53">
        <v>3622186707</v>
      </c>
      <c r="F1350" s="53">
        <v>4334730583.4300003</v>
      </c>
      <c r="G1350" s="53">
        <v>7566267097</v>
      </c>
      <c r="H1350" s="53">
        <v>594923355</v>
      </c>
      <c r="I1350" s="54">
        <f t="shared" si="22"/>
        <v>16118107742.43</v>
      </c>
      <c r="J1350" s="52">
        <v>0</v>
      </c>
      <c r="M1350" s="38" t="str">
        <f>IF([1]totrevprm!O1350="","",[1]totrevprm!O1350)</f>
        <v/>
      </c>
    </row>
    <row r="1351" spans="1:13">
      <c r="A1351" s="49" t="s">
        <v>62</v>
      </c>
      <c r="B1351" s="46" t="s">
        <v>271</v>
      </c>
      <c r="C1351" s="50" t="s">
        <v>732</v>
      </c>
      <c r="D1351" s="51">
        <v>2002</v>
      </c>
      <c r="E1351" s="53">
        <v>3707075429</v>
      </c>
      <c r="F1351" s="53">
        <v>5874525077</v>
      </c>
      <c r="G1351" s="53">
        <v>8242618933</v>
      </c>
      <c r="H1351" s="53">
        <v>767287844</v>
      </c>
      <c r="I1351" s="54">
        <f t="shared" si="22"/>
        <v>18591507283</v>
      </c>
      <c r="J1351" s="52">
        <v>0</v>
      </c>
      <c r="M1351" s="38" t="str">
        <f>IF([1]totrevprm!O1351="","",[1]totrevprm!O1351)</f>
        <v/>
      </c>
    </row>
    <row r="1352" spans="1:13">
      <c r="A1352" s="49" t="s">
        <v>62</v>
      </c>
      <c r="B1352" s="46" t="s">
        <v>271</v>
      </c>
      <c r="C1352" s="50" t="s">
        <v>732</v>
      </c>
      <c r="D1352" s="51">
        <v>2003</v>
      </c>
      <c r="E1352" s="55">
        <v>3719882283</v>
      </c>
      <c r="F1352" s="55">
        <v>5246506175</v>
      </c>
      <c r="G1352" s="55">
        <v>8587872327</v>
      </c>
      <c r="H1352" s="55">
        <v>926264454</v>
      </c>
      <c r="I1352" s="54">
        <f t="shared" si="22"/>
        <v>18480525239</v>
      </c>
      <c r="J1352" s="52">
        <v>0</v>
      </c>
      <c r="M1352" s="38" t="str">
        <f>IF([1]totrevprm!O1352="","",[1]totrevprm!O1352)</f>
        <v/>
      </c>
    </row>
    <row r="1353" spans="1:13">
      <c r="A1353" s="49" t="s">
        <v>62</v>
      </c>
      <c r="B1353" s="46" t="s">
        <v>271</v>
      </c>
      <c r="C1353" s="50" t="s">
        <v>732</v>
      </c>
      <c r="D1353" s="51">
        <v>2004</v>
      </c>
      <c r="E1353" s="55">
        <v>3862254207</v>
      </c>
      <c r="F1353" s="55">
        <v>4987695103</v>
      </c>
      <c r="G1353" s="55">
        <v>8738796050</v>
      </c>
      <c r="H1353" s="55">
        <v>958314758</v>
      </c>
      <c r="I1353" s="54">
        <f t="shared" si="22"/>
        <v>18547060118</v>
      </c>
      <c r="J1353" s="52">
        <v>0</v>
      </c>
      <c r="M1353" s="38" t="str">
        <f>IF([1]totrevprm!O1353="","",[1]totrevprm!O1353)</f>
        <v/>
      </c>
    </row>
    <row r="1354" spans="1:13">
      <c r="A1354" s="49" t="s">
        <v>62</v>
      </c>
      <c r="B1354" s="46" t="s">
        <v>271</v>
      </c>
      <c r="C1354" s="50"/>
      <c r="D1354" s="51">
        <v>2005</v>
      </c>
      <c r="E1354" s="55">
        <v>3864828736</v>
      </c>
      <c r="F1354" s="55">
        <v>4735825309</v>
      </c>
      <c r="G1354" s="55">
        <v>9482567740.5400009</v>
      </c>
      <c r="H1354" s="55">
        <v>765735371</v>
      </c>
      <c r="I1354" s="54">
        <f t="shared" si="22"/>
        <v>18848957156.540001</v>
      </c>
      <c r="J1354" s="52">
        <v>0</v>
      </c>
      <c r="M1354" s="38" t="str">
        <f>IF([1]totrevprm!O1354="","",[1]totrevprm!O1354)</f>
        <v/>
      </c>
    </row>
    <row r="1355" spans="1:13">
      <c r="A1355" s="49" t="s">
        <v>62</v>
      </c>
      <c r="B1355" s="46" t="s">
        <v>271</v>
      </c>
      <c r="C1355" s="50"/>
      <c r="D1355" s="51">
        <v>2006</v>
      </c>
      <c r="E1355" s="56">
        <v>3984767132</v>
      </c>
      <c r="F1355" s="56">
        <v>4919614463</v>
      </c>
      <c r="G1355" s="56">
        <v>10312210172</v>
      </c>
      <c r="H1355" s="56">
        <v>923440738</v>
      </c>
      <c r="I1355" s="54">
        <f t="shared" si="22"/>
        <v>20140032505</v>
      </c>
      <c r="J1355" s="52">
        <v>0</v>
      </c>
      <c r="M1355" s="38" t="str">
        <f>IF([1]totrevprm!O1355="","",[1]totrevprm!O1355)</f>
        <v/>
      </c>
    </row>
    <row r="1356" spans="1:13">
      <c r="A1356" s="49" t="s">
        <v>62</v>
      </c>
      <c r="B1356" s="46" t="s">
        <v>271</v>
      </c>
      <c r="C1356" s="50"/>
      <c r="D1356" s="51">
        <v>2007</v>
      </c>
      <c r="E1356" s="56">
        <v>4338276521</v>
      </c>
      <c r="F1356" s="56">
        <v>4669275115</v>
      </c>
      <c r="G1356" s="56">
        <v>12159708876</v>
      </c>
      <c r="H1356" s="56">
        <v>1721027001</v>
      </c>
      <c r="I1356" s="54">
        <f t="shared" si="22"/>
        <v>22888287513</v>
      </c>
      <c r="J1356" s="52">
        <v>0</v>
      </c>
      <c r="M1356" s="38" t="str">
        <f>IF([1]totrevprm!O1356="","",[1]totrevprm!O1356)</f>
        <v/>
      </c>
    </row>
    <row r="1357" spans="1:13">
      <c r="A1357" s="49" t="s">
        <v>62</v>
      </c>
      <c r="B1357" s="46" t="s">
        <v>271</v>
      </c>
      <c r="C1357" s="50"/>
      <c r="D1357" s="51">
        <v>2008</v>
      </c>
      <c r="E1357" s="56">
        <v>4205635348</v>
      </c>
      <c r="F1357" s="56">
        <v>6375631631</v>
      </c>
      <c r="G1357" s="56">
        <v>13636581477</v>
      </c>
      <c r="H1357" s="56">
        <v>1117437730</v>
      </c>
      <c r="I1357" s="54">
        <f t="shared" si="22"/>
        <v>25335286186</v>
      </c>
      <c r="J1357" s="52">
        <v>0</v>
      </c>
      <c r="M1357" s="38" t="str">
        <f>IF([1]totrevprm!O1357="","",[1]totrevprm!O1357)</f>
        <v/>
      </c>
    </row>
    <row r="1358" spans="1:13">
      <c r="A1358" s="49" t="s">
        <v>62</v>
      </c>
      <c r="B1358" s="46" t="s">
        <v>271</v>
      </c>
      <c r="C1358" s="50"/>
      <c r="D1358" s="51">
        <v>2009</v>
      </c>
      <c r="E1358" s="56">
        <v>4377338672</v>
      </c>
      <c r="F1358" s="56">
        <v>6768188993</v>
      </c>
      <c r="G1358" s="56">
        <v>12979757689</v>
      </c>
      <c r="H1358" s="56">
        <v>1032084271</v>
      </c>
      <c r="I1358" s="54">
        <f t="shared" si="22"/>
        <v>25157369625</v>
      </c>
      <c r="J1358" s="52">
        <v>0</v>
      </c>
      <c r="M1358" s="38" t="str">
        <f>IF([1]totrevprm!O1358="","",[1]totrevprm!O1358)</f>
        <v/>
      </c>
    </row>
    <row r="1359" spans="1:13">
      <c r="A1359" s="49" t="s">
        <v>62</v>
      </c>
      <c r="B1359" s="46" t="s">
        <v>271</v>
      </c>
      <c r="C1359" s="50"/>
      <c r="D1359" s="51">
        <v>2010</v>
      </c>
      <c r="E1359" s="56">
        <v>4493941797</v>
      </c>
      <c r="F1359" s="56">
        <v>5341130707</v>
      </c>
      <c r="G1359" s="56">
        <v>12535711315</v>
      </c>
      <c r="H1359" s="56">
        <v>959268409</v>
      </c>
      <c r="I1359" s="54">
        <f t="shared" ref="I1359:I1411" si="23">SUM(E1359:H1359)</f>
        <v>23330052228</v>
      </c>
      <c r="J1359" s="52">
        <v>0</v>
      </c>
      <c r="M1359" s="38" t="str">
        <f>IF([1]totrevprm!O1359="","",[1]totrevprm!O1359)</f>
        <v/>
      </c>
    </row>
    <row r="1360" spans="1:13">
      <c r="A1360" s="49" t="s">
        <v>62</v>
      </c>
      <c r="B1360" s="46" t="s">
        <v>271</v>
      </c>
      <c r="C1360" s="50"/>
      <c r="D1360" s="51">
        <v>2011</v>
      </c>
      <c r="E1360" s="56">
        <v>4698775431</v>
      </c>
      <c r="F1360" s="56">
        <v>5152996658</v>
      </c>
      <c r="G1360" s="56">
        <v>12763839132.32</v>
      </c>
      <c r="H1360" s="56">
        <v>921751361</v>
      </c>
      <c r="I1360" s="54">
        <f t="shared" si="23"/>
        <v>23537362582.32</v>
      </c>
      <c r="J1360" s="52">
        <v>0</v>
      </c>
      <c r="M1360" s="38" t="str">
        <f>IF([1]totrevprm!O1360="","",[1]totrevprm!O1360)</f>
        <v/>
      </c>
    </row>
    <row r="1361" spans="1:13">
      <c r="A1361" s="49" t="s">
        <v>62</v>
      </c>
      <c r="B1361" s="46" t="s">
        <v>271</v>
      </c>
      <c r="C1361" s="50"/>
      <c r="D1361" s="51">
        <v>2012</v>
      </c>
      <c r="E1361" s="56">
        <v>4824912735</v>
      </c>
      <c r="F1361" s="56">
        <v>6747281598</v>
      </c>
      <c r="G1361" s="56">
        <v>13241635224</v>
      </c>
      <c r="H1361" s="56">
        <v>1058746791</v>
      </c>
      <c r="I1361" s="54">
        <f t="shared" si="23"/>
        <v>25872576348</v>
      </c>
      <c r="J1361" s="52">
        <v>0</v>
      </c>
      <c r="M1361" s="38" t="str">
        <f>IF([1]totrevprm!O1361="","",[1]totrevprm!O1361)</f>
        <v/>
      </c>
    </row>
    <row r="1362" spans="1:13">
      <c r="A1362" s="49" t="s">
        <v>62</v>
      </c>
      <c r="B1362" s="46" t="s">
        <v>271</v>
      </c>
      <c r="C1362" s="50"/>
      <c r="D1362" s="51">
        <v>2013</v>
      </c>
      <c r="E1362" s="56">
        <v>4810908862</v>
      </c>
      <c r="F1362" s="56">
        <v>5069882260</v>
      </c>
      <c r="G1362" s="56">
        <v>14690651849</v>
      </c>
      <c r="H1362" s="56">
        <v>2215424951</v>
      </c>
      <c r="I1362" s="54">
        <f t="shared" si="23"/>
        <v>26786867922</v>
      </c>
      <c r="J1362" s="52">
        <v>0</v>
      </c>
      <c r="M1362" s="38" t="str">
        <f>IF([1]totrevprm!O1362="","",[1]totrevprm!O1362)</f>
        <v/>
      </c>
    </row>
    <row r="1363" spans="1:13">
      <c r="A1363" s="49" t="s">
        <v>62</v>
      </c>
      <c r="B1363" s="46" t="s">
        <v>271</v>
      </c>
      <c r="C1363" s="50"/>
      <c r="D1363" s="51">
        <v>2014</v>
      </c>
      <c r="E1363" s="56">
        <v>4778008509</v>
      </c>
      <c r="F1363" s="56">
        <v>5616817221</v>
      </c>
      <c r="G1363" s="56">
        <v>14933131311.83</v>
      </c>
      <c r="H1363" s="56">
        <v>1137114161</v>
      </c>
      <c r="I1363" s="54">
        <f t="shared" si="23"/>
        <v>26465071202.830002</v>
      </c>
      <c r="J1363" s="52">
        <v>0</v>
      </c>
      <c r="M1363" s="38" t="str">
        <f>IF([1]totrevprm!O1363="","",[1]totrevprm!O1363)</f>
        <v/>
      </c>
    </row>
    <row r="1364" spans="1:13">
      <c r="A1364" s="49" t="s">
        <v>62</v>
      </c>
      <c r="B1364" s="46" t="s">
        <v>271</v>
      </c>
      <c r="C1364" s="50"/>
      <c r="D1364" s="51">
        <v>2015</v>
      </c>
      <c r="E1364" s="56">
        <v>4863396473</v>
      </c>
      <c r="F1364" s="56">
        <v>7769775441</v>
      </c>
      <c r="G1364" s="56">
        <v>10757579233</v>
      </c>
      <c r="H1364" s="56">
        <v>1121567729</v>
      </c>
      <c r="I1364" s="54">
        <f t="shared" si="23"/>
        <v>24512318876</v>
      </c>
      <c r="J1364" s="52">
        <v>0</v>
      </c>
      <c r="M1364" s="38" t="str">
        <f>IF([1]totrevprm!O1364="","",[1]totrevprm!O1364)</f>
        <v/>
      </c>
    </row>
    <row r="1365" spans="1:13">
      <c r="A1365" s="49" t="s">
        <v>62</v>
      </c>
      <c r="B1365" s="46" t="s">
        <v>271</v>
      </c>
      <c r="C1365" s="50"/>
      <c r="D1365" s="51">
        <v>2016</v>
      </c>
      <c r="E1365" s="56">
        <v>4990334297</v>
      </c>
      <c r="F1365" s="56">
        <v>6991851413</v>
      </c>
      <c r="G1365" s="56">
        <v>10997951503</v>
      </c>
      <c r="H1365" s="56">
        <v>1047076352</v>
      </c>
      <c r="I1365" s="54">
        <f t="shared" si="23"/>
        <v>24027213565</v>
      </c>
      <c r="J1365" s="52">
        <v>0</v>
      </c>
      <c r="M1365" s="38" t="str">
        <f>IF([1]totrevprm!O1365="","",[1]totrevprm!O1365)</f>
        <v/>
      </c>
    </row>
    <row r="1366" spans="1:13">
      <c r="A1366" s="49" t="s">
        <v>62</v>
      </c>
      <c r="B1366" s="46" t="s">
        <v>271</v>
      </c>
      <c r="C1366" s="50"/>
      <c r="D1366" s="51">
        <v>2017</v>
      </c>
      <c r="E1366" s="56">
        <v>5017054648</v>
      </c>
      <c r="F1366" s="56">
        <v>8517829117</v>
      </c>
      <c r="G1366" s="56">
        <v>10684891415.639999</v>
      </c>
      <c r="H1366" s="56">
        <v>749589358</v>
      </c>
      <c r="I1366" s="54">
        <f t="shared" si="23"/>
        <v>24969364538.639999</v>
      </c>
      <c r="J1366" s="52">
        <v>0</v>
      </c>
      <c r="M1366" s="38" t="str">
        <f>IF([1]totrevprm!O1366="","",[1]totrevprm!O1366)</f>
        <v/>
      </c>
    </row>
    <row r="1367" spans="1:13">
      <c r="A1367" s="49" t="s">
        <v>62</v>
      </c>
      <c r="B1367" s="46" t="s">
        <v>271</v>
      </c>
      <c r="C1367" s="50"/>
      <c r="D1367" s="51">
        <v>2018</v>
      </c>
      <c r="E1367" s="56">
        <v>5052700905</v>
      </c>
      <c r="F1367" s="56">
        <v>8793711586</v>
      </c>
      <c r="G1367" s="56">
        <v>10376427598.299999</v>
      </c>
      <c r="H1367" s="56">
        <v>799379630</v>
      </c>
      <c r="I1367" s="54">
        <f t="shared" si="23"/>
        <v>25022219719.299999</v>
      </c>
      <c r="J1367" s="56">
        <v>0</v>
      </c>
      <c r="M1367" s="38" t="str">
        <f>IF([1]totrevprm!O1367="","",[1]totrevprm!O1367)</f>
        <v/>
      </c>
    </row>
    <row r="1368" spans="1:13">
      <c r="A1368" s="49" t="s">
        <v>62</v>
      </c>
      <c r="B1368" s="46" t="s">
        <v>271</v>
      </c>
      <c r="C1368" s="50"/>
      <c r="D1368" s="51">
        <v>2019</v>
      </c>
      <c r="E1368" s="56">
        <v>5118727523</v>
      </c>
      <c r="F1368" s="56">
        <v>9120481250</v>
      </c>
      <c r="G1368" s="56">
        <v>10439550328.592899</v>
      </c>
      <c r="H1368" s="56">
        <v>1614738247</v>
      </c>
      <c r="I1368" s="54">
        <f t="shared" si="23"/>
        <v>26293497348.592899</v>
      </c>
      <c r="J1368" s="56">
        <v>0</v>
      </c>
      <c r="M1368" s="38" t="str">
        <f>IF([1]totrevprm!O1368="","",[1]totrevprm!O1368)</f>
        <v/>
      </c>
    </row>
    <row r="1369" spans="1:13">
      <c r="A1369" s="49" t="s">
        <v>62</v>
      </c>
      <c r="B1369" s="46" t="s">
        <v>271</v>
      </c>
      <c r="C1369" s="50"/>
      <c r="D1369" s="51">
        <v>2020</v>
      </c>
      <c r="E1369" s="56">
        <v>5204244682</v>
      </c>
      <c r="F1369" s="56">
        <v>8964390480</v>
      </c>
      <c r="G1369" s="56">
        <v>10180912524</v>
      </c>
      <c r="H1369" s="56">
        <v>1021753855</v>
      </c>
      <c r="I1369" s="54">
        <f t="shared" si="23"/>
        <v>25371301541</v>
      </c>
      <c r="J1369" s="56">
        <v>0</v>
      </c>
      <c r="M1369" s="38" t="str">
        <f>IF([1]totrevprm!O1369="","",[1]totrevprm!O1369)</f>
        <v/>
      </c>
    </row>
    <row r="1370" spans="1:13">
      <c r="A1370" s="49" t="s">
        <v>62</v>
      </c>
      <c r="B1370" s="46" t="s">
        <v>271</v>
      </c>
      <c r="C1370" s="50"/>
      <c r="D1370" s="51">
        <v>2021</v>
      </c>
      <c r="E1370" s="56">
        <v>5703110431</v>
      </c>
      <c r="F1370" s="56">
        <v>10008391325</v>
      </c>
      <c r="G1370" s="56">
        <v>10205349821.139999</v>
      </c>
      <c r="H1370" s="56">
        <v>574258617</v>
      </c>
      <c r="I1370" s="54">
        <f t="shared" si="23"/>
        <v>26491110194.139999</v>
      </c>
      <c r="J1370" s="56">
        <v>0</v>
      </c>
      <c r="M1370" s="38"/>
    </row>
    <row r="1371" spans="1:13">
      <c r="A1371" s="49" t="s">
        <v>62</v>
      </c>
      <c r="B1371" s="46" t="s">
        <v>271</v>
      </c>
      <c r="C1371" s="50"/>
      <c r="D1371" s="51">
        <v>2022</v>
      </c>
      <c r="E1371" s="56">
        <v>5540500498</v>
      </c>
      <c r="F1371" s="56">
        <v>12512082608</v>
      </c>
      <c r="G1371" s="56">
        <v>12422638652</v>
      </c>
      <c r="H1371" s="56">
        <v>667583964</v>
      </c>
      <c r="I1371" s="54">
        <f t="shared" si="23"/>
        <v>31142805722</v>
      </c>
      <c r="J1371" s="56">
        <v>0</v>
      </c>
      <c r="K1371" s="60" t="s">
        <v>739</v>
      </c>
      <c r="M1371" s="38" t="str">
        <f>IF([1]totrevprm!O1374="","",[1]totrevprm!O1374)</f>
        <v/>
      </c>
    </row>
    <row r="1372" spans="1:13">
      <c r="A1372" s="49" t="s">
        <v>62</v>
      </c>
      <c r="B1372" s="46" t="s">
        <v>271</v>
      </c>
      <c r="C1372" s="50"/>
      <c r="D1372" s="51">
        <v>2023</v>
      </c>
      <c r="E1372" s="56">
        <v>5662904274</v>
      </c>
      <c r="F1372" s="56">
        <v>16655538218.1775</v>
      </c>
      <c r="G1372" s="56">
        <v>12903755177.2589</v>
      </c>
      <c r="H1372" s="56">
        <v>653446337</v>
      </c>
      <c r="I1372" s="54">
        <f t="shared" si="23"/>
        <v>35875644006.436401</v>
      </c>
      <c r="J1372" s="52">
        <v>0</v>
      </c>
      <c r="K1372" s="60" t="s">
        <v>739</v>
      </c>
      <c r="M1372" s="38"/>
    </row>
    <row r="1373" spans="1:13">
      <c r="A1373" s="49" t="s">
        <v>62</v>
      </c>
      <c r="B1373" s="46" t="s">
        <v>271</v>
      </c>
      <c r="C1373" s="50"/>
      <c r="D1373" s="57">
        <v>2024</v>
      </c>
      <c r="E1373" s="52">
        <v>5441677409.7399998</v>
      </c>
      <c r="F1373" s="52">
        <v>19302844807.709999</v>
      </c>
      <c r="G1373" s="52">
        <v>14172301442.5958</v>
      </c>
      <c r="H1373" s="52">
        <v>646934723.52999997</v>
      </c>
      <c r="I1373" s="54">
        <f t="shared" si="23"/>
        <v>39563758383.575798</v>
      </c>
      <c r="J1373" s="56">
        <v>0</v>
      </c>
      <c r="K1373" s="60" t="s">
        <v>739</v>
      </c>
      <c r="M1373" s="38"/>
    </row>
    <row r="1374" spans="1:13">
      <c r="A1374" s="49"/>
      <c r="B1374" s="50"/>
      <c r="C1374" s="50"/>
      <c r="E1374" s="53"/>
      <c r="F1374" s="53"/>
      <c r="G1374" s="53"/>
      <c r="H1374" s="53"/>
      <c r="I1374" s="54"/>
      <c r="J1374" s="52"/>
      <c r="M1374" s="38"/>
    </row>
    <row r="1375" spans="1:13">
      <c r="A1375" s="49" t="s">
        <v>63</v>
      </c>
      <c r="B1375" s="46" t="s">
        <v>382</v>
      </c>
      <c r="C1375" s="50" t="s">
        <v>731</v>
      </c>
      <c r="D1375" s="51">
        <v>1988</v>
      </c>
      <c r="E1375" s="53">
        <v>616592071</v>
      </c>
      <c r="F1375" s="53">
        <v>419483946</v>
      </c>
      <c r="G1375" s="53">
        <v>642145110</v>
      </c>
      <c r="H1375" s="53">
        <v>0</v>
      </c>
      <c r="I1375" s="54">
        <f t="shared" si="23"/>
        <v>1678221127</v>
      </c>
      <c r="J1375" s="52">
        <v>0</v>
      </c>
      <c r="M1375" s="38" t="str">
        <f>IF([1]totrevprm!O1375="","",[1]totrevprm!O1375)</f>
        <v/>
      </c>
    </row>
    <row r="1376" spans="1:13">
      <c r="A1376" s="49" t="s">
        <v>63</v>
      </c>
      <c r="B1376" s="46" t="s">
        <v>382</v>
      </c>
      <c r="C1376" s="50" t="s">
        <v>732</v>
      </c>
      <c r="D1376" s="51">
        <v>1989</v>
      </c>
      <c r="E1376" s="53">
        <v>588134826</v>
      </c>
      <c r="F1376" s="53">
        <v>444775606</v>
      </c>
      <c r="G1376" s="53">
        <v>698963531</v>
      </c>
      <c r="H1376" s="53">
        <v>0</v>
      </c>
      <c r="I1376" s="54">
        <f t="shared" si="23"/>
        <v>1731873963</v>
      </c>
      <c r="J1376" s="52">
        <v>0</v>
      </c>
      <c r="M1376" s="38" t="str">
        <f>IF([1]totrevprm!O1376="","",[1]totrevprm!O1376)</f>
        <v/>
      </c>
    </row>
    <row r="1377" spans="1:13">
      <c r="A1377" s="49" t="s">
        <v>63</v>
      </c>
      <c r="B1377" s="46" t="s">
        <v>382</v>
      </c>
      <c r="C1377" s="50" t="s">
        <v>732</v>
      </c>
      <c r="D1377" s="51">
        <v>1990</v>
      </c>
      <c r="E1377" s="53">
        <v>612296761</v>
      </c>
      <c r="F1377" s="53">
        <v>543871818.07999992</v>
      </c>
      <c r="G1377" s="53">
        <v>733415184</v>
      </c>
      <c r="H1377" s="53">
        <v>0</v>
      </c>
      <c r="I1377" s="54">
        <f t="shared" si="23"/>
        <v>1889583763.0799999</v>
      </c>
      <c r="J1377" s="52">
        <v>0</v>
      </c>
      <c r="M1377" s="38" t="str">
        <f>IF([1]totrevprm!O1377="","",[1]totrevprm!O1377)</f>
        <v/>
      </c>
    </row>
    <row r="1378" spans="1:13">
      <c r="A1378" s="49" t="s">
        <v>63</v>
      </c>
      <c r="B1378" s="46" t="s">
        <v>382</v>
      </c>
      <c r="C1378" s="50" t="s">
        <v>732</v>
      </c>
      <c r="D1378" s="51">
        <v>1991</v>
      </c>
      <c r="E1378" s="53">
        <v>668388118</v>
      </c>
      <c r="F1378" s="53">
        <v>578791425</v>
      </c>
      <c r="G1378" s="53">
        <v>784259157</v>
      </c>
      <c r="H1378" s="53">
        <v>0</v>
      </c>
      <c r="I1378" s="54">
        <f t="shared" si="23"/>
        <v>2031438700</v>
      </c>
      <c r="J1378" s="52">
        <v>0</v>
      </c>
      <c r="M1378" s="38" t="str">
        <f>IF([1]totrevprm!O1378="","",[1]totrevprm!O1378)</f>
        <v/>
      </c>
    </row>
    <row r="1379" spans="1:13">
      <c r="A1379" s="49" t="s">
        <v>63</v>
      </c>
      <c r="B1379" s="46" t="s">
        <v>382</v>
      </c>
      <c r="C1379" s="50" t="s">
        <v>732</v>
      </c>
      <c r="D1379" s="51">
        <v>1992</v>
      </c>
      <c r="E1379" s="53">
        <v>707696169</v>
      </c>
      <c r="F1379" s="53">
        <v>629789857.84000003</v>
      </c>
      <c r="G1379" s="53">
        <v>845953596</v>
      </c>
      <c r="H1379" s="53">
        <v>0</v>
      </c>
      <c r="I1379" s="54">
        <f t="shared" si="23"/>
        <v>2183439622.8400002</v>
      </c>
      <c r="J1379" s="52">
        <v>0</v>
      </c>
      <c r="M1379" s="38" t="str">
        <f>IF([1]totrevprm!O1379="","",[1]totrevprm!O1379)</f>
        <v/>
      </c>
    </row>
    <row r="1380" spans="1:13">
      <c r="A1380" s="49" t="s">
        <v>63</v>
      </c>
      <c r="B1380" s="46" t="s">
        <v>382</v>
      </c>
      <c r="C1380" s="50" t="s">
        <v>732</v>
      </c>
      <c r="D1380" s="51">
        <v>1993</v>
      </c>
      <c r="E1380" s="53">
        <v>724875640</v>
      </c>
      <c r="F1380" s="53">
        <v>536701938</v>
      </c>
      <c r="G1380" s="53">
        <v>1071589567</v>
      </c>
      <c r="H1380" s="53">
        <v>0</v>
      </c>
      <c r="I1380" s="54">
        <f t="shared" si="23"/>
        <v>2333167145</v>
      </c>
      <c r="J1380" s="52">
        <v>0</v>
      </c>
      <c r="M1380" s="38" t="str">
        <f>IF([1]totrevprm!O1380="","",[1]totrevprm!O1380)</f>
        <v/>
      </c>
    </row>
    <row r="1381" spans="1:13">
      <c r="A1381" s="49" t="s">
        <v>63</v>
      </c>
      <c r="B1381" s="46" t="s">
        <v>382</v>
      </c>
      <c r="C1381" s="50" t="s">
        <v>732</v>
      </c>
      <c r="D1381" s="51">
        <v>1994</v>
      </c>
      <c r="E1381" s="53">
        <v>792088110</v>
      </c>
      <c r="F1381" s="53">
        <v>582260416</v>
      </c>
      <c r="G1381" s="53">
        <v>1080525188</v>
      </c>
      <c r="H1381" s="53">
        <v>0</v>
      </c>
      <c r="I1381" s="54">
        <f t="shared" si="23"/>
        <v>2454873714</v>
      </c>
      <c r="J1381" s="52">
        <v>0</v>
      </c>
      <c r="M1381" s="38" t="str">
        <f>IF([1]totrevprm!O1381="","",[1]totrevprm!O1381)</f>
        <v/>
      </c>
    </row>
    <row r="1382" spans="1:13">
      <c r="A1382" s="49" t="s">
        <v>63</v>
      </c>
      <c r="B1382" s="46" t="s">
        <v>382</v>
      </c>
      <c r="C1382" s="50" t="s">
        <v>732</v>
      </c>
      <c r="D1382" s="51">
        <v>1995</v>
      </c>
      <c r="E1382" s="53">
        <v>814360950</v>
      </c>
      <c r="F1382" s="53">
        <v>620410943</v>
      </c>
      <c r="G1382" s="53">
        <v>1125179250</v>
      </c>
      <c r="H1382" s="53">
        <v>0</v>
      </c>
      <c r="I1382" s="54">
        <f t="shared" si="23"/>
        <v>2559951143</v>
      </c>
      <c r="J1382" s="52">
        <v>0</v>
      </c>
      <c r="M1382" s="38" t="str">
        <f>IF([1]totrevprm!O1382="","",[1]totrevprm!O1382)</f>
        <v/>
      </c>
    </row>
    <row r="1383" spans="1:13">
      <c r="A1383" s="49" t="s">
        <v>63</v>
      </c>
      <c r="B1383" s="46" t="s">
        <v>382</v>
      </c>
      <c r="C1383" s="50" t="s">
        <v>732</v>
      </c>
      <c r="D1383" s="51">
        <v>1996</v>
      </c>
      <c r="E1383" s="53">
        <v>789424307</v>
      </c>
      <c r="F1383" s="53">
        <v>490109556</v>
      </c>
      <c r="G1383" s="53">
        <v>1184654949</v>
      </c>
      <c r="H1383" s="53">
        <v>0</v>
      </c>
      <c r="I1383" s="54">
        <f t="shared" si="23"/>
        <v>2464188812</v>
      </c>
      <c r="J1383" s="52">
        <v>0</v>
      </c>
      <c r="M1383" s="38" t="str">
        <f>IF([1]totrevprm!O1383="","",[1]totrevprm!O1383)</f>
        <v/>
      </c>
    </row>
    <row r="1384" spans="1:13">
      <c r="A1384" s="49" t="s">
        <v>63</v>
      </c>
      <c r="B1384" s="46" t="s">
        <v>382</v>
      </c>
      <c r="C1384" s="50" t="s">
        <v>732</v>
      </c>
      <c r="D1384" s="51">
        <v>1997</v>
      </c>
      <c r="E1384" s="53">
        <v>770220072</v>
      </c>
      <c r="F1384" s="53">
        <v>494871326</v>
      </c>
      <c r="G1384" s="53">
        <v>1244437896</v>
      </c>
      <c r="H1384" s="53">
        <v>0</v>
      </c>
      <c r="I1384" s="54">
        <f t="shared" si="23"/>
        <v>2509529294</v>
      </c>
      <c r="J1384" s="52">
        <v>0</v>
      </c>
      <c r="M1384" s="38" t="str">
        <f>IF([1]totrevprm!O1384="","",[1]totrevprm!O1384)</f>
        <v/>
      </c>
    </row>
    <row r="1385" spans="1:13">
      <c r="A1385" s="49" t="s">
        <v>63</v>
      </c>
      <c r="B1385" s="46" t="s">
        <v>382</v>
      </c>
      <c r="C1385" s="50" t="s">
        <v>732</v>
      </c>
      <c r="D1385" s="51">
        <v>1998</v>
      </c>
      <c r="E1385" s="53">
        <v>776113533</v>
      </c>
      <c r="F1385" s="53">
        <v>475026538</v>
      </c>
      <c r="G1385" s="53">
        <v>1310866836</v>
      </c>
      <c r="H1385" s="53">
        <v>0</v>
      </c>
      <c r="I1385" s="54">
        <f t="shared" si="23"/>
        <v>2562006907</v>
      </c>
      <c r="J1385" s="52">
        <v>0</v>
      </c>
      <c r="M1385" s="38" t="str">
        <f>IF([1]totrevprm!O1385="","",[1]totrevprm!O1385)</f>
        <v/>
      </c>
    </row>
    <row r="1386" spans="1:13">
      <c r="A1386" s="49" t="s">
        <v>63</v>
      </c>
      <c r="B1386" s="46" t="s">
        <v>382</v>
      </c>
      <c r="C1386" s="50" t="s">
        <v>732</v>
      </c>
      <c r="D1386" s="51">
        <v>1999</v>
      </c>
      <c r="E1386" s="53">
        <v>780537634</v>
      </c>
      <c r="F1386" s="53">
        <v>618103240</v>
      </c>
      <c r="G1386" s="53">
        <v>1300192293</v>
      </c>
      <c r="H1386" s="53">
        <v>0</v>
      </c>
      <c r="I1386" s="54">
        <f t="shared" si="23"/>
        <v>2698833167</v>
      </c>
      <c r="J1386" s="52">
        <v>0</v>
      </c>
      <c r="M1386" s="38" t="str">
        <f>IF([1]totrevprm!O1386="","",[1]totrevprm!O1386)</f>
        <v/>
      </c>
    </row>
    <row r="1387" spans="1:13">
      <c r="A1387" s="49" t="s">
        <v>63</v>
      </c>
      <c r="B1387" s="46" t="s">
        <v>382</v>
      </c>
      <c r="C1387" s="50" t="s">
        <v>732</v>
      </c>
      <c r="D1387" s="51">
        <v>2000</v>
      </c>
      <c r="E1387" s="53">
        <v>811989165</v>
      </c>
      <c r="F1387" s="53">
        <v>698871483</v>
      </c>
      <c r="G1387" s="53">
        <v>1371204007</v>
      </c>
      <c r="H1387" s="53">
        <v>0</v>
      </c>
      <c r="I1387" s="54">
        <f t="shared" si="23"/>
        <v>2882064655</v>
      </c>
      <c r="J1387" s="52">
        <v>0</v>
      </c>
      <c r="M1387" s="38" t="str">
        <f>IF([1]totrevprm!O1387="","",[1]totrevprm!O1387)</f>
        <v/>
      </c>
    </row>
    <row r="1388" spans="1:13">
      <c r="A1388" s="49" t="s">
        <v>63</v>
      </c>
      <c r="B1388" s="46" t="s">
        <v>382</v>
      </c>
      <c r="C1388" s="50" t="s">
        <v>732</v>
      </c>
      <c r="D1388" s="51">
        <v>2001</v>
      </c>
      <c r="E1388" s="53">
        <v>876872355</v>
      </c>
      <c r="F1388" s="53">
        <v>984869537</v>
      </c>
      <c r="G1388" s="53">
        <v>1495429443</v>
      </c>
      <c r="H1388" s="53">
        <v>0</v>
      </c>
      <c r="I1388" s="54">
        <f t="shared" si="23"/>
        <v>3357171335</v>
      </c>
      <c r="J1388" s="52">
        <v>0</v>
      </c>
      <c r="M1388" s="38" t="str">
        <f>IF([1]totrevprm!O1388="","",[1]totrevprm!O1388)</f>
        <v/>
      </c>
    </row>
    <row r="1389" spans="1:13">
      <c r="A1389" s="49" t="s">
        <v>63</v>
      </c>
      <c r="B1389" s="46" t="s">
        <v>382</v>
      </c>
      <c r="C1389" s="50" t="s">
        <v>732</v>
      </c>
      <c r="D1389" s="51">
        <v>2002</v>
      </c>
      <c r="E1389" s="53">
        <v>866788664</v>
      </c>
      <c r="F1389" s="53">
        <v>1205522724</v>
      </c>
      <c r="G1389" s="53">
        <v>1584870053</v>
      </c>
      <c r="H1389" s="53">
        <v>0</v>
      </c>
      <c r="I1389" s="54">
        <f t="shared" si="23"/>
        <v>3657181441</v>
      </c>
      <c r="J1389" s="52">
        <v>0</v>
      </c>
      <c r="M1389" s="38" t="str">
        <f>IF([1]totrevprm!O1389="","",[1]totrevprm!O1389)</f>
        <v/>
      </c>
    </row>
    <row r="1390" spans="1:13">
      <c r="A1390" s="49" t="s">
        <v>63</v>
      </c>
      <c r="B1390" s="46" t="s">
        <v>382</v>
      </c>
      <c r="C1390" s="50" t="s">
        <v>732</v>
      </c>
      <c r="D1390" s="51">
        <v>2003</v>
      </c>
      <c r="E1390" s="55">
        <v>911263971</v>
      </c>
      <c r="F1390" s="55">
        <v>1120068031</v>
      </c>
      <c r="G1390" s="55">
        <v>1727633006</v>
      </c>
      <c r="H1390" s="53">
        <v>0</v>
      </c>
      <c r="I1390" s="54">
        <f t="shared" si="23"/>
        <v>3758965008</v>
      </c>
      <c r="J1390" s="52">
        <v>0</v>
      </c>
      <c r="M1390" s="38" t="str">
        <f>IF([1]totrevprm!O1390="","",[1]totrevprm!O1390)</f>
        <v/>
      </c>
    </row>
    <row r="1391" spans="1:13">
      <c r="A1391" s="49" t="s">
        <v>63</v>
      </c>
      <c r="B1391" s="46" t="s">
        <v>382</v>
      </c>
      <c r="C1391" s="50" t="s">
        <v>732</v>
      </c>
      <c r="D1391" s="51">
        <v>2004</v>
      </c>
      <c r="E1391" s="55">
        <v>931033557</v>
      </c>
      <c r="F1391" s="55">
        <v>1062686358</v>
      </c>
      <c r="G1391" s="55">
        <v>1831615910</v>
      </c>
      <c r="H1391" s="53">
        <v>0</v>
      </c>
      <c r="I1391" s="54">
        <f t="shared" si="23"/>
        <v>3825335825</v>
      </c>
      <c r="J1391" s="52">
        <v>0</v>
      </c>
      <c r="M1391" s="38" t="str">
        <f>IF([1]totrevprm!O1391="","",[1]totrevprm!O1391)</f>
        <v/>
      </c>
    </row>
    <row r="1392" spans="1:13">
      <c r="A1392" s="49" t="s">
        <v>63</v>
      </c>
      <c r="B1392" s="46" t="s">
        <v>382</v>
      </c>
      <c r="C1392" s="50"/>
      <c r="D1392" s="51">
        <v>2005</v>
      </c>
      <c r="E1392" s="55">
        <v>926444980</v>
      </c>
      <c r="F1392" s="55">
        <v>987551770</v>
      </c>
      <c r="G1392" s="55">
        <v>1980212670.6599901</v>
      </c>
      <c r="H1392" s="53">
        <v>0</v>
      </c>
      <c r="I1392" s="54">
        <f t="shared" si="23"/>
        <v>3894209420.6599903</v>
      </c>
      <c r="J1392" s="52">
        <v>0</v>
      </c>
      <c r="M1392" s="38" t="str">
        <f>IF([1]totrevprm!O1392="","",[1]totrevprm!O1392)</f>
        <v/>
      </c>
    </row>
    <row r="1393" spans="1:13">
      <c r="A1393" s="49" t="s">
        <v>63</v>
      </c>
      <c r="B1393" s="46" t="s">
        <v>382</v>
      </c>
      <c r="C1393" s="50"/>
      <c r="D1393" s="51">
        <v>2006</v>
      </c>
      <c r="E1393" s="56">
        <v>1060841763</v>
      </c>
      <c r="F1393" s="56">
        <v>1063511980</v>
      </c>
      <c r="G1393" s="56">
        <v>2171467297</v>
      </c>
      <c r="H1393" s="56">
        <v>0</v>
      </c>
      <c r="I1393" s="54">
        <f t="shared" si="23"/>
        <v>4295821040</v>
      </c>
      <c r="J1393" s="52">
        <v>0</v>
      </c>
      <c r="M1393" s="38" t="str">
        <f>IF([1]totrevprm!O1393="","",[1]totrevprm!O1393)</f>
        <v/>
      </c>
    </row>
    <row r="1394" spans="1:13">
      <c r="A1394" s="49" t="s">
        <v>63</v>
      </c>
      <c r="B1394" s="46" t="s">
        <v>382</v>
      </c>
      <c r="C1394" s="50"/>
      <c r="D1394" s="51">
        <v>2007</v>
      </c>
      <c r="E1394" s="56">
        <v>1097782359</v>
      </c>
      <c r="F1394" s="56">
        <v>1017178609</v>
      </c>
      <c r="G1394" s="56">
        <v>2512947694</v>
      </c>
      <c r="H1394" s="56">
        <v>0</v>
      </c>
      <c r="I1394" s="54">
        <f t="shared" si="23"/>
        <v>4627908662</v>
      </c>
      <c r="J1394" s="52">
        <v>0</v>
      </c>
      <c r="M1394" s="38" t="str">
        <f>IF([1]totrevprm!O1394="","",[1]totrevprm!O1394)</f>
        <v/>
      </c>
    </row>
    <row r="1395" spans="1:13">
      <c r="A1395" s="49" t="s">
        <v>63</v>
      </c>
      <c r="B1395" s="46" t="s">
        <v>382</v>
      </c>
      <c r="C1395" s="50"/>
      <c r="D1395" s="51">
        <v>2008</v>
      </c>
      <c r="E1395" s="56">
        <v>1136588750</v>
      </c>
      <c r="F1395" s="56">
        <v>1491541386</v>
      </c>
      <c r="G1395" s="56">
        <v>2650865096</v>
      </c>
      <c r="H1395" s="56">
        <v>0</v>
      </c>
      <c r="I1395" s="54">
        <f t="shared" si="23"/>
        <v>5278995232</v>
      </c>
      <c r="J1395" s="52">
        <v>0</v>
      </c>
      <c r="M1395" s="38" t="str">
        <f>IF([1]totrevprm!O1395="","",[1]totrevprm!O1395)</f>
        <v/>
      </c>
    </row>
    <row r="1396" spans="1:13">
      <c r="A1396" s="49" t="s">
        <v>63</v>
      </c>
      <c r="B1396" s="46" t="s">
        <v>382</v>
      </c>
      <c r="C1396" s="50"/>
      <c r="D1396" s="51">
        <v>2009</v>
      </c>
      <c r="E1396" s="56">
        <v>1197855066</v>
      </c>
      <c r="F1396" s="56">
        <v>1370248919</v>
      </c>
      <c r="G1396" s="56">
        <v>2812704895</v>
      </c>
      <c r="H1396" s="56">
        <v>0</v>
      </c>
      <c r="I1396" s="54">
        <f t="shared" si="23"/>
        <v>5380808880</v>
      </c>
      <c r="J1396" s="52">
        <v>0</v>
      </c>
      <c r="M1396" s="38" t="str">
        <f>IF([1]totrevprm!O1396="","",[1]totrevprm!O1396)</f>
        <v/>
      </c>
    </row>
    <row r="1397" spans="1:13">
      <c r="A1397" s="49" t="s">
        <v>63</v>
      </c>
      <c r="B1397" s="46" t="s">
        <v>382</v>
      </c>
      <c r="C1397" s="50"/>
      <c r="D1397" s="51">
        <v>2010</v>
      </c>
      <c r="E1397" s="56">
        <v>1265817967</v>
      </c>
      <c r="F1397" s="56">
        <v>1189363350</v>
      </c>
      <c r="G1397" s="56">
        <v>2990023534</v>
      </c>
      <c r="H1397" s="56">
        <v>0</v>
      </c>
      <c r="I1397" s="54">
        <f t="shared" si="23"/>
        <v>5445204851</v>
      </c>
      <c r="J1397" s="52">
        <v>0</v>
      </c>
      <c r="M1397" s="38" t="str">
        <f>IF([1]totrevprm!O1397="","",[1]totrevprm!O1397)</f>
        <v/>
      </c>
    </row>
    <row r="1398" spans="1:13">
      <c r="A1398" s="49" t="s">
        <v>63</v>
      </c>
      <c r="B1398" s="46" t="s">
        <v>382</v>
      </c>
      <c r="C1398" s="50"/>
      <c r="D1398" s="51">
        <v>2011</v>
      </c>
      <c r="E1398" s="56">
        <v>1281469359</v>
      </c>
      <c r="F1398" s="56">
        <v>1162870153</v>
      </c>
      <c r="G1398" s="56">
        <v>2993867350.4099998</v>
      </c>
      <c r="H1398" s="56">
        <v>0</v>
      </c>
      <c r="I1398" s="54">
        <f t="shared" si="23"/>
        <v>5438206862.4099998</v>
      </c>
      <c r="J1398" s="52">
        <v>0</v>
      </c>
      <c r="M1398" s="38" t="str">
        <f>IF([1]totrevprm!O1398="","",[1]totrevprm!O1398)</f>
        <v/>
      </c>
    </row>
    <row r="1399" spans="1:13">
      <c r="A1399" s="49" t="s">
        <v>63</v>
      </c>
      <c r="B1399" s="46" t="s">
        <v>382</v>
      </c>
      <c r="C1399" s="50"/>
      <c r="D1399" s="51">
        <v>2012</v>
      </c>
      <c r="E1399" s="56">
        <v>1324959076</v>
      </c>
      <c r="F1399" s="56">
        <v>1368007325</v>
      </c>
      <c r="G1399" s="56">
        <v>2985855018</v>
      </c>
      <c r="H1399" s="56">
        <v>0</v>
      </c>
      <c r="I1399" s="54">
        <f t="shared" si="23"/>
        <v>5678821419</v>
      </c>
      <c r="J1399" s="52">
        <v>0</v>
      </c>
      <c r="M1399" s="38" t="str">
        <f>IF([1]totrevprm!O1399="","",[1]totrevprm!O1399)</f>
        <v/>
      </c>
    </row>
    <row r="1400" spans="1:13">
      <c r="A1400" s="49" t="s">
        <v>63</v>
      </c>
      <c r="B1400" s="46" t="s">
        <v>382</v>
      </c>
      <c r="C1400" s="50"/>
      <c r="D1400" s="51">
        <v>2013</v>
      </c>
      <c r="E1400" s="56">
        <v>1359541281</v>
      </c>
      <c r="F1400" s="56">
        <v>1239044898</v>
      </c>
      <c r="G1400" s="56">
        <v>3015560032</v>
      </c>
      <c r="H1400" s="56">
        <v>0</v>
      </c>
      <c r="I1400" s="54">
        <f t="shared" si="23"/>
        <v>5614146211</v>
      </c>
      <c r="J1400" s="52">
        <v>0</v>
      </c>
      <c r="M1400" s="38" t="str">
        <f>IF([1]totrevprm!O1400="","",[1]totrevprm!O1400)</f>
        <v/>
      </c>
    </row>
    <row r="1401" spans="1:13">
      <c r="A1401" s="49" t="s">
        <v>63</v>
      </c>
      <c r="B1401" s="46" t="s">
        <v>382</v>
      </c>
      <c r="C1401" s="50"/>
      <c r="D1401" s="51">
        <v>2014</v>
      </c>
      <c r="E1401" s="56">
        <v>1381698580</v>
      </c>
      <c r="F1401" s="56">
        <v>1323348614</v>
      </c>
      <c r="G1401" s="56">
        <v>3362525623.52</v>
      </c>
      <c r="H1401" s="56">
        <v>0</v>
      </c>
      <c r="I1401" s="54">
        <f t="shared" si="23"/>
        <v>6067572817.5200005</v>
      </c>
      <c r="J1401" s="52">
        <v>0</v>
      </c>
      <c r="M1401" s="38" t="str">
        <f>IF([1]totrevprm!O1401="","",[1]totrevprm!O1401)</f>
        <v/>
      </c>
    </row>
    <row r="1402" spans="1:13">
      <c r="A1402" s="49" t="s">
        <v>63</v>
      </c>
      <c r="B1402" s="46" t="s">
        <v>382</v>
      </c>
      <c r="C1402" s="50"/>
      <c r="D1402" s="51">
        <v>2015</v>
      </c>
      <c r="E1402" s="56">
        <v>1413156660</v>
      </c>
      <c r="F1402" s="56">
        <v>1582535340</v>
      </c>
      <c r="G1402" s="56">
        <v>3347770476</v>
      </c>
      <c r="H1402" s="56">
        <v>0</v>
      </c>
      <c r="I1402" s="54">
        <f t="shared" si="23"/>
        <v>6343462476</v>
      </c>
      <c r="J1402" s="52">
        <v>0</v>
      </c>
      <c r="M1402" s="38" t="str">
        <f>IF([1]totrevprm!O1402="","",[1]totrevprm!O1402)</f>
        <v/>
      </c>
    </row>
    <row r="1403" spans="1:13">
      <c r="A1403" s="49" t="s">
        <v>63</v>
      </c>
      <c r="B1403" s="46" t="s">
        <v>382</v>
      </c>
      <c r="C1403" s="50"/>
      <c r="D1403" s="51">
        <v>2016</v>
      </c>
      <c r="E1403" s="56">
        <v>1414401562</v>
      </c>
      <c r="F1403" s="56">
        <v>1475566462</v>
      </c>
      <c r="G1403" s="52">
        <v>3494959511</v>
      </c>
      <c r="H1403" s="56">
        <v>0</v>
      </c>
      <c r="I1403" s="54">
        <f t="shared" si="23"/>
        <v>6384927535</v>
      </c>
      <c r="J1403" s="52">
        <v>0</v>
      </c>
      <c r="M1403" s="38" t="str">
        <f>IF([1]totrevprm!O1403="","",[1]totrevprm!O1403)</f>
        <v/>
      </c>
    </row>
    <row r="1404" spans="1:13">
      <c r="A1404" s="49" t="s">
        <v>63</v>
      </c>
      <c r="B1404" s="46" t="s">
        <v>382</v>
      </c>
      <c r="C1404" s="50"/>
      <c r="D1404" s="51">
        <v>2017</v>
      </c>
      <c r="E1404" s="56">
        <v>1435622014</v>
      </c>
      <c r="F1404" s="56">
        <v>1518789590</v>
      </c>
      <c r="G1404" s="52">
        <v>3817822394.2600002</v>
      </c>
      <c r="H1404" s="56">
        <v>0</v>
      </c>
      <c r="I1404" s="54">
        <f t="shared" si="23"/>
        <v>6772233998.2600002</v>
      </c>
      <c r="J1404" s="52">
        <v>0</v>
      </c>
      <c r="K1404" s="61" t="s">
        <v>749</v>
      </c>
      <c r="L1404" t="s">
        <v>720</v>
      </c>
      <c r="M1404" s="38" t="str">
        <f>IF([1]totrevprm!O1404="","",[1]totrevprm!O1404)</f>
        <v/>
      </c>
    </row>
    <row r="1405" spans="1:13">
      <c r="A1405" s="49" t="s">
        <v>63</v>
      </c>
      <c r="B1405" s="46" t="s">
        <v>382</v>
      </c>
      <c r="C1405" s="50"/>
      <c r="D1405" s="51">
        <v>2018</v>
      </c>
      <c r="E1405" s="56">
        <v>1524384742</v>
      </c>
      <c r="F1405" s="56">
        <v>1896115449</v>
      </c>
      <c r="G1405" s="52">
        <v>4094852306.0599999</v>
      </c>
      <c r="H1405" s="56">
        <v>0</v>
      </c>
      <c r="I1405" s="54">
        <f t="shared" si="23"/>
        <v>7515352497.0599995</v>
      </c>
      <c r="J1405" s="56">
        <v>0</v>
      </c>
      <c r="K1405" s="61" t="s">
        <v>749</v>
      </c>
      <c r="L1405" t="s">
        <v>720</v>
      </c>
      <c r="M1405" s="38" t="str">
        <f>IF([1]totrevprm!O1405="","",[1]totrevprm!O1405)</f>
        <v/>
      </c>
    </row>
    <row r="1406" spans="1:13">
      <c r="A1406" s="49" t="s">
        <v>63</v>
      </c>
      <c r="B1406" s="46" t="s">
        <v>382</v>
      </c>
      <c r="C1406" s="50"/>
      <c r="D1406" s="51">
        <v>2019</v>
      </c>
      <c r="E1406" s="56">
        <v>1503683419</v>
      </c>
      <c r="F1406" s="56">
        <v>1728068881</v>
      </c>
      <c r="G1406" s="52">
        <v>4805517437.2739</v>
      </c>
      <c r="H1406" s="56">
        <v>0</v>
      </c>
      <c r="I1406" s="54">
        <f t="shared" si="23"/>
        <v>8037269737.2739</v>
      </c>
      <c r="J1406" s="56">
        <v>0</v>
      </c>
      <c r="K1406" s="61" t="s">
        <v>772</v>
      </c>
      <c r="L1406" t="s">
        <v>720</v>
      </c>
      <c r="M1406" s="38" t="str">
        <f>IF([1]totrevprm!O1406="","",[1]totrevprm!O1406)</f>
        <v>Yes</v>
      </c>
    </row>
    <row r="1407" spans="1:13">
      <c r="A1407" s="49" t="s">
        <v>63</v>
      </c>
      <c r="B1407" s="46" t="s">
        <v>382</v>
      </c>
      <c r="C1407" s="50"/>
      <c r="D1407" s="51">
        <v>2020</v>
      </c>
      <c r="E1407" s="56">
        <v>1538559621</v>
      </c>
      <c r="F1407" s="56">
        <v>1517811467</v>
      </c>
      <c r="G1407" s="52">
        <v>4653161248</v>
      </c>
      <c r="H1407" s="56">
        <v>0</v>
      </c>
      <c r="I1407" s="54">
        <f t="shared" si="23"/>
        <v>7709532336</v>
      </c>
      <c r="J1407" s="56">
        <v>0</v>
      </c>
      <c r="K1407" s="61" t="s">
        <v>739</v>
      </c>
      <c r="L1407" t="s">
        <v>720</v>
      </c>
      <c r="M1407" s="38" t="str">
        <f>IF([1]totrevprm!O1407="","",[1]totrevprm!O1407)</f>
        <v/>
      </c>
    </row>
    <row r="1408" spans="1:13">
      <c r="A1408" s="49" t="s">
        <v>63</v>
      </c>
      <c r="B1408" s="46" t="s">
        <v>382</v>
      </c>
      <c r="C1408" s="50"/>
      <c r="D1408" s="51">
        <v>2021</v>
      </c>
      <c r="E1408" s="56">
        <v>1593607803</v>
      </c>
      <c r="F1408" s="56">
        <v>1946941804</v>
      </c>
      <c r="G1408" s="52">
        <v>4917891972</v>
      </c>
      <c r="H1408" s="56">
        <v>0</v>
      </c>
      <c r="I1408" s="54">
        <f t="shared" si="23"/>
        <v>8458441579</v>
      </c>
      <c r="J1408" s="56">
        <v>0</v>
      </c>
      <c r="K1408" s="61" t="s">
        <v>739</v>
      </c>
      <c r="L1408" t="s">
        <v>720</v>
      </c>
      <c r="M1408" s="38"/>
    </row>
    <row r="1409" spans="1:13">
      <c r="A1409" s="49" t="s">
        <v>63</v>
      </c>
      <c r="B1409" s="46" t="s">
        <v>382</v>
      </c>
      <c r="C1409" s="50"/>
      <c r="D1409" s="51">
        <v>2022</v>
      </c>
      <c r="E1409" s="56">
        <v>1650797740</v>
      </c>
      <c r="F1409" s="56">
        <v>2120528424</v>
      </c>
      <c r="G1409" s="56">
        <v>5093472973</v>
      </c>
      <c r="H1409" s="56">
        <v>0</v>
      </c>
      <c r="I1409" s="54">
        <f t="shared" si="23"/>
        <v>8864799137</v>
      </c>
      <c r="J1409" s="56">
        <v>0</v>
      </c>
      <c r="K1409" s="61" t="s">
        <v>739</v>
      </c>
      <c r="L1409" t="s">
        <v>720</v>
      </c>
      <c r="M1409" s="38" t="str">
        <f>IF([1]totrevprm!O1412="","",[1]totrevprm!O1412)</f>
        <v/>
      </c>
    </row>
    <row r="1410" spans="1:13">
      <c r="A1410" s="49" t="s">
        <v>63</v>
      </c>
      <c r="B1410" s="46" t="s">
        <v>382</v>
      </c>
      <c r="C1410" s="50"/>
      <c r="D1410" s="51">
        <v>2023</v>
      </c>
      <c r="E1410" s="56">
        <v>1671295696</v>
      </c>
      <c r="F1410" s="56">
        <v>2625235206.6893001</v>
      </c>
      <c r="G1410" s="56">
        <v>5447234387.8299999</v>
      </c>
      <c r="H1410" s="56">
        <v>0</v>
      </c>
      <c r="I1410" s="54">
        <f t="shared" si="23"/>
        <v>9743765290.5193005</v>
      </c>
      <c r="J1410" s="52">
        <v>0</v>
      </c>
      <c r="K1410" s="61" t="s">
        <v>739</v>
      </c>
      <c r="M1410" s="38"/>
    </row>
    <row r="1411" spans="1:13">
      <c r="A1411" s="49" t="s">
        <v>63</v>
      </c>
      <c r="B1411" s="46" t="s">
        <v>382</v>
      </c>
      <c r="C1411" s="50"/>
      <c r="D1411" s="57">
        <v>2024</v>
      </c>
      <c r="E1411" s="52">
        <v>1697954067.23</v>
      </c>
      <c r="F1411" s="52">
        <v>3063427188.8099999</v>
      </c>
      <c r="G1411" s="52">
        <v>6496000293.8800001</v>
      </c>
      <c r="H1411" s="52">
        <v>0</v>
      </c>
      <c r="I1411" s="54">
        <f t="shared" si="23"/>
        <v>11257381549.92</v>
      </c>
      <c r="J1411" s="56">
        <v>0</v>
      </c>
      <c r="K1411" s="61" t="s">
        <v>739</v>
      </c>
      <c r="M1411" s="38"/>
    </row>
    <row r="1412" spans="1:13">
      <c r="A1412" s="49"/>
      <c r="B1412" s="50"/>
      <c r="C1412" s="50"/>
      <c r="E1412" s="53"/>
      <c r="F1412" s="53"/>
      <c r="G1412" s="53"/>
      <c r="H1412" s="53"/>
      <c r="I1412" s="54"/>
      <c r="J1412" s="52"/>
      <c r="K1412" s="61"/>
      <c r="M1412" s="38"/>
    </row>
    <row r="1413" spans="1:13">
      <c r="A1413" s="49" t="s">
        <v>64</v>
      </c>
      <c r="B1413" s="46" t="s">
        <v>807</v>
      </c>
      <c r="C1413" s="50" t="s">
        <v>731</v>
      </c>
      <c r="D1413" s="51">
        <v>1988</v>
      </c>
      <c r="E1413" s="53">
        <v>506312289</v>
      </c>
      <c r="F1413" s="53">
        <v>895696039</v>
      </c>
      <c r="G1413" s="53">
        <v>428769940</v>
      </c>
      <c r="H1413" s="53">
        <v>0</v>
      </c>
      <c r="I1413" s="54">
        <f t="shared" ref="I1413:I1477" si="24">SUM(E1413:H1413)</f>
        <v>1830778268</v>
      </c>
      <c r="J1413" s="52">
        <v>0</v>
      </c>
      <c r="M1413" s="38" t="str">
        <f>IF([1]totrevprm!O1413="","",[1]totrevprm!O1413)</f>
        <v/>
      </c>
    </row>
    <row r="1414" spans="1:13">
      <c r="A1414" s="49" t="s">
        <v>64</v>
      </c>
      <c r="B1414" s="46" t="s">
        <v>807</v>
      </c>
      <c r="C1414" s="50" t="s">
        <v>732</v>
      </c>
      <c r="D1414" s="51">
        <v>1989</v>
      </c>
      <c r="E1414" s="53">
        <v>514579970</v>
      </c>
      <c r="F1414" s="53">
        <v>1030798115</v>
      </c>
      <c r="G1414" s="53">
        <v>476923224</v>
      </c>
      <c r="H1414" s="53">
        <v>0</v>
      </c>
      <c r="I1414" s="54">
        <f t="shared" si="24"/>
        <v>2022301309</v>
      </c>
      <c r="J1414" s="52">
        <v>0</v>
      </c>
      <c r="M1414" s="38" t="str">
        <f>IF([1]totrevprm!O1414="","",[1]totrevprm!O1414)</f>
        <v/>
      </c>
    </row>
    <row r="1415" spans="1:13">
      <c r="A1415" s="49" t="s">
        <v>64</v>
      </c>
      <c r="B1415" s="46" t="s">
        <v>807</v>
      </c>
      <c r="C1415" s="50" t="s">
        <v>732</v>
      </c>
      <c r="D1415" s="51">
        <v>1990</v>
      </c>
      <c r="E1415" s="53">
        <v>537896369</v>
      </c>
      <c r="F1415" s="53">
        <v>937962526.03999996</v>
      </c>
      <c r="G1415" s="53">
        <v>544414811</v>
      </c>
      <c r="H1415" s="53">
        <v>0</v>
      </c>
      <c r="I1415" s="54">
        <f t="shared" si="24"/>
        <v>2020273706.04</v>
      </c>
      <c r="J1415" s="52">
        <v>0</v>
      </c>
      <c r="M1415" s="38" t="str">
        <f>IF([1]totrevprm!O1415="","",[1]totrevprm!O1415)</f>
        <v/>
      </c>
    </row>
    <row r="1416" spans="1:13">
      <c r="A1416" s="49" t="s">
        <v>64</v>
      </c>
      <c r="B1416" s="46" t="s">
        <v>807</v>
      </c>
      <c r="C1416" s="50" t="s">
        <v>732</v>
      </c>
      <c r="D1416" s="51">
        <v>1991</v>
      </c>
      <c r="E1416" s="53">
        <v>567228111</v>
      </c>
      <c r="F1416" s="53">
        <v>830408324</v>
      </c>
      <c r="G1416" s="53">
        <v>555223454</v>
      </c>
      <c r="H1416" s="53">
        <v>260045972</v>
      </c>
      <c r="I1416" s="54">
        <f t="shared" si="24"/>
        <v>2212905861</v>
      </c>
      <c r="J1416" s="52">
        <v>0</v>
      </c>
      <c r="M1416" s="38" t="str">
        <f>IF([1]totrevprm!O1416="","",[1]totrevprm!O1416)</f>
        <v/>
      </c>
    </row>
    <row r="1417" spans="1:13">
      <c r="A1417" s="49" t="s">
        <v>64</v>
      </c>
      <c r="B1417" s="46" t="s">
        <v>807</v>
      </c>
      <c r="C1417" s="50" t="s">
        <v>808</v>
      </c>
      <c r="D1417" s="51">
        <v>1992</v>
      </c>
      <c r="E1417" s="53">
        <v>596415790</v>
      </c>
      <c r="F1417" s="53">
        <v>812673519.63999999</v>
      </c>
      <c r="G1417" s="53">
        <v>627877935</v>
      </c>
      <c r="H1417" s="53">
        <v>281849324</v>
      </c>
      <c r="I1417" s="54">
        <f t="shared" si="24"/>
        <v>2318816568.6399999</v>
      </c>
      <c r="J1417" s="52">
        <v>0</v>
      </c>
      <c r="M1417" s="38" t="str">
        <f>IF([1]totrevprm!O1417="","",[1]totrevprm!O1417)</f>
        <v/>
      </c>
    </row>
    <row r="1418" spans="1:13">
      <c r="A1418" s="49" t="s">
        <v>64</v>
      </c>
      <c r="B1418" s="46" t="s">
        <v>807</v>
      </c>
      <c r="C1418" s="50" t="s">
        <v>809</v>
      </c>
      <c r="D1418" s="51">
        <v>1993</v>
      </c>
      <c r="E1418" s="53">
        <v>622685909</v>
      </c>
      <c r="F1418" s="53">
        <v>696695276</v>
      </c>
      <c r="G1418" s="53">
        <v>582601955</v>
      </c>
      <c r="H1418" s="53">
        <v>192373597</v>
      </c>
      <c r="I1418" s="54">
        <f t="shared" si="24"/>
        <v>2094356737</v>
      </c>
      <c r="J1418" s="52">
        <v>0</v>
      </c>
      <c r="M1418" s="38" t="str">
        <f>IF([1]totrevprm!O1418="","",[1]totrevprm!O1418)</f>
        <v/>
      </c>
    </row>
    <row r="1419" spans="1:13">
      <c r="A1419" s="49" t="s">
        <v>64</v>
      </c>
      <c r="B1419" s="46" t="s">
        <v>807</v>
      </c>
      <c r="C1419" s="50" t="s">
        <v>732</v>
      </c>
      <c r="D1419" s="51">
        <v>1994</v>
      </c>
      <c r="E1419" s="53">
        <v>697121068</v>
      </c>
      <c r="F1419" s="53">
        <v>925325110</v>
      </c>
      <c r="G1419" s="53">
        <v>569074748</v>
      </c>
      <c r="H1419" s="53">
        <v>152049491</v>
      </c>
      <c r="I1419" s="54">
        <f t="shared" si="24"/>
        <v>2343570417</v>
      </c>
      <c r="J1419" s="52">
        <v>0</v>
      </c>
      <c r="M1419" s="38" t="str">
        <f>IF([1]totrevprm!O1419="","",[1]totrevprm!O1419)</f>
        <v/>
      </c>
    </row>
    <row r="1420" spans="1:13">
      <c r="A1420" s="49" t="s">
        <v>64</v>
      </c>
      <c r="B1420" s="46" t="s">
        <v>807</v>
      </c>
      <c r="C1420" s="50" t="s">
        <v>732</v>
      </c>
      <c r="D1420" s="51">
        <v>1995</v>
      </c>
      <c r="E1420" s="53">
        <v>714798506</v>
      </c>
      <c r="F1420" s="53">
        <v>914040453</v>
      </c>
      <c r="G1420" s="53">
        <v>613797359</v>
      </c>
      <c r="H1420" s="53">
        <v>60386398</v>
      </c>
      <c r="I1420" s="54">
        <f t="shared" si="24"/>
        <v>2303022716</v>
      </c>
      <c r="J1420" s="52">
        <v>0</v>
      </c>
      <c r="M1420" s="38" t="str">
        <f>IF([1]totrevprm!O1420="","",[1]totrevprm!O1420)</f>
        <v/>
      </c>
    </row>
    <row r="1421" spans="1:13">
      <c r="A1421" s="49" t="s">
        <v>64</v>
      </c>
      <c r="B1421" s="46" t="s">
        <v>807</v>
      </c>
      <c r="C1421" s="50" t="s">
        <v>732</v>
      </c>
      <c r="D1421" s="51">
        <v>1996</v>
      </c>
      <c r="E1421" s="53">
        <v>755357432</v>
      </c>
      <c r="F1421" s="53">
        <v>715264307</v>
      </c>
      <c r="G1421" s="53">
        <v>654376965</v>
      </c>
      <c r="H1421" s="53">
        <v>62180671</v>
      </c>
      <c r="I1421" s="54">
        <f t="shared" si="24"/>
        <v>2187179375</v>
      </c>
      <c r="J1421" s="52">
        <v>0</v>
      </c>
      <c r="M1421" s="38" t="str">
        <f>IF([1]totrevprm!O1421="","",[1]totrevprm!O1421)</f>
        <v/>
      </c>
    </row>
    <row r="1422" spans="1:13">
      <c r="A1422" s="49" t="s">
        <v>64</v>
      </c>
      <c r="B1422" s="46" t="s">
        <v>807</v>
      </c>
      <c r="C1422" s="50" t="s">
        <v>732</v>
      </c>
      <c r="D1422" s="51">
        <v>1997</v>
      </c>
      <c r="E1422" s="53">
        <v>719950509</v>
      </c>
      <c r="F1422" s="53">
        <v>686661197</v>
      </c>
      <c r="G1422" s="53">
        <v>792864569</v>
      </c>
      <c r="H1422" s="53">
        <v>65154294</v>
      </c>
      <c r="I1422" s="54">
        <f t="shared" si="24"/>
        <v>2264630569</v>
      </c>
      <c r="J1422" s="52">
        <v>0</v>
      </c>
      <c r="M1422" s="38" t="str">
        <f>IF([1]totrevprm!O1422="","",[1]totrevprm!O1422)</f>
        <v/>
      </c>
    </row>
    <row r="1423" spans="1:13">
      <c r="A1423" s="49" t="s">
        <v>64</v>
      </c>
      <c r="B1423" s="46" t="s">
        <v>807</v>
      </c>
      <c r="C1423" s="50" t="s">
        <v>732</v>
      </c>
      <c r="D1423" s="51">
        <v>1998</v>
      </c>
      <c r="E1423" s="53">
        <v>720826519</v>
      </c>
      <c r="F1423" s="53">
        <v>550848286</v>
      </c>
      <c r="G1423" s="53">
        <v>960047164</v>
      </c>
      <c r="H1423" s="53">
        <v>56616238</v>
      </c>
      <c r="I1423" s="54">
        <f t="shared" si="24"/>
        <v>2288338207</v>
      </c>
      <c r="J1423" s="52">
        <v>0</v>
      </c>
      <c r="M1423" s="38" t="str">
        <f>IF([1]totrevprm!O1423="","",[1]totrevprm!O1423)</f>
        <v/>
      </c>
    </row>
    <row r="1424" spans="1:13">
      <c r="A1424" s="49" t="s">
        <v>64</v>
      </c>
      <c r="B1424" s="46" t="s">
        <v>807</v>
      </c>
      <c r="C1424" s="50" t="s">
        <v>732</v>
      </c>
      <c r="D1424" s="51">
        <v>1999</v>
      </c>
      <c r="E1424" s="53">
        <v>728877210</v>
      </c>
      <c r="F1424" s="53">
        <v>726671578</v>
      </c>
      <c r="G1424" s="53">
        <v>786285685</v>
      </c>
      <c r="H1424" s="53">
        <v>125216390</v>
      </c>
      <c r="I1424" s="54">
        <f t="shared" si="24"/>
        <v>2367050863</v>
      </c>
      <c r="J1424" s="52">
        <v>0</v>
      </c>
      <c r="M1424" s="38" t="str">
        <f>IF([1]totrevprm!O1424="","",[1]totrevprm!O1424)</f>
        <v/>
      </c>
    </row>
    <row r="1425" spans="1:13">
      <c r="A1425" s="49" t="s">
        <v>64</v>
      </c>
      <c r="B1425" s="46" t="s">
        <v>807</v>
      </c>
      <c r="C1425" s="50" t="s">
        <v>732</v>
      </c>
      <c r="D1425" s="51">
        <v>2000</v>
      </c>
      <c r="E1425" s="53">
        <v>743282612</v>
      </c>
      <c r="F1425" s="53">
        <v>893636452</v>
      </c>
      <c r="G1425" s="53">
        <v>909940157</v>
      </c>
      <c r="H1425" s="53">
        <v>73526876</v>
      </c>
      <c r="I1425" s="54">
        <f t="shared" si="24"/>
        <v>2620386097</v>
      </c>
      <c r="J1425" s="52">
        <v>0</v>
      </c>
      <c r="M1425" s="38" t="str">
        <f>IF([1]totrevprm!O1425="","",[1]totrevprm!O1425)</f>
        <v/>
      </c>
    </row>
    <row r="1426" spans="1:13">
      <c r="A1426" s="49" t="s">
        <v>64</v>
      </c>
      <c r="B1426" s="46" t="s">
        <v>807</v>
      </c>
      <c r="C1426" s="50" t="s">
        <v>732</v>
      </c>
      <c r="D1426" s="51">
        <v>2001</v>
      </c>
      <c r="E1426" s="53">
        <v>771999343</v>
      </c>
      <c r="F1426" s="53">
        <v>1004482176</v>
      </c>
      <c r="G1426" s="53">
        <v>803603902</v>
      </c>
      <c r="H1426" s="53">
        <v>93354686</v>
      </c>
      <c r="I1426" s="54">
        <f t="shared" si="24"/>
        <v>2673440107</v>
      </c>
      <c r="J1426" s="52">
        <v>0</v>
      </c>
      <c r="M1426" s="38" t="str">
        <f>IF([1]totrevprm!O1426="","",[1]totrevprm!O1426)</f>
        <v/>
      </c>
    </row>
    <row r="1427" spans="1:13">
      <c r="A1427" s="49" t="s">
        <v>64</v>
      </c>
      <c r="B1427" s="46" t="s">
        <v>807</v>
      </c>
      <c r="C1427" s="50" t="s">
        <v>732</v>
      </c>
      <c r="D1427" s="51">
        <v>2002</v>
      </c>
      <c r="E1427" s="53">
        <v>790911199</v>
      </c>
      <c r="F1427" s="53">
        <v>1332585909</v>
      </c>
      <c r="G1427" s="53">
        <v>848558514</v>
      </c>
      <c r="H1427" s="53">
        <v>51183511</v>
      </c>
      <c r="I1427" s="54">
        <f t="shared" si="24"/>
        <v>3023239133</v>
      </c>
      <c r="J1427" s="52">
        <v>0</v>
      </c>
      <c r="M1427" s="38" t="str">
        <f>IF([1]totrevprm!O1427="","",[1]totrevprm!O1427)</f>
        <v/>
      </c>
    </row>
    <row r="1428" spans="1:13">
      <c r="A1428" s="49" t="s">
        <v>64</v>
      </c>
      <c r="B1428" s="46" t="s">
        <v>807</v>
      </c>
      <c r="C1428" s="50" t="s">
        <v>732</v>
      </c>
      <c r="D1428" s="51">
        <v>2003</v>
      </c>
      <c r="E1428" s="55">
        <v>847274270</v>
      </c>
      <c r="F1428" s="55">
        <v>1396433518</v>
      </c>
      <c r="G1428" s="55">
        <v>884605712</v>
      </c>
      <c r="H1428" s="55">
        <v>48002935</v>
      </c>
      <c r="I1428" s="54">
        <f t="shared" si="24"/>
        <v>3176316435</v>
      </c>
      <c r="J1428" s="52">
        <v>0</v>
      </c>
      <c r="M1428" s="38" t="str">
        <f>IF([1]totrevprm!O1428="","",[1]totrevprm!O1428)</f>
        <v/>
      </c>
    </row>
    <row r="1429" spans="1:13">
      <c r="A1429" s="49" t="s">
        <v>64</v>
      </c>
      <c r="B1429" s="46" t="s">
        <v>807</v>
      </c>
      <c r="C1429" s="50" t="s">
        <v>732</v>
      </c>
      <c r="D1429" s="51">
        <v>2004</v>
      </c>
      <c r="E1429" s="55">
        <v>880003563</v>
      </c>
      <c r="F1429" s="55">
        <v>1274161437</v>
      </c>
      <c r="G1429" s="55">
        <v>987967712</v>
      </c>
      <c r="H1429" s="55">
        <v>38304389</v>
      </c>
      <c r="I1429" s="54">
        <f t="shared" si="24"/>
        <v>3180437101</v>
      </c>
      <c r="J1429" s="52">
        <v>0</v>
      </c>
      <c r="M1429" s="38" t="str">
        <f>IF([1]totrevprm!O1429="","",[1]totrevprm!O1429)</f>
        <v/>
      </c>
    </row>
    <row r="1430" spans="1:13">
      <c r="A1430" s="49" t="s">
        <v>64</v>
      </c>
      <c r="B1430" s="46" t="s">
        <v>807</v>
      </c>
      <c r="C1430" s="50"/>
      <c r="D1430" s="51">
        <v>2005</v>
      </c>
      <c r="E1430" s="55">
        <v>856725793</v>
      </c>
      <c r="F1430" s="55">
        <v>1082211585</v>
      </c>
      <c r="G1430" s="55">
        <v>1118685177.0999899</v>
      </c>
      <c r="H1430" s="55">
        <v>21704483</v>
      </c>
      <c r="I1430" s="54">
        <f t="shared" si="24"/>
        <v>3079327038.0999899</v>
      </c>
      <c r="J1430" s="52">
        <v>0</v>
      </c>
      <c r="M1430" s="38" t="str">
        <f>IF([1]totrevprm!O1430="","",[1]totrevprm!O1430)</f>
        <v/>
      </c>
    </row>
    <row r="1431" spans="1:13">
      <c r="A1431" s="49" t="s">
        <v>64</v>
      </c>
      <c r="B1431" s="46" t="s">
        <v>807</v>
      </c>
      <c r="C1431" s="50"/>
      <c r="D1431" s="51">
        <v>2006</v>
      </c>
      <c r="E1431" s="52">
        <v>928149167</v>
      </c>
      <c r="F1431" s="52">
        <v>1099881946</v>
      </c>
      <c r="G1431" s="52">
        <v>1346163921</v>
      </c>
      <c r="H1431" s="52">
        <v>15663377</v>
      </c>
      <c r="I1431" s="54">
        <f t="shared" si="24"/>
        <v>3389858411</v>
      </c>
      <c r="J1431" s="52">
        <v>0</v>
      </c>
      <c r="M1431" s="38" t="str">
        <f>IF([1]totrevprm!O1431="","",[1]totrevprm!O1431)</f>
        <v/>
      </c>
    </row>
    <row r="1432" spans="1:13">
      <c r="A1432" s="49" t="s">
        <v>64</v>
      </c>
      <c r="B1432" s="46" t="s">
        <v>807</v>
      </c>
      <c r="C1432" s="50"/>
      <c r="D1432" s="51">
        <v>2007</v>
      </c>
      <c r="E1432" s="52">
        <v>940070559</v>
      </c>
      <c r="F1432" s="52">
        <v>1228133633</v>
      </c>
      <c r="G1432" s="52">
        <v>1985559448</v>
      </c>
      <c r="H1432" s="53">
        <v>-101448253</v>
      </c>
      <c r="I1432" s="54">
        <f t="shared" si="24"/>
        <v>4052315387</v>
      </c>
      <c r="J1432" s="52">
        <v>0</v>
      </c>
      <c r="M1432" s="38" t="str">
        <f>IF([1]totrevprm!O1432="","",[1]totrevprm!O1432)</f>
        <v/>
      </c>
    </row>
    <row r="1433" spans="1:13">
      <c r="A1433" s="49" t="s">
        <v>64</v>
      </c>
      <c r="B1433" s="46" t="s">
        <v>807</v>
      </c>
      <c r="C1433" s="50"/>
      <c r="D1433" s="51">
        <v>2008</v>
      </c>
      <c r="E1433" s="52">
        <v>966239499</v>
      </c>
      <c r="F1433" s="52">
        <v>1589801073</v>
      </c>
      <c r="G1433" s="52">
        <v>1962685043</v>
      </c>
      <c r="H1433" s="52">
        <v>19167596</v>
      </c>
      <c r="I1433" s="54">
        <f t="shared" si="24"/>
        <v>4537893211</v>
      </c>
      <c r="J1433" s="52">
        <v>0</v>
      </c>
      <c r="M1433" s="38" t="str">
        <f>IF([1]totrevprm!O1433="","",[1]totrevprm!O1433)</f>
        <v/>
      </c>
    </row>
    <row r="1434" spans="1:13">
      <c r="A1434" s="49" t="s">
        <v>64</v>
      </c>
      <c r="B1434" s="46" t="s">
        <v>807</v>
      </c>
      <c r="C1434" s="50"/>
      <c r="D1434" s="51">
        <v>2009</v>
      </c>
      <c r="E1434" s="52">
        <v>1017455661</v>
      </c>
      <c r="F1434" s="52">
        <v>1530980278</v>
      </c>
      <c r="G1434" s="52">
        <v>1964912338</v>
      </c>
      <c r="H1434" s="52">
        <v>44277832</v>
      </c>
      <c r="I1434" s="54">
        <f t="shared" si="24"/>
        <v>4557626109</v>
      </c>
      <c r="J1434" s="52">
        <v>0</v>
      </c>
      <c r="M1434" s="38" t="str">
        <f>IF([1]totrevprm!O1434="","",[1]totrevprm!O1434)</f>
        <v/>
      </c>
    </row>
    <row r="1435" spans="1:13">
      <c r="A1435" s="49" t="s">
        <v>64</v>
      </c>
      <c r="B1435" s="46" t="s">
        <v>807</v>
      </c>
      <c r="C1435" s="50"/>
      <c r="D1435" s="51">
        <v>2010</v>
      </c>
      <c r="E1435" s="52">
        <v>1049139067</v>
      </c>
      <c r="F1435" s="52">
        <v>1500106331</v>
      </c>
      <c r="G1435" s="52">
        <v>2080036886</v>
      </c>
      <c r="H1435" s="52">
        <v>62447343</v>
      </c>
      <c r="I1435" s="54">
        <f t="shared" si="24"/>
        <v>4691729627</v>
      </c>
      <c r="J1435" s="52">
        <v>0</v>
      </c>
      <c r="M1435" s="38" t="str">
        <f>IF([1]totrevprm!O1435="","",[1]totrevprm!O1435)</f>
        <v/>
      </c>
    </row>
    <row r="1436" spans="1:13">
      <c r="A1436" s="49" t="s">
        <v>64</v>
      </c>
      <c r="B1436" s="46" t="s">
        <v>807</v>
      </c>
      <c r="C1436" s="50"/>
      <c r="D1436" s="51">
        <v>2011</v>
      </c>
      <c r="E1436" s="52">
        <v>1090276860</v>
      </c>
      <c r="F1436" s="52">
        <v>1259814723</v>
      </c>
      <c r="G1436" s="52">
        <v>2213758036.5799999</v>
      </c>
      <c r="H1436" s="52">
        <v>62825317</v>
      </c>
      <c r="I1436" s="54">
        <f t="shared" si="24"/>
        <v>4626674936.5799999</v>
      </c>
      <c r="J1436" s="52">
        <v>0</v>
      </c>
      <c r="M1436" s="38" t="str">
        <f>IF([1]totrevprm!O1436="","",[1]totrevprm!O1436)</f>
        <v/>
      </c>
    </row>
    <row r="1437" spans="1:13">
      <c r="A1437" s="49" t="s">
        <v>64</v>
      </c>
      <c r="B1437" s="46" t="s">
        <v>807</v>
      </c>
      <c r="C1437" s="50"/>
      <c r="D1437" s="51">
        <v>2012</v>
      </c>
      <c r="E1437" s="52">
        <v>1108512537</v>
      </c>
      <c r="F1437" s="52">
        <v>1321757513</v>
      </c>
      <c r="G1437" s="52">
        <v>1510631717</v>
      </c>
      <c r="H1437" s="52">
        <v>48366542</v>
      </c>
      <c r="I1437" s="54">
        <f t="shared" si="24"/>
        <v>3989268309</v>
      </c>
      <c r="J1437" s="52">
        <v>0</v>
      </c>
      <c r="M1437" s="38" t="str">
        <f>IF([1]totrevprm!O1437="","",[1]totrevprm!O1437)</f>
        <v/>
      </c>
    </row>
    <row r="1438" spans="1:13">
      <c r="A1438" s="49" t="s">
        <v>64</v>
      </c>
      <c r="B1438" s="46" t="s">
        <v>807</v>
      </c>
      <c r="C1438" s="50"/>
      <c r="D1438" s="51">
        <v>2013</v>
      </c>
      <c r="E1438" s="52">
        <v>1099992671</v>
      </c>
      <c r="F1438" s="52">
        <v>1366316746</v>
      </c>
      <c r="G1438" s="52">
        <v>1594284187</v>
      </c>
      <c r="H1438" s="52">
        <v>48830750</v>
      </c>
      <c r="I1438" s="54">
        <f t="shared" si="24"/>
        <v>4109424354</v>
      </c>
      <c r="J1438" s="52">
        <v>0</v>
      </c>
      <c r="M1438" s="38" t="str">
        <f>IF([1]totrevprm!O1438="","",[1]totrevprm!O1438)</f>
        <v/>
      </c>
    </row>
    <row r="1439" spans="1:13">
      <c r="A1439" s="49" t="s">
        <v>64</v>
      </c>
      <c r="B1439" s="46" t="s">
        <v>807</v>
      </c>
      <c r="C1439" s="50"/>
      <c r="D1439" s="51">
        <v>2014</v>
      </c>
      <c r="E1439" s="52">
        <v>1153577720</v>
      </c>
      <c r="F1439" s="52">
        <v>1525669016</v>
      </c>
      <c r="G1439" s="52">
        <v>1648109090.48</v>
      </c>
      <c r="H1439" s="52">
        <v>62301029</v>
      </c>
      <c r="I1439" s="54">
        <f t="shared" si="24"/>
        <v>4389656855.4799995</v>
      </c>
      <c r="J1439" s="52">
        <v>0</v>
      </c>
      <c r="M1439" s="38" t="str">
        <f>IF([1]totrevprm!O1439="","",[1]totrevprm!O1439)</f>
        <v/>
      </c>
    </row>
    <row r="1440" spans="1:13">
      <c r="A1440" s="49" t="s">
        <v>64</v>
      </c>
      <c r="B1440" s="46" t="s">
        <v>807</v>
      </c>
      <c r="C1440" s="50"/>
      <c r="D1440" s="51">
        <v>2015</v>
      </c>
      <c r="E1440" s="52">
        <v>1173943291</v>
      </c>
      <c r="F1440" s="52">
        <v>1651855009</v>
      </c>
      <c r="G1440" s="52">
        <v>1656057822</v>
      </c>
      <c r="H1440" s="52">
        <v>68311429</v>
      </c>
      <c r="I1440" s="54">
        <f t="shared" si="24"/>
        <v>4550167551</v>
      </c>
      <c r="J1440" s="52">
        <v>0</v>
      </c>
      <c r="M1440" s="38" t="str">
        <f>IF([1]totrevprm!O1440="","",[1]totrevprm!O1440)</f>
        <v/>
      </c>
    </row>
    <row r="1441" spans="1:13">
      <c r="A1441" s="49" t="s">
        <v>64</v>
      </c>
      <c r="B1441" s="46" t="s">
        <v>807</v>
      </c>
      <c r="C1441" s="50"/>
      <c r="D1441" s="51">
        <v>2016</v>
      </c>
      <c r="E1441" s="52">
        <v>1226169489</v>
      </c>
      <c r="F1441" s="52">
        <v>1845096960</v>
      </c>
      <c r="G1441" s="52">
        <v>1617437271</v>
      </c>
      <c r="H1441" s="52">
        <v>96278666</v>
      </c>
      <c r="I1441" s="54">
        <f t="shared" si="24"/>
        <v>4784982386</v>
      </c>
      <c r="J1441" s="52">
        <v>0</v>
      </c>
      <c r="M1441" s="38" t="str">
        <f>IF([1]totrevprm!O1441="","",[1]totrevprm!O1441)</f>
        <v/>
      </c>
    </row>
    <row r="1442" spans="1:13">
      <c r="A1442" s="49" t="s">
        <v>64</v>
      </c>
      <c r="B1442" s="46" t="s">
        <v>807</v>
      </c>
      <c r="C1442" s="50"/>
      <c r="D1442" s="51">
        <v>2017</v>
      </c>
      <c r="E1442" s="52">
        <v>1261514496</v>
      </c>
      <c r="F1442" s="52">
        <v>1741493618</v>
      </c>
      <c r="G1442" s="52">
        <v>1405128341.78</v>
      </c>
      <c r="H1442" s="52">
        <v>74596790</v>
      </c>
      <c r="I1442" s="54">
        <f t="shared" si="24"/>
        <v>4482733245.7799997</v>
      </c>
      <c r="J1442" s="52">
        <v>0</v>
      </c>
      <c r="M1442" s="38" t="str">
        <f>IF([1]totrevprm!O1442="","",[1]totrevprm!O1442)</f>
        <v/>
      </c>
    </row>
    <row r="1443" spans="1:13">
      <c r="A1443" s="49" t="s">
        <v>64</v>
      </c>
      <c r="B1443" s="46" t="s">
        <v>807</v>
      </c>
      <c r="C1443" s="50"/>
      <c r="D1443" s="51">
        <v>2018</v>
      </c>
      <c r="E1443" s="52">
        <v>1289321205</v>
      </c>
      <c r="F1443" s="52">
        <v>2113266872</v>
      </c>
      <c r="G1443" s="52">
        <v>1543021071.1100001</v>
      </c>
      <c r="H1443" s="52">
        <v>54907683</v>
      </c>
      <c r="I1443" s="54">
        <f t="shared" si="24"/>
        <v>5000516831.1100006</v>
      </c>
      <c r="J1443" s="56">
        <v>0</v>
      </c>
      <c r="M1443" s="38" t="str">
        <f>IF([1]totrevprm!O1443="","",[1]totrevprm!O1443)</f>
        <v/>
      </c>
    </row>
    <row r="1444" spans="1:13">
      <c r="A1444" s="49" t="s">
        <v>64</v>
      </c>
      <c r="B1444" s="46" t="s">
        <v>807</v>
      </c>
      <c r="C1444" s="50"/>
      <c r="D1444" s="51">
        <v>2019</v>
      </c>
      <c r="E1444" s="52">
        <v>1310686624</v>
      </c>
      <c r="F1444" s="52">
        <v>2347333562</v>
      </c>
      <c r="G1444" s="52">
        <v>1648970700.0999999</v>
      </c>
      <c r="H1444" s="52">
        <v>27818163</v>
      </c>
      <c r="I1444" s="54">
        <f t="shared" si="24"/>
        <v>5334809049.1000004</v>
      </c>
      <c r="J1444" s="52">
        <v>37156883</v>
      </c>
      <c r="K1444" s="60" t="s">
        <v>736</v>
      </c>
      <c r="L1444" t="s">
        <v>720</v>
      </c>
      <c r="M1444" s="38" t="str">
        <f>IF([1]totrevprm!O1444="","",[1]totrevprm!O1444)</f>
        <v/>
      </c>
    </row>
    <row r="1445" spans="1:13">
      <c r="A1445" s="49" t="s">
        <v>64</v>
      </c>
      <c r="B1445" s="46" t="s">
        <v>807</v>
      </c>
      <c r="C1445" s="50"/>
      <c r="D1445" s="51">
        <v>2020</v>
      </c>
      <c r="E1445" s="52">
        <v>1324261962</v>
      </c>
      <c r="F1445" s="52">
        <v>1928873542</v>
      </c>
      <c r="G1445" s="52">
        <v>1690080284</v>
      </c>
      <c r="H1445" s="52">
        <v>847417</v>
      </c>
      <c r="I1445" s="54">
        <f t="shared" si="24"/>
        <v>4944063205</v>
      </c>
      <c r="J1445" s="56">
        <v>27377831</v>
      </c>
      <c r="K1445" s="60" t="s">
        <v>810</v>
      </c>
      <c r="L1445" t="s">
        <v>720</v>
      </c>
      <c r="M1445" s="38" t="str">
        <f>IF([1]totrevprm!O1445="","",[1]totrevprm!O1445)</f>
        <v/>
      </c>
    </row>
    <row r="1446" spans="1:13">
      <c r="A1446" s="49" t="s">
        <v>64</v>
      </c>
      <c r="B1446" s="46" t="s">
        <v>807</v>
      </c>
      <c r="C1446" s="50"/>
      <c r="D1446" s="51">
        <v>2021</v>
      </c>
      <c r="E1446" s="56">
        <v>1397602818</v>
      </c>
      <c r="F1446" s="56">
        <v>2174056620</v>
      </c>
      <c r="G1446" s="56">
        <v>1694231562</v>
      </c>
      <c r="H1446" s="56">
        <v>0</v>
      </c>
      <c r="I1446" s="54">
        <f t="shared" si="24"/>
        <v>5265891000</v>
      </c>
      <c r="J1446" s="56">
        <v>0</v>
      </c>
      <c r="K1446" s="60"/>
      <c r="L1446" t="s">
        <v>720</v>
      </c>
      <c r="M1446" s="38"/>
    </row>
    <row r="1447" spans="1:13">
      <c r="A1447" s="49" t="s">
        <v>64</v>
      </c>
      <c r="B1447" s="46" t="s">
        <v>807</v>
      </c>
      <c r="C1447" s="50"/>
      <c r="D1447" s="51">
        <v>2022</v>
      </c>
      <c r="E1447" s="56">
        <v>1435273160</v>
      </c>
      <c r="F1447" s="56">
        <v>2704678575</v>
      </c>
      <c r="G1447" s="56">
        <v>1769004726</v>
      </c>
      <c r="H1447" s="56">
        <v>0</v>
      </c>
      <c r="I1447" s="54">
        <f t="shared" si="24"/>
        <v>5908956461</v>
      </c>
      <c r="J1447" s="56">
        <v>0</v>
      </c>
      <c r="M1447" s="38" t="str">
        <f>IF([1]totrevprm!O1450="","",[1]totrevprm!O1450)</f>
        <v/>
      </c>
    </row>
    <row r="1448" spans="1:13">
      <c r="A1448" s="49" t="s">
        <v>64</v>
      </c>
      <c r="B1448" s="46" t="s">
        <v>807</v>
      </c>
      <c r="C1448" s="50"/>
      <c r="D1448" s="51">
        <v>2023</v>
      </c>
      <c r="E1448" s="56">
        <v>1456970088</v>
      </c>
      <c r="F1448" s="56">
        <v>3323101677.3895001</v>
      </c>
      <c r="G1448" s="56">
        <v>2008382724.4000001</v>
      </c>
      <c r="H1448" s="56">
        <v>0</v>
      </c>
      <c r="I1448" s="54">
        <f t="shared" si="24"/>
        <v>6788454489.7894993</v>
      </c>
      <c r="J1448" s="52">
        <v>0</v>
      </c>
      <c r="M1448" s="38"/>
    </row>
    <row r="1449" spans="1:13">
      <c r="A1449" s="49" t="s">
        <v>64</v>
      </c>
      <c r="B1449" s="46" t="s">
        <v>807</v>
      </c>
      <c r="C1449" s="50"/>
      <c r="D1449" s="57">
        <v>2024</v>
      </c>
      <c r="E1449" s="52">
        <v>1440916707.23</v>
      </c>
      <c r="F1449" s="52">
        <v>3873353850</v>
      </c>
      <c r="G1449" s="52">
        <v>2283956505.6999998</v>
      </c>
      <c r="H1449" s="52">
        <v>0</v>
      </c>
      <c r="I1449" s="54">
        <f t="shared" si="24"/>
        <v>7598227062.9299994</v>
      </c>
      <c r="J1449" s="56">
        <v>0</v>
      </c>
      <c r="M1449" s="38"/>
    </row>
    <row r="1450" spans="1:13">
      <c r="A1450" s="49"/>
      <c r="B1450" s="50"/>
      <c r="C1450" s="50"/>
      <c r="E1450" s="53"/>
      <c r="F1450" s="53"/>
      <c r="G1450" s="53"/>
      <c r="H1450" s="53"/>
      <c r="I1450" s="54"/>
      <c r="J1450" s="52"/>
      <c r="M1450" s="38"/>
    </row>
    <row r="1451" spans="1:13">
      <c r="A1451" s="49" t="s">
        <v>65</v>
      </c>
      <c r="B1451" s="46" t="s">
        <v>199</v>
      </c>
      <c r="C1451" s="50" t="s">
        <v>731</v>
      </c>
      <c r="D1451" s="51">
        <v>1988</v>
      </c>
      <c r="E1451" s="53">
        <v>2700343793</v>
      </c>
      <c r="F1451" s="53">
        <v>2724377425</v>
      </c>
      <c r="G1451" s="53">
        <v>1690553654</v>
      </c>
      <c r="H1451" s="53">
        <v>0</v>
      </c>
      <c r="I1451" s="54">
        <f t="shared" si="24"/>
        <v>7115274872</v>
      </c>
      <c r="J1451" s="52">
        <v>0</v>
      </c>
      <c r="M1451" s="38" t="str">
        <f>IF([1]totrevprm!O1451="","",[1]totrevprm!O1451)</f>
        <v/>
      </c>
    </row>
    <row r="1452" spans="1:13">
      <c r="A1452" s="49" t="s">
        <v>65</v>
      </c>
      <c r="B1452" s="46" t="s">
        <v>199</v>
      </c>
      <c r="C1452" s="50" t="s">
        <v>732</v>
      </c>
      <c r="D1452" s="51">
        <v>1989</v>
      </c>
      <c r="E1452" s="53">
        <v>2859921673</v>
      </c>
      <c r="F1452" s="53">
        <v>3506394627</v>
      </c>
      <c r="G1452" s="53">
        <v>1785997652</v>
      </c>
      <c r="H1452" s="53">
        <v>0</v>
      </c>
      <c r="I1452" s="54">
        <f t="shared" si="24"/>
        <v>8152313952</v>
      </c>
      <c r="J1452" s="52">
        <v>0</v>
      </c>
      <c r="M1452" s="38" t="str">
        <f>IF([1]totrevprm!O1452="","",[1]totrevprm!O1452)</f>
        <v/>
      </c>
    </row>
    <row r="1453" spans="1:13">
      <c r="A1453" s="49" t="s">
        <v>65</v>
      </c>
      <c r="B1453" s="46" t="s">
        <v>199</v>
      </c>
      <c r="C1453" s="50" t="s">
        <v>732</v>
      </c>
      <c r="D1453" s="51">
        <v>1990</v>
      </c>
      <c r="E1453" s="53">
        <v>3035490589</v>
      </c>
      <c r="F1453" s="53">
        <v>3622625730.4000001</v>
      </c>
      <c r="G1453" s="53">
        <v>1888296161</v>
      </c>
      <c r="H1453" s="53">
        <v>0</v>
      </c>
      <c r="I1453" s="54">
        <f t="shared" si="24"/>
        <v>8546412480.3999996</v>
      </c>
      <c r="J1453" s="52">
        <v>0</v>
      </c>
      <c r="M1453" s="38" t="str">
        <f>IF([1]totrevprm!O1453="","",[1]totrevprm!O1453)</f>
        <v/>
      </c>
    </row>
    <row r="1454" spans="1:13">
      <c r="A1454" s="49" t="s">
        <v>65</v>
      </c>
      <c r="B1454" s="46" t="s">
        <v>199</v>
      </c>
      <c r="C1454" s="50" t="s">
        <v>732</v>
      </c>
      <c r="D1454" s="51">
        <v>1991</v>
      </c>
      <c r="E1454" s="53">
        <v>3191579628</v>
      </c>
      <c r="F1454" s="53">
        <v>2821578406</v>
      </c>
      <c r="G1454" s="53">
        <v>1985179991</v>
      </c>
      <c r="H1454" s="53">
        <v>0</v>
      </c>
      <c r="I1454" s="54">
        <f t="shared" si="24"/>
        <v>7998338025</v>
      </c>
      <c r="J1454" s="52">
        <v>0</v>
      </c>
      <c r="M1454" s="38" t="str">
        <f>IF([1]totrevprm!O1454="","",[1]totrevprm!O1454)</f>
        <v/>
      </c>
    </row>
    <row r="1455" spans="1:13">
      <c r="A1455" s="49" t="s">
        <v>65</v>
      </c>
      <c r="B1455" s="46" t="s">
        <v>199</v>
      </c>
      <c r="C1455" s="50" t="s">
        <v>762</v>
      </c>
      <c r="D1455" s="51">
        <v>1992</v>
      </c>
      <c r="E1455" s="53">
        <v>3358538676</v>
      </c>
      <c r="F1455" s="53">
        <v>2438918555.1599998</v>
      </c>
      <c r="G1455" s="53">
        <v>2017525467</v>
      </c>
      <c r="H1455" s="53">
        <v>1628237584</v>
      </c>
      <c r="I1455" s="54">
        <f t="shared" si="24"/>
        <v>9443220282.1599998</v>
      </c>
      <c r="J1455" s="52">
        <v>0</v>
      </c>
      <c r="M1455" s="38" t="str">
        <f>IF([1]totrevprm!O1455="","",[1]totrevprm!O1455)</f>
        <v/>
      </c>
    </row>
    <row r="1456" spans="1:13">
      <c r="A1456" s="49" t="s">
        <v>65</v>
      </c>
      <c r="B1456" s="46" t="s">
        <v>199</v>
      </c>
      <c r="C1456" s="50" t="s">
        <v>732</v>
      </c>
      <c r="D1456" s="51">
        <v>1993</v>
      </c>
      <c r="E1456" s="53">
        <v>3578335954</v>
      </c>
      <c r="F1456" s="53">
        <v>2225973485</v>
      </c>
      <c r="G1456" s="53">
        <v>2117059165</v>
      </c>
      <c r="H1456" s="53">
        <v>1379394121</v>
      </c>
      <c r="I1456" s="54">
        <f t="shared" si="24"/>
        <v>9300762725</v>
      </c>
      <c r="J1456" s="52">
        <v>0</v>
      </c>
      <c r="M1456" s="38" t="str">
        <f>IF([1]totrevprm!O1456="","",[1]totrevprm!O1456)</f>
        <v/>
      </c>
    </row>
    <row r="1457" spans="1:13">
      <c r="A1457" s="49" t="s">
        <v>65</v>
      </c>
      <c r="B1457" s="46" t="s">
        <v>199</v>
      </c>
      <c r="C1457" s="50" t="s">
        <v>732</v>
      </c>
      <c r="D1457" s="51">
        <v>1994</v>
      </c>
      <c r="E1457" s="53">
        <v>3734032803</v>
      </c>
      <c r="F1457" s="53">
        <v>2530741767</v>
      </c>
      <c r="G1457" s="53">
        <v>2228943235</v>
      </c>
      <c r="H1457" s="53">
        <v>1369288162</v>
      </c>
      <c r="I1457" s="54">
        <f t="shared" si="24"/>
        <v>9863005967</v>
      </c>
      <c r="J1457" s="52">
        <v>0</v>
      </c>
      <c r="M1457" s="38" t="str">
        <f>IF([1]totrevprm!O1457="","",[1]totrevprm!O1457)</f>
        <v/>
      </c>
    </row>
    <row r="1458" spans="1:13">
      <c r="A1458" s="49" t="s">
        <v>65</v>
      </c>
      <c r="B1458" s="46" t="s">
        <v>199</v>
      </c>
      <c r="C1458" s="50" t="s">
        <v>732</v>
      </c>
      <c r="D1458" s="51">
        <v>1995</v>
      </c>
      <c r="E1458" s="53">
        <v>3790467592</v>
      </c>
      <c r="F1458" s="53">
        <v>2878497123</v>
      </c>
      <c r="G1458" s="53">
        <v>2354037821</v>
      </c>
      <c r="H1458" s="53">
        <v>1244507998</v>
      </c>
      <c r="I1458" s="54">
        <f t="shared" si="24"/>
        <v>10267510534</v>
      </c>
      <c r="J1458" s="52">
        <v>0</v>
      </c>
      <c r="M1458" s="38" t="str">
        <f>IF([1]totrevprm!O1458="","",[1]totrevprm!O1458)</f>
        <v/>
      </c>
    </row>
    <row r="1459" spans="1:13">
      <c r="A1459" s="49" t="s">
        <v>65</v>
      </c>
      <c r="B1459" s="46" t="s">
        <v>199</v>
      </c>
      <c r="C1459" s="50" t="s">
        <v>732</v>
      </c>
      <c r="D1459" s="51">
        <v>1996</v>
      </c>
      <c r="E1459" s="53">
        <v>3878535536</v>
      </c>
      <c r="F1459" s="53">
        <v>2375412080</v>
      </c>
      <c r="G1459" s="53">
        <v>2442567996</v>
      </c>
      <c r="H1459" s="53">
        <v>942485425</v>
      </c>
      <c r="I1459" s="54">
        <f t="shared" si="24"/>
        <v>9639001037</v>
      </c>
      <c r="J1459" s="52">
        <v>0</v>
      </c>
      <c r="M1459" s="38" t="str">
        <f>IF([1]totrevprm!O1459="","",[1]totrevprm!O1459)</f>
        <v/>
      </c>
    </row>
    <row r="1460" spans="1:13">
      <c r="A1460" s="49" t="s">
        <v>65</v>
      </c>
      <c r="B1460" s="46" t="s">
        <v>199</v>
      </c>
      <c r="C1460" s="50" t="s">
        <v>732</v>
      </c>
      <c r="D1460" s="51">
        <v>1997</v>
      </c>
      <c r="E1460" s="53">
        <v>4096755372</v>
      </c>
      <c r="F1460" s="53">
        <v>2561449089</v>
      </c>
      <c r="G1460" s="53">
        <v>3046664447</v>
      </c>
      <c r="H1460" s="53">
        <v>1121172513</v>
      </c>
      <c r="I1460" s="54">
        <f t="shared" si="24"/>
        <v>10826041421</v>
      </c>
      <c r="J1460" s="52">
        <v>0</v>
      </c>
      <c r="M1460" s="38" t="str">
        <f>IF([1]totrevprm!O1460="","",[1]totrevprm!O1460)</f>
        <v/>
      </c>
    </row>
    <row r="1461" spans="1:13">
      <c r="A1461" s="49" t="s">
        <v>65</v>
      </c>
      <c r="B1461" s="46" t="s">
        <v>199</v>
      </c>
      <c r="C1461" s="50" t="s">
        <v>732</v>
      </c>
      <c r="D1461" s="51">
        <v>1998</v>
      </c>
      <c r="E1461" s="53">
        <v>4404475350</v>
      </c>
      <c r="F1461" s="53">
        <v>2543399536</v>
      </c>
      <c r="G1461" s="53">
        <v>3807399187</v>
      </c>
      <c r="H1461" s="53">
        <v>1180688239</v>
      </c>
      <c r="I1461" s="54">
        <f t="shared" si="24"/>
        <v>11935962312</v>
      </c>
      <c r="J1461" s="52">
        <v>0</v>
      </c>
      <c r="M1461" s="38" t="str">
        <f>IF([1]totrevprm!O1461="","",[1]totrevprm!O1461)</f>
        <v/>
      </c>
    </row>
    <row r="1462" spans="1:13">
      <c r="A1462" s="49" t="s">
        <v>65</v>
      </c>
      <c r="B1462" s="46" t="s">
        <v>199</v>
      </c>
      <c r="C1462" s="50" t="s">
        <v>732</v>
      </c>
      <c r="D1462" s="51">
        <v>1999</v>
      </c>
      <c r="E1462" s="53">
        <v>3949231052</v>
      </c>
      <c r="F1462" s="53">
        <v>3219744087</v>
      </c>
      <c r="G1462" s="53">
        <v>4298497622</v>
      </c>
      <c r="H1462" s="53">
        <v>1691105187</v>
      </c>
      <c r="I1462" s="54">
        <f t="shared" si="24"/>
        <v>13158577948</v>
      </c>
      <c r="J1462" s="52">
        <v>0</v>
      </c>
      <c r="M1462" s="38" t="str">
        <f>IF([1]totrevprm!O1462="","",[1]totrevprm!O1462)</f>
        <v/>
      </c>
    </row>
    <row r="1463" spans="1:13">
      <c r="A1463" s="49" t="s">
        <v>65</v>
      </c>
      <c r="B1463" s="46" t="s">
        <v>199</v>
      </c>
      <c r="C1463" s="50" t="s">
        <v>732</v>
      </c>
      <c r="D1463" s="51">
        <v>2000</v>
      </c>
      <c r="E1463" s="53">
        <v>4065294184</v>
      </c>
      <c r="F1463" s="53">
        <v>4488726962</v>
      </c>
      <c r="G1463" s="53">
        <v>4761736114</v>
      </c>
      <c r="H1463" s="53">
        <v>2041018228</v>
      </c>
      <c r="I1463" s="54">
        <f t="shared" si="24"/>
        <v>15356775488</v>
      </c>
      <c r="J1463" s="52">
        <v>0</v>
      </c>
      <c r="M1463" s="38" t="str">
        <f>IF([1]totrevprm!O1463="","",[1]totrevprm!O1463)</f>
        <v/>
      </c>
    </row>
    <row r="1464" spans="1:13">
      <c r="A1464" s="49" t="s">
        <v>65</v>
      </c>
      <c r="B1464" s="46" t="s">
        <v>199</v>
      </c>
      <c r="C1464" s="50" t="s">
        <v>732</v>
      </c>
      <c r="D1464" s="51">
        <v>2001</v>
      </c>
      <c r="E1464" s="53">
        <v>4102437813</v>
      </c>
      <c r="F1464" s="53">
        <v>6056074057</v>
      </c>
      <c r="G1464" s="53">
        <v>5453565481</v>
      </c>
      <c r="H1464" s="53">
        <v>1279744383</v>
      </c>
      <c r="I1464" s="54">
        <f t="shared" si="24"/>
        <v>16891821734</v>
      </c>
      <c r="J1464" s="52">
        <v>0</v>
      </c>
      <c r="M1464" s="38" t="str">
        <f>IF([1]totrevprm!O1464="","",[1]totrevprm!O1464)</f>
        <v/>
      </c>
    </row>
    <row r="1465" spans="1:13">
      <c r="A1465" s="49" t="s">
        <v>65</v>
      </c>
      <c r="B1465" s="46" t="s">
        <v>199</v>
      </c>
      <c r="C1465" s="50" t="s">
        <v>732</v>
      </c>
      <c r="D1465" s="51">
        <v>2002</v>
      </c>
      <c r="E1465" s="53">
        <v>4241759312</v>
      </c>
      <c r="F1465" s="53">
        <v>7757730305</v>
      </c>
      <c r="G1465" s="53">
        <v>5423904037</v>
      </c>
      <c r="H1465" s="53">
        <v>886465132</v>
      </c>
      <c r="I1465" s="54">
        <f t="shared" si="24"/>
        <v>18309858786</v>
      </c>
      <c r="J1465" s="52">
        <v>0</v>
      </c>
      <c r="M1465" s="38" t="str">
        <f>IF([1]totrevprm!O1465="","",[1]totrevprm!O1465)</f>
        <v/>
      </c>
    </row>
    <row r="1466" spans="1:13">
      <c r="A1466" s="49" t="s">
        <v>65</v>
      </c>
      <c r="B1466" s="46" t="s">
        <v>199</v>
      </c>
      <c r="C1466" s="50" t="s">
        <v>732</v>
      </c>
      <c r="D1466" s="51">
        <v>2003</v>
      </c>
      <c r="E1466" s="55">
        <v>4283734618</v>
      </c>
      <c r="F1466" s="55">
        <v>6612923769</v>
      </c>
      <c r="G1466" s="55">
        <v>5454626329</v>
      </c>
      <c r="H1466" s="55">
        <v>1999372190</v>
      </c>
      <c r="I1466" s="54">
        <f t="shared" si="24"/>
        <v>18350656906</v>
      </c>
      <c r="J1466" s="52">
        <v>0</v>
      </c>
      <c r="M1466" s="38" t="str">
        <f>IF([1]totrevprm!O1466="","",[1]totrevprm!O1466)</f>
        <v/>
      </c>
    </row>
    <row r="1467" spans="1:13">
      <c r="A1467" s="49" t="s">
        <v>65</v>
      </c>
      <c r="B1467" s="46" t="s">
        <v>199</v>
      </c>
      <c r="C1467" s="50" t="s">
        <v>732</v>
      </c>
      <c r="D1467" s="51">
        <v>2004</v>
      </c>
      <c r="E1467" s="55">
        <v>4440999335</v>
      </c>
      <c r="F1467" s="55">
        <v>5576480544</v>
      </c>
      <c r="G1467" s="55">
        <v>6099829758</v>
      </c>
      <c r="H1467" s="55">
        <v>1689775776</v>
      </c>
      <c r="I1467" s="54">
        <f t="shared" si="24"/>
        <v>17807085413</v>
      </c>
      <c r="J1467" s="52">
        <v>0</v>
      </c>
      <c r="M1467" s="38" t="str">
        <f>IF([1]totrevprm!O1467="","",[1]totrevprm!O1467)</f>
        <v/>
      </c>
    </row>
    <row r="1468" spans="1:13">
      <c r="A1468" s="49" t="s">
        <v>65</v>
      </c>
      <c r="B1468" s="46" t="s">
        <v>199</v>
      </c>
      <c r="C1468" s="50"/>
      <c r="D1468" s="51">
        <v>2005</v>
      </c>
      <c r="E1468" s="55">
        <v>4483627399</v>
      </c>
      <c r="F1468" s="55">
        <v>5460271116</v>
      </c>
      <c r="G1468" s="55">
        <v>6311221044.0699902</v>
      </c>
      <c r="H1468" s="55">
        <v>1692178534</v>
      </c>
      <c r="I1468" s="54">
        <f t="shared" si="24"/>
        <v>17947298093.069992</v>
      </c>
      <c r="J1468" s="52">
        <v>0</v>
      </c>
      <c r="M1468" s="38" t="str">
        <f>IF([1]totrevprm!O1468="","",[1]totrevprm!O1468)</f>
        <v/>
      </c>
    </row>
    <row r="1469" spans="1:13">
      <c r="A1469" s="49" t="s">
        <v>65</v>
      </c>
      <c r="B1469" s="46" t="s">
        <v>199</v>
      </c>
      <c r="C1469" s="50"/>
      <c r="D1469" s="51">
        <v>2006</v>
      </c>
      <c r="E1469" s="56">
        <v>4768194250</v>
      </c>
      <c r="F1469" s="56">
        <v>6048284361</v>
      </c>
      <c r="G1469" s="56">
        <v>6921767748</v>
      </c>
      <c r="H1469" s="56">
        <v>1274331754</v>
      </c>
      <c r="I1469" s="54">
        <f t="shared" si="24"/>
        <v>19012578113</v>
      </c>
      <c r="J1469" s="52">
        <v>0</v>
      </c>
      <c r="M1469" s="38" t="str">
        <f>IF([1]totrevprm!O1469="","",[1]totrevprm!O1469)</f>
        <v/>
      </c>
    </row>
    <row r="1470" spans="1:13">
      <c r="A1470" s="49" t="s">
        <v>65</v>
      </c>
      <c r="B1470" s="46" t="s">
        <v>199</v>
      </c>
      <c r="C1470" s="50"/>
      <c r="D1470" s="51">
        <v>2007</v>
      </c>
      <c r="E1470" s="56">
        <v>5066977183</v>
      </c>
      <c r="F1470" s="56">
        <v>5466247689</v>
      </c>
      <c r="G1470" s="56">
        <v>9928397167</v>
      </c>
      <c r="H1470" s="56">
        <v>1261160193</v>
      </c>
      <c r="I1470" s="54">
        <f t="shared" si="24"/>
        <v>21722782232</v>
      </c>
      <c r="J1470" s="52">
        <v>0</v>
      </c>
      <c r="M1470" s="38" t="str">
        <f>IF([1]totrevprm!O1470="","",[1]totrevprm!O1470)</f>
        <v/>
      </c>
    </row>
    <row r="1471" spans="1:13">
      <c r="A1471" s="49" t="s">
        <v>65</v>
      </c>
      <c r="B1471" s="46" t="s">
        <v>199</v>
      </c>
      <c r="C1471" s="50"/>
      <c r="D1471" s="51">
        <v>2008</v>
      </c>
      <c r="E1471" s="56">
        <v>5205611810</v>
      </c>
      <c r="F1471" s="56">
        <v>7478753172</v>
      </c>
      <c r="G1471" s="56">
        <v>11184147263</v>
      </c>
      <c r="H1471" s="56">
        <v>1728321413</v>
      </c>
      <c r="I1471" s="54">
        <f t="shared" si="24"/>
        <v>25596833658</v>
      </c>
      <c r="J1471" s="52">
        <v>0</v>
      </c>
      <c r="M1471" s="38" t="str">
        <f>IF([1]totrevprm!O1471="","",[1]totrevprm!O1471)</f>
        <v/>
      </c>
    </row>
    <row r="1472" spans="1:13">
      <c r="A1472" s="49" t="s">
        <v>65</v>
      </c>
      <c r="B1472" s="46" t="s">
        <v>199</v>
      </c>
      <c r="C1472" s="50"/>
      <c r="D1472" s="51">
        <v>2009</v>
      </c>
      <c r="E1472" s="56">
        <v>5353285595</v>
      </c>
      <c r="F1472" s="56">
        <v>7676423343</v>
      </c>
      <c r="G1472" s="56">
        <v>11075676444</v>
      </c>
      <c r="H1472" s="56">
        <v>1281332384</v>
      </c>
      <c r="I1472" s="54">
        <f t="shared" si="24"/>
        <v>25386717766</v>
      </c>
      <c r="J1472" s="52">
        <v>0</v>
      </c>
      <c r="M1472" s="38" t="str">
        <f>IF([1]totrevprm!O1472="","",[1]totrevprm!O1472)</f>
        <v/>
      </c>
    </row>
    <row r="1473" spans="1:13">
      <c r="A1473" s="49" t="s">
        <v>65</v>
      </c>
      <c r="B1473" s="46" t="s">
        <v>199</v>
      </c>
      <c r="C1473" s="50"/>
      <c r="D1473" s="51">
        <v>2010</v>
      </c>
      <c r="E1473" s="56">
        <v>5636140327</v>
      </c>
      <c r="F1473" s="56">
        <v>7066633789</v>
      </c>
      <c r="G1473" s="56">
        <v>11650282301</v>
      </c>
      <c r="H1473" s="56">
        <v>1301573231</v>
      </c>
      <c r="I1473" s="54">
        <f t="shared" si="24"/>
        <v>25654629648</v>
      </c>
      <c r="J1473" s="52">
        <v>0</v>
      </c>
      <c r="M1473" s="38" t="str">
        <f>IF([1]totrevprm!O1473="","",[1]totrevprm!O1473)</f>
        <v/>
      </c>
    </row>
    <row r="1474" spans="1:13">
      <c r="A1474" s="49" t="s">
        <v>65</v>
      </c>
      <c r="B1474" s="46" t="s">
        <v>199</v>
      </c>
      <c r="C1474" s="50"/>
      <c r="D1474" s="51">
        <v>2011</v>
      </c>
      <c r="E1474" s="56">
        <v>5811507389</v>
      </c>
      <c r="F1474" s="56">
        <v>6596059850</v>
      </c>
      <c r="G1474" s="56">
        <v>12454795522.610001</v>
      </c>
      <c r="H1474" s="56">
        <v>1527433646</v>
      </c>
      <c r="I1474" s="54">
        <f t="shared" si="24"/>
        <v>26389796407.610001</v>
      </c>
      <c r="J1474" s="52">
        <v>0</v>
      </c>
      <c r="M1474" s="38" t="str">
        <f>IF([1]totrevprm!O1474="","",[1]totrevprm!O1474)</f>
        <v/>
      </c>
    </row>
    <row r="1475" spans="1:13">
      <c r="A1475" s="49" t="s">
        <v>65</v>
      </c>
      <c r="B1475" s="46" t="s">
        <v>199</v>
      </c>
      <c r="C1475" s="50"/>
      <c r="D1475" s="51">
        <v>2012</v>
      </c>
      <c r="E1475" s="56">
        <v>5990227116</v>
      </c>
      <c r="F1475" s="56">
        <v>7503416133</v>
      </c>
      <c r="G1475" s="56">
        <v>10664417471</v>
      </c>
      <c r="H1475" s="56">
        <v>3251184196</v>
      </c>
      <c r="I1475" s="54">
        <f t="shared" si="24"/>
        <v>27409244916</v>
      </c>
      <c r="J1475" s="52">
        <v>0</v>
      </c>
      <c r="M1475" s="38" t="str">
        <f>IF([1]totrevprm!O1475="","",[1]totrevprm!O1475)</f>
        <v/>
      </c>
    </row>
    <row r="1476" spans="1:13">
      <c r="A1476" s="49" t="s">
        <v>65</v>
      </c>
      <c r="B1476" s="46" t="s">
        <v>199</v>
      </c>
      <c r="C1476" s="50"/>
      <c r="D1476" s="51">
        <v>2013</v>
      </c>
      <c r="E1476" s="56">
        <v>5920112582</v>
      </c>
      <c r="F1476" s="56">
        <v>6720359304</v>
      </c>
      <c r="G1476" s="56">
        <v>10568395499</v>
      </c>
      <c r="H1476" s="56">
        <v>1869439380</v>
      </c>
      <c r="I1476" s="54">
        <f t="shared" si="24"/>
        <v>25078306765</v>
      </c>
      <c r="J1476" s="52">
        <v>0</v>
      </c>
      <c r="M1476" s="38" t="str">
        <f>IF([1]totrevprm!O1476="","",[1]totrevprm!O1476)</f>
        <v/>
      </c>
    </row>
    <row r="1477" spans="1:13">
      <c r="A1477" s="49" t="s">
        <v>65</v>
      </c>
      <c r="B1477" s="46" t="s">
        <v>199</v>
      </c>
      <c r="C1477" s="50"/>
      <c r="D1477" s="51">
        <v>2014</v>
      </c>
      <c r="E1477" s="56">
        <v>6025992624</v>
      </c>
      <c r="F1477" s="56">
        <v>7444443899</v>
      </c>
      <c r="G1477" s="56">
        <v>11939933948.51</v>
      </c>
      <c r="H1477" s="56">
        <v>1965205332</v>
      </c>
      <c r="I1477" s="54">
        <f t="shared" si="24"/>
        <v>27375575803.510002</v>
      </c>
      <c r="J1477" s="52">
        <v>0</v>
      </c>
      <c r="M1477" s="38" t="str">
        <f>IF([1]totrevprm!O1477="","",[1]totrevprm!O1477)</f>
        <v/>
      </c>
    </row>
    <row r="1478" spans="1:13">
      <c r="A1478" s="49" t="s">
        <v>65</v>
      </c>
      <c r="B1478" s="46" t="s">
        <v>199</v>
      </c>
      <c r="C1478" s="50"/>
      <c r="D1478" s="51">
        <v>2015</v>
      </c>
      <c r="E1478" s="56">
        <v>6193416685</v>
      </c>
      <c r="F1478" s="56">
        <v>8722631480</v>
      </c>
      <c r="G1478" s="56">
        <v>11286310241</v>
      </c>
      <c r="H1478" s="56">
        <v>1758356483</v>
      </c>
      <c r="I1478" s="54">
        <f t="shared" ref="I1478:I1543" si="25">SUM(E1478:H1478)</f>
        <v>27960714889</v>
      </c>
      <c r="J1478" s="52">
        <v>0</v>
      </c>
      <c r="M1478" s="38" t="str">
        <f>IF([1]totrevprm!O1478="","",[1]totrevprm!O1478)</f>
        <v/>
      </c>
    </row>
    <row r="1479" spans="1:13">
      <c r="A1479" s="49" t="s">
        <v>65</v>
      </c>
      <c r="B1479" s="46" t="s">
        <v>199</v>
      </c>
      <c r="C1479" s="50"/>
      <c r="D1479" s="51">
        <v>2016</v>
      </c>
      <c r="E1479" s="56">
        <v>6247803734</v>
      </c>
      <c r="F1479" s="56">
        <v>9678768629</v>
      </c>
      <c r="G1479" s="56">
        <v>11239573035</v>
      </c>
      <c r="H1479" s="56">
        <v>2287592791</v>
      </c>
      <c r="I1479" s="54">
        <f t="shared" si="25"/>
        <v>29453738189</v>
      </c>
      <c r="J1479" s="52">
        <v>0</v>
      </c>
      <c r="M1479" s="38" t="str">
        <f>IF([1]totrevprm!O1479="","",[1]totrevprm!O1479)</f>
        <v/>
      </c>
    </row>
    <row r="1480" spans="1:13">
      <c r="A1480" s="49" t="s">
        <v>65</v>
      </c>
      <c r="B1480" s="46" t="s">
        <v>199</v>
      </c>
      <c r="C1480" s="50"/>
      <c r="D1480" s="51">
        <v>2017</v>
      </c>
      <c r="E1480" s="56">
        <v>6630297791</v>
      </c>
      <c r="F1480" s="56">
        <v>9777477685</v>
      </c>
      <c r="G1480" s="56">
        <v>11505315821.040001</v>
      </c>
      <c r="H1480" s="56">
        <v>1919229945</v>
      </c>
      <c r="I1480" s="54">
        <f t="shared" si="25"/>
        <v>29832321242.040001</v>
      </c>
      <c r="J1480" s="52">
        <v>0</v>
      </c>
      <c r="M1480" s="38" t="str">
        <f>IF([1]totrevprm!O1480="","",[1]totrevprm!O1480)</f>
        <v/>
      </c>
    </row>
    <row r="1481" spans="1:13">
      <c r="A1481" s="49" t="s">
        <v>65</v>
      </c>
      <c r="B1481" s="46" t="s">
        <v>199</v>
      </c>
      <c r="C1481" s="50"/>
      <c r="D1481" s="51">
        <v>2018</v>
      </c>
      <c r="E1481" s="56">
        <v>6398270156</v>
      </c>
      <c r="F1481" s="56">
        <v>10970446601</v>
      </c>
      <c r="G1481" s="56">
        <v>9542176688.2099991</v>
      </c>
      <c r="H1481" s="56">
        <v>1833910736</v>
      </c>
      <c r="I1481" s="54">
        <f t="shared" si="25"/>
        <v>28744804181.209999</v>
      </c>
      <c r="J1481" s="56">
        <v>0</v>
      </c>
      <c r="M1481" s="38" t="str">
        <f>IF([1]totrevprm!O1481="","",[1]totrevprm!O1481)</f>
        <v/>
      </c>
    </row>
    <row r="1482" spans="1:13">
      <c r="A1482" s="49" t="s">
        <v>65</v>
      </c>
      <c r="B1482" s="46" t="s">
        <v>199</v>
      </c>
      <c r="C1482" s="50"/>
      <c r="D1482" s="51">
        <v>2019</v>
      </c>
      <c r="E1482" s="56">
        <v>6650197126</v>
      </c>
      <c r="F1482" s="56">
        <v>11744479848</v>
      </c>
      <c r="G1482" s="56">
        <v>8593322267.0391006</v>
      </c>
      <c r="H1482" s="56">
        <v>2667443114</v>
      </c>
      <c r="I1482" s="54">
        <f t="shared" si="25"/>
        <v>29655442355.039101</v>
      </c>
      <c r="J1482" s="56">
        <v>0</v>
      </c>
      <c r="M1482" s="38" t="str">
        <f>IF([1]totrevprm!O1482="","",[1]totrevprm!O1482)</f>
        <v/>
      </c>
    </row>
    <row r="1483" spans="1:13">
      <c r="A1483" s="49" t="s">
        <v>65</v>
      </c>
      <c r="B1483" s="46" t="s">
        <v>199</v>
      </c>
      <c r="C1483" s="50"/>
      <c r="D1483" s="51">
        <v>2020</v>
      </c>
      <c r="E1483" s="56">
        <v>6535126188</v>
      </c>
      <c r="F1483" s="56">
        <v>12427758540</v>
      </c>
      <c r="G1483" s="56">
        <v>19384074582</v>
      </c>
      <c r="H1483" s="56">
        <v>2181294123</v>
      </c>
      <c r="I1483" s="54">
        <f t="shared" si="25"/>
        <v>40528253433</v>
      </c>
      <c r="J1483" s="56">
        <v>0</v>
      </c>
      <c r="K1483" s="61" t="s">
        <v>763</v>
      </c>
      <c r="L1483" t="s">
        <v>720</v>
      </c>
      <c r="M1483" s="38" t="str">
        <f>IF([1]totrevprm!O1483="","",[1]totrevprm!O1483)</f>
        <v>Yes</v>
      </c>
    </row>
    <row r="1484" spans="1:13">
      <c r="A1484" s="49" t="s">
        <v>65</v>
      </c>
      <c r="B1484" s="46" t="s">
        <v>199</v>
      </c>
      <c r="C1484" s="50"/>
      <c r="D1484" s="51">
        <v>2021</v>
      </c>
      <c r="E1484" s="56">
        <v>7107255939</v>
      </c>
      <c r="F1484" s="56">
        <v>14387132519</v>
      </c>
      <c r="G1484" s="56">
        <v>18738444265.279999</v>
      </c>
      <c r="H1484" s="56">
        <v>367952611</v>
      </c>
      <c r="I1484" s="54">
        <f t="shared" si="25"/>
        <v>40600785334.279999</v>
      </c>
      <c r="J1484" s="56">
        <v>0</v>
      </c>
      <c r="K1484" s="61" t="s">
        <v>739</v>
      </c>
      <c r="L1484" t="s">
        <v>720</v>
      </c>
      <c r="M1484" s="38"/>
    </row>
    <row r="1485" spans="1:13">
      <c r="A1485" s="49" t="s">
        <v>65</v>
      </c>
      <c r="B1485" s="46" t="s">
        <v>199</v>
      </c>
      <c r="C1485" s="50"/>
      <c r="D1485" s="51">
        <v>2022</v>
      </c>
      <c r="E1485" s="56">
        <v>6976658713</v>
      </c>
      <c r="F1485" s="56">
        <v>17302035778</v>
      </c>
      <c r="G1485" s="56">
        <v>18817287009</v>
      </c>
      <c r="H1485" s="56">
        <v>379327126</v>
      </c>
      <c r="I1485" s="54">
        <f t="shared" si="25"/>
        <v>43475308626</v>
      </c>
      <c r="J1485" s="56">
        <v>0</v>
      </c>
      <c r="K1485" s="61" t="s">
        <v>739</v>
      </c>
      <c r="L1485" t="s">
        <v>720</v>
      </c>
      <c r="M1485" s="38" t="str">
        <f>IF([1]totrevprm!O1488="","",[1]totrevprm!O1488)</f>
        <v/>
      </c>
    </row>
    <row r="1486" spans="1:13">
      <c r="A1486" s="49" t="s">
        <v>65</v>
      </c>
      <c r="B1486" s="46" t="s">
        <v>199</v>
      </c>
      <c r="C1486" s="50"/>
      <c r="D1486" s="51">
        <v>2023</v>
      </c>
      <c r="E1486" s="56">
        <v>7005773306</v>
      </c>
      <c r="F1486" s="56">
        <v>22349661954.8922</v>
      </c>
      <c r="G1486" s="56">
        <v>19076659496.074402</v>
      </c>
      <c r="H1486" s="56">
        <v>198723243</v>
      </c>
      <c r="I1486" s="54">
        <f t="shared" si="25"/>
        <v>48630817999.966599</v>
      </c>
      <c r="J1486" s="52">
        <v>0</v>
      </c>
      <c r="K1486" s="61" t="s">
        <v>739</v>
      </c>
      <c r="M1486" s="38"/>
    </row>
    <row r="1487" spans="1:13">
      <c r="A1487" s="49" t="s">
        <v>65</v>
      </c>
      <c r="B1487" s="46" t="s">
        <v>199</v>
      </c>
      <c r="C1487" s="50"/>
      <c r="D1487" s="57">
        <v>2024</v>
      </c>
      <c r="E1487" s="52">
        <v>7057344337.1700001</v>
      </c>
      <c r="F1487" s="52">
        <v>24413444782.599998</v>
      </c>
      <c r="G1487" s="52">
        <v>20273023244.160099</v>
      </c>
      <c r="H1487" s="52">
        <v>251475992.59</v>
      </c>
      <c r="I1487" s="54">
        <f t="shared" si="25"/>
        <v>51995288356.520096</v>
      </c>
      <c r="J1487" s="56">
        <v>0</v>
      </c>
      <c r="K1487" s="61" t="s">
        <v>739</v>
      </c>
      <c r="M1487" s="38"/>
    </row>
    <row r="1488" spans="1:13">
      <c r="A1488" s="49"/>
      <c r="B1488" s="50"/>
      <c r="C1488" s="50"/>
      <c r="E1488" s="53"/>
      <c r="F1488" s="53"/>
      <c r="G1488" s="53"/>
      <c r="H1488" s="53"/>
      <c r="I1488" s="54"/>
      <c r="J1488" s="52"/>
      <c r="M1488" s="38"/>
    </row>
    <row r="1489" spans="1:13">
      <c r="A1489" s="49" t="s">
        <v>66</v>
      </c>
      <c r="B1489" s="46" t="s">
        <v>811</v>
      </c>
      <c r="C1489" s="50" t="s">
        <v>731</v>
      </c>
      <c r="D1489" s="51">
        <v>1988</v>
      </c>
      <c r="E1489" s="53">
        <v>202599488</v>
      </c>
      <c r="F1489" s="53">
        <v>25279811</v>
      </c>
      <c r="G1489" s="53">
        <v>425612159</v>
      </c>
      <c r="H1489" s="53">
        <v>0</v>
      </c>
      <c r="I1489" s="54">
        <f t="shared" si="25"/>
        <v>653491458</v>
      </c>
      <c r="J1489" s="52">
        <v>0</v>
      </c>
      <c r="M1489" s="38" t="str">
        <f>IF([1]totrevprm!O1489="","",[1]totrevprm!O1489)</f>
        <v/>
      </c>
    </row>
    <row r="1490" spans="1:13">
      <c r="A1490" s="49" t="s">
        <v>66</v>
      </c>
      <c r="B1490" s="46" t="s">
        <v>811</v>
      </c>
      <c r="C1490" s="50" t="s">
        <v>732</v>
      </c>
      <c r="D1490" s="51">
        <v>1989</v>
      </c>
      <c r="E1490" s="53">
        <v>208835315</v>
      </c>
      <c r="F1490" s="53">
        <v>39507260</v>
      </c>
      <c r="G1490" s="53">
        <v>459918822</v>
      </c>
      <c r="H1490" s="53">
        <v>0</v>
      </c>
      <c r="I1490" s="54">
        <f t="shared" si="25"/>
        <v>708261397</v>
      </c>
      <c r="J1490" s="52">
        <v>0</v>
      </c>
      <c r="M1490" s="38" t="str">
        <f>IF([1]totrevprm!O1490="","",[1]totrevprm!O1490)</f>
        <v/>
      </c>
    </row>
    <row r="1491" spans="1:13">
      <c r="A1491" s="49" t="s">
        <v>66</v>
      </c>
      <c r="B1491" s="46" t="s">
        <v>811</v>
      </c>
      <c r="C1491" s="50" t="s">
        <v>732</v>
      </c>
      <c r="D1491" s="51">
        <v>1990</v>
      </c>
      <c r="E1491" s="53">
        <v>218158248</v>
      </c>
      <c r="F1491" s="53">
        <v>44600135.520000003</v>
      </c>
      <c r="G1491" s="53">
        <v>491454195</v>
      </c>
      <c r="H1491" s="53">
        <v>0</v>
      </c>
      <c r="I1491" s="54">
        <f t="shared" si="25"/>
        <v>754212578.51999998</v>
      </c>
      <c r="J1491" s="52">
        <v>0</v>
      </c>
      <c r="M1491" s="38" t="str">
        <f>IF([1]totrevprm!O1491="","",[1]totrevprm!O1491)</f>
        <v/>
      </c>
    </row>
    <row r="1492" spans="1:13">
      <c r="A1492" s="49" t="s">
        <v>66</v>
      </c>
      <c r="B1492" s="46" t="s">
        <v>811</v>
      </c>
      <c r="C1492" s="50" t="s">
        <v>732</v>
      </c>
      <c r="D1492" s="51">
        <v>1991</v>
      </c>
      <c r="E1492" s="53">
        <v>219457003</v>
      </c>
      <c r="F1492" s="53">
        <v>48510553</v>
      </c>
      <c r="G1492" s="53">
        <v>493779178</v>
      </c>
      <c r="H1492" s="53">
        <v>0</v>
      </c>
      <c r="I1492" s="54">
        <f t="shared" si="25"/>
        <v>761746734</v>
      </c>
      <c r="J1492" s="52">
        <v>0</v>
      </c>
      <c r="M1492" s="38" t="str">
        <f>IF([1]totrevprm!O1492="","",[1]totrevprm!O1492)</f>
        <v/>
      </c>
    </row>
    <row r="1493" spans="1:13">
      <c r="A1493" s="49" t="s">
        <v>66</v>
      </c>
      <c r="B1493" s="46" t="s">
        <v>811</v>
      </c>
      <c r="C1493" s="50" t="s">
        <v>732</v>
      </c>
      <c r="D1493" s="51">
        <v>1992</v>
      </c>
      <c r="E1493" s="53">
        <v>242057864</v>
      </c>
      <c r="F1493" s="53">
        <v>68159460.200000003</v>
      </c>
      <c r="G1493" s="53">
        <v>488694921</v>
      </c>
      <c r="H1493" s="53">
        <v>0</v>
      </c>
      <c r="I1493" s="54">
        <f t="shared" si="25"/>
        <v>798912245.20000005</v>
      </c>
      <c r="J1493" s="52">
        <v>0</v>
      </c>
      <c r="M1493" s="38" t="str">
        <f>IF([1]totrevprm!O1493="","",[1]totrevprm!O1493)</f>
        <v/>
      </c>
    </row>
    <row r="1494" spans="1:13">
      <c r="A1494" s="49" t="s">
        <v>66</v>
      </c>
      <c r="B1494" s="46" t="s">
        <v>811</v>
      </c>
      <c r="C1494" s="50" t="s">
        <v>732</v>
      </c>
      <c r="D1494" s="51">
        <v>1993</v>
      </c>
      <c r="E1494" s="53">
        <v>243162226</v>
      </c>
      <c r="F1494" s="53">
        <v>46009753</v>
      </c>
      <c r="G1494" s="53">
        <v>516131878</v>
      </c>
      <c r="H1494" s="53">
        <v>0</v>
      </c>
      <c r="I1494" s="54">
        <f t="shared" si="25"/>
        <v>805303857</v>
      </c>
      <c r="J1494" s="52">
        <v>0</v>
      </c>
      <c r="M1494" s="38" t="str">
        <f>IF([1]totrevprm!O1494="","",[1]totrevprm!O1494)</f>
        <v/>
      </c>
    </row>
    <row r="1495" spans="1:13">
      <c r="A1495" s="49" t="s">
        <v>66</v>
      </c>
      <c r="B1495" s="46" t="s">
        <v>811</v>
      </c>
      <c r="C1495" s="50" t="s">
        <v>732</v>
      </c>
      <c r="D1495" s="51">
        <v>1994</v>
      </c>
      <c r="E1495" s="53">
        <v>273209720</v>
      </c>
      <c r="F1495" s="53">
        <v>61908792</v>
      </c>
      <c r="G1495" s="53">
        <v>547843632</v>
      </c>
      <c r="H1495" s="53">
        <v>0</v>
      </c>
      <c r="I1495" s="54">
        <f t="shared" si="25"/>
        <v>882962144</v>
      </c>
      <c r="J1495" s="52">
        <v>0</v>
      </c>
      <c r="M1495" s="38" t="str">
        <f>IF([1]totrevprm!O1495="","",[1]totrevprm!O1495)</f>
        <v/>
      </c>
    </row>
    <row r="1496" spans="1:13">
      <c r="A1496" s="49" t="s">
        <v>66</v>
      </c>
      <c r="B1496" s="46" t="s">
        <v>811</v>
      </c>
      <c r="C1496" s="50" t="s">
        <v>732</v>
      </c>
      <c r="D1496" s="51">
        <v>1995</v>
      </c>
      <c r="E1496" s="53">
        <v>273978756</v>
      </c>
      <c r="F1496" s="53">
        <v>51075560</v>
      </c>
      <c r="G1496" s="53">
        <v>677006797</v>
      </c>
      <c r="H1496" s="53">
        <v>0</v>
      </c>
      <c r="I1496" s="54">
        <f t="shared" si="25"/>
        <v>1002061113</v>
      </c>
      <c r="J1496" s="52">
        <v>0</v>
      </c>
      <c r="M1496" s="38" t="str">
        <f>IF([1]totrevprm!O1496="","",[1]totrevprm!O1496)</f>
        <v/>
      </c>
    </row>
    <row r="1497" spans="1:13">
      <c r="A1497" s="49" t="s">
        <v>66</v>
      </c>
      <c r="B1497" s="46" t="s">
        <v>811</v>
      </c>
      <c r="C1497" s="50" t="s">
        <v>732</v>
      </c>
      <c r="D1497" s="51">
        <v>1996</v>
      </c>
      <c r="E1497" s="53">
        <v>321962959</v>
      </c>
      <c r="F1497" s="53">
        <v>60907369</v>
      </c>
      <c r="G1497" s="53">
        <v>863693287</v>
      </c>
      <c r="H1497" s="53">
        <v>0</v>
      </c>
      <c r="I1497" s="54">
        <f t="shared" si="25"/>
        <v>1246563615</v>
      </c>
      <c r="J1497" s="52">
        <v>0</v>
      </c>
      <c r="M1497" s="38" t="str">
        <f>IF([1]totrevprm!O1497="","",[1]totrevprm!O1497)</f>
        <v/>
      </c>
    </row>
    <row r="1498" spans="1:13">
      <c r="A1498" s="49" t="s">
        <v>66</v>
      </c>
      <c r="B1498" s="46" t="s">
        <v>811</v>
      </c>
      <c r="C1498" s="50" t="s">
        <v>732</v>
      </c>
      <c r="D1498" s="51">
        <v>1997</v>
      </c>
      <c r="E1498" s="53">
        <v>318651746</v>
      </c>
      <c r="F1498" s="53">
        <v>57572959</v>
      </c>
      <c r="G1498" s="53">
        <v>942379370</v>
      </c>
      <c r="H1498" s="53">
        <v>0</v>
      </c>
      <c r="I1498" s="54">
        <f t="shared" si="25"/>
        <v>1318604075</v>
      </c>
      <c r="J1498" s="52">
        <v>0</v>
      </c>
      <c r="M1498" s="38" t="str">
        <f>IF([1]totrevprm!O1498="","",[1]totrevprm!O1498)</f>
        <v/>
      </c>
    </row>
    <row r="1499" spans="1:13">
      <c r="A1499" s="49" t="s">
        <v>66</v>
      </c>
      <c r="B1499" s="46" t="s">
        <v>811</v>
      </c>
      <c r="C1499" s="50" t="s">
        <v>732</v>
      </c>
      <c r="D1499" s="51">
        <v>1998</v>
      </c>
      <c r="E1499" s="53">
        <v>315930532</v>
      </c>
      <c r="F1499" s="53">
        <v>50426968</v>
      </c>
      <c r="G1499" s="53">
        <v>1026175813</v>
      </c>
      <c r="H1499" s="53">
        <v>0</v>
      </c>
      <c r="I1499" s="54">
        <f t="shared" si="25"/>
        <v>1392533313</v>
      </c>
      <c r="J1499" s="52">
        <v>0</v>
      </c>
      <c r="M1499" s="38" t="str">
        <f>IF([1]totrevprm!O1499="","",[1]totrevprm!O1499)</f>
        <v/>
      </c>
    </row>
    <row r="1500" spans="1:13">
      <c r="A1500" s="49" t="s">
        <v>66</v>
      </c>
      <c r="B1500" s="46" t="s">
        <v>811</v>
      </c>
      <c r="C1500" s="50" t="s">
        <v>732</v>
      </c>
      <c r="D1500" s="51">
        <v>1999</v>
      </c>
      <c r="E1500" s="53">
        <v>299651540</v>
      </c>
      <c r="F1500" s="53">
        <v>78385779</v>
      </c>
      <c r="G1500" s="53">
        <v>1506890561</v>
      </c>
      <c r="H1500" s="53">
        <v>0</v>
      </c>
      <c r="I1500" s="54">
        <f t="shared" si="25"/>
        <v>1884927880</v>
      </c>
      <c r="J1500" s="52">
        <v>0</v>
      </c>
      <c r="M1500" s="38" t="str">
        <f>IF([1]totrevprm!O1500="","",[1]totrevprm!O1500)</f>
        <v/>
      </c>
    </row>
    <row r="1501" spans="1:13">
      <c r="A1501" s="49" t="s">
        <v>66</v>
      </c>
      <c r="B1501" s="46" t="s">
        <v>811</v>
      </c>
      <c r="C1501" s="50" t="s">
        <v>732</v>
      </c>
      <c r="D1501" s="51">
        <v>2000</v>
      </c>
      <c r="E1501" s="53">
        <v>305819949</v>
      </c>
      <c r="F1501" s="53">
        <v>117061021</v>
      </c>
      <c r="G1501" s="53">
        <v>1327409479</v>
      </c>
      <c r="H1501" s="53">
        <v>0</v>
      </c>
      <c r="I1501" s="54">
        <f t="shared" si="25"/>
        <v>1750290449</v>
      </c>
      <c r="J1501" s="52">
        <v>0</v>
      </c>
      <c r="M1501" s="38" t="str">
        <f>IF([1]totrevprm!O1501="","",[1]totrevprm!O1501)</f>
        <v/>
      </c>
    </row>
    <row r="1502" spans="1:13">
      <c r="A1502" s="49" t="s">
        <v>66</v>
      </c>
      <c r="B1502" s="46" t="s">
        <v>811</v>
      </c>
      <c r="C1502" s="50" t="s">
        <v>732</v>
      </c>
      <c r="D1502" s="51">
        <v>2001</v>
      </c>
      <c r="E1502" s="53">
        <v>344030482</v>
      </c>
      <c r="F1502" s="53">
        <v>94209655</v>
      </c>
      <c r="G1502" s="53">
        <v>2000429756</v>
      </c>
      <c r="H1502" s="53">
        <v>0</v>
      </c>
      <c r="I1502" s="54">
        <f t="shared" si="25"/>
        <v>2438669893</v>
      </c>
      <c r="J1502" s="52">
        <v>0</v>
      </c>
      <c r="M1502" s="38" t="str">
        <f>IF([1]totrevprm!O1502="","",[1]totrevprm!O1502)</f>
        <v/>
      </c>
    </row>
    <row r="1503" spans="1:13">
      <c r="A1503" s="49" t="s">
        <v>66</v>
      </c>
      <c r="B1503" s="46" t="s">
        <v>811</v>
      </c>
      <c r="C1503" s="50" t="s">
        <v>732</v>
      </c>
      <c r="D1503" s="51">
        <v>2002</v>
      </c>
      <c r="E1503" s="53">
        <v>326152465</v>
      </c>
      <c r="F1503" s="53">
        <v>157812085</v>
      </c>
      <c r="G1503" s="53">
        <v>1805219153</v>
      </c>
      <c r="H1503" s="53">
        <v>0</v>
      </c>
      <c r="I1503" s="54">
        <f t="shared" si="25"/>
        <v>2289183703</v>
      </c>
      <c r="J1503" s="52">
        <v>0</v>
      </c>
      <c r="M1503" s="38" t="str">
        <f>IF([1]totrevprm!O1503="","",[1]totrevprm!O1503)</f>
        <v/>
      </c>
    </row>
    <row r="1504" spans="1:13">
      <c r="A1504" s="49" t="s">
        <v>66</v>
      </c>
      <c r="B1504" s="46" t="s">
        <v>811</v>
      </c>
      <c r="C1504" s="50" t="s">
        <v>732</v>
      </c>
      <c r="D1504" s="51">
        <v>2003</v>
      </c>
      <c r="E1504" s="55">
        <v>342246780</v>
      </c>
      <c r="F1504" s="55">
        <v>157781808</v>
      </c>
      <c r="G1504" s="55">
        <v>1829094568</v>
      </c>
      <c r="H1504" s="53">
        <v>0</v>
      </c>
      <c r="I1504" s="54">
        <f t="shared" si="25"/>
        <v>2329123156</v>
      </c>
      <c r="J1504" s="52">
        <v>0</v>
      </c>
      <c r="M1504" s="38" t="str">
        <f>IF([1]totrevprm!O1504="","",[1]totrevprm!O1504)</f>
        <v/>
      </c>
    </row>
    <row r="1505" spans="1:13">
      <c r="A1505" s="49" t="s">
        <v>66</v>
      </c>
      <c r="B1505" s="46" t="s">
        <v>811</v>
      </c>
      <c r="C1505" s="50" t="s">
        <v>732</v>
      </c>
      <c r="D1505" s="51">
        <v>2004</v>
      </c>
      <c r="E1505" s="55">
        <v>358055028</v>
      </c>
      <c r="F1505" s="55">
        <v>134095632</v>
      </c>
      <c r="G1505" s="55">
        <v>1920507213</v>
      </c>
      <c r="H1505" s="53">
        <v>0</v>
      </c>
      <c r="I1505" s="54">
        <f t="shared" si="25"/>
        <v>2412657873</v>
      </c>
      <c r="J1505" s="52">
        <v>0</v>
      </c>
      <c r="M1505" s="38" t="str">
        <f>IF([1]totrevprm!O1505="","",[1]totrevprm!O1505)</f>
        <v/>
      </c>
    </row>
    <row r="1506" spans="1:13">
      <c r="A1506" s="49" t="s">
        <v>66</v>
      </c>
      <c r="B1506" s="46" t="s">
        <v>811</v>
      </c>
      <c r="C1506" s="50"/>
      <c r="D1506" s="51">
        <v>2005</v>
      </c>
      <c r="E1506" s="55">
        <v>384344050</v>
      </c>
      <c r="F1506" s="55">
        <v>116205874</v>
      </c>
      <c r="G1506" s="55">
        <v>2126705528.4000001</v>
      </c>
      <c r="H1506" s="53">
        <v>0</v>
      </c>
      <c r="I1506" s="54">
        <f t="shared" si="25"/>
        <v>2627255452.4000001</v>
      </c>
      <c r="J1506" s="52">
        <v>0</v>
      </c>
      <c r="M1506" s="38" t="str">
        <f>IF([1]totrevprm!O1506="","",[1]totrevprm!O1506)</f>
        <v/>
      </c>
    </row>
    <row r="1507" spans="1:13">
      <c r="A1507" s="49" t="s">
        <v>66</v>
      </c>
      <c r="B1507" s="46" t="s">
        <v>811</v>
      </c>
      <c r="C1507" s="50"/>
      <c r="D1507" s="51">
        <v>2006</v>
      </c>
      <c r="E1507" s="56">
        <v>394855050</v>
      </c>
      <c r="F1507" s="56">
        <v>147589799</v>
      </c>
      <c r="G1507" s="56">
        <v>2322285870</v>
      </c>
      <c r="H1507" s="56">
        <v>0</v>
      </c>
      <c r="I1507" s="54">
        <f t="shared" si="25"/>
        <v>2864730719</v>
      </c>
      <c r="J1507" s="52">
        <v>0</v>
      </c>
      <c r="M1507" s="38" t="str">
        <f>IF([1]totrevprm!O1507="","",[1]totrevprm!O1507)</f>
        <v/>
      </c>
    </row>
    <row r="1508" spans="1:13">
      <c r="A1508" s="49" t="s">
        <v>66</v>
      </c>
      <c r="B1508" s="46" t="s">
        <v>811</v>
      </c>
      <c r="C1508" s="50"/>
      <c r="D1508" s="51">
        <v>2007</v>
      </c>
      <c r="E1508" s="56">
        <v>408813039</v>
      </c>
      <c r="F1508" s="56">
        <v>191221562</v>
      </c>
      <c r="G1508" s="56">
        <v>2038007707</v>
      </c>
      <c r="H1508" s="56">
        <v>0</v>
      </c>
      <c r="I1508" s="54">
        <f t="shared" si="25"/>
        <v>2638042308</v>
      </c>
      <c r="J1508" s="52">
        <v>0</v>
      </c>
      <c r="M1508" s="38" t="str">
        <f>IF([1]totrevprm!O1508="","",[1]totrevprm!O1508)</f>
        <v/>
      </c>
    </row>
    <row r="1509" spans="1:13">
      <c r="A1509" s="49" t="s">
        <v>66</v>
      </c>
      <c r="B1509" s="46" t="s">
        <v>811</v>
      </c>
      <c r="C1509" s="50"/>
      <c r="D1509" s="51">
        <v>2008</v>
      </c>
      <c r="E1509" s="56">
        <v>402682405</v>
      </c>
      <c r="F1509" s="56">
        <v>158372547</v>
      </c>
      <c r="G1509" s="56">
        <v>2330915530</v>
      </c>
      <c r="H1509" s="56">
        <v>0</v>
      </c>
      <c r="I1509" s="54">
        <f t="shared" si="25"/>
        <v>2891970482</v>
      </c>
      <c r="J1509" s="52">
        <v>0</v>
      </c>
      <c r="M1509" s="38" t="str">
        <f>IF([1]totrevprm!O1509="","",[1]totrevprm!O1509)</f>
        <v/>
      </c>
    </row>
    <row r="1510" spans="1:13">
      <c r="A1510" s="49" t="s">
        <v>66</v>
      </c>
      <c r="B1510" s="46" t="s">
        <v>811</v>
      </c>
      <c r="C1510" s="50"/>
      <c r="D1510" s="51">
        <v>2009</v>
      </c>
      <c r="E1510" s="56">
        <v>428037026</v>
      </c>
      <c r="F1510" s="56">
        <v>255175425</v>
      </c>
      <c r="G1510" s="56">
        <v>2354225388</v>
      </c>
      <c r="H1510" s="56">
        <v>0</v>
      </c>
      <c r="I1510" s="54">
        <f t="shared" si="25"/>
        <v>3037437839</v>
      </c>
      <c r="J1510" s="52">
        <v>0</v>
      </c>
      <c r="M1510" s="38" t="str">
        <f>IF([1]totrevprm!O1510="","",[1]totrevprm!O1510)</f>
        <v/>
      </c>
    </row>
    <row r="1511" spans="1:13">
      <c r="A1511" s="49" t="s">
        <v>66</v>
      </c>
      <c r="B1511" s="46" t="s">
        <v>811</v>
      </c>
      <c r="C1511" s="50"/>
      <c r="D1511" s="51">
        <v>2010</v>
      </c>
      <c r="E1511" s="56">
        <v>424510764</v>
      </c>
      <c r="F1511" s="56">
        <v>272500504</v>
      </c>
      <c r="G1511" s="56">
        <v>2325814622</v>
      </c>
      <c r="H1511" s="56">
        <v>0</v>
      </c>
      <c r="I1511" s="54">
        <f t="shared" si="25"/>
        <v>3022825890</v>
      </c>
      <c r="J1511" s="52">
        <v>0</v>
      </c>
      <c r="M1511" s="38" t="str">
        <f>IF([1]totrevprm!O1511="","",[1]totrevprm!O1511)</f>
        <v/>
      </c>
    </row>
    <row r="1512" spans="1:13">
      <c r="A1512" s="49" t="s">
        <v>66</v>
      </c>
      <c r="B1512" s="46" t="s">
        <v>811</v>
      </c>
      <c r="C1512" s="50"/>
      <c r="D1512" s="51">
        <v>2011</v>
      </c>
      <c r="E1512" s="56">
        <v>441041889</v>
      </c>
      <c r="F1512" s="56">
        <v>325752273</v>
      </c>
      <c r="G1512" s="56">
        <v>1512721518</v>
      </c>
      <c r="H1512" s="56">
        <v>0</v>
      </c>
      <c r="I1512" s="54">
        <f t="shared" si="25"/>
        <v>2279515680</v>
      </c>
      <c r="J1512" s="52">
        <v>0</v>
      </c>
      <c r="M1512" s="38" t="str">
        <f>IF([1]totrevprm!O1512="","",[1]totrevprm!O1512)</f>
        <v/>
      </c>
    </row>
    <row r="1513" spans="1:13">
      <c r="A1513" s="49" t="s">
        <v>66</v>
      </c>
      <c r="B1513" s="46" t="s">
        <v>811</v>
      </c>
      <c r="C1513" s="50"/>
      <c r="D1513" s="51">
        <v>2012</v>
      </c>
      <c r="E1513" s="56">
        <v>448293154</v>
      </c>
      <c r="F1513" s="56">
        <v>377889373</v>
      </c>
      <c r="G1513" s="56">
        <v>2150777272</v>
      </c>
      <c r="H1513" s="56">
        <v>0</v>
      </c>
      <c r="I1513" s="54">
        <f t="shared" si="25"/>
        <v>2976959799</v>
      </c>
      <c r="J1513" s="52">
        <v>0</v>
      </c>
      <c r="M1513" s="38" t="str">
        <f>IF([1]totrevprm!O1513="","",[1]totrevprm!O1513)</f>
        <v/>
      </c>
    </row>
    <row r="1514" spans="1:13">
      <c r="A1514" s="49" t="s">
        <v>66</v>
      </c>
      <c r="B1514" s="46" t="s">
        <v>811</v>
      </c>
      <c r="C1514" s="50"/>
      <c r="D1514" s="51">
        <v>2013</v>
      </c>
      <c r="E1514" s="56">
        <v>445099771</v>
      </c>
      <c r="F1514" s="56">
        <v>396768112</v>
      </c>
      <c r="G1514" s="56">
        <v>2036718465</v>
      </c>
      <c r="H1514" s="56">
        <v>0</v>
      </c>
      <c r="I1514" s="54">
        <f t="shared" si="25"/>
        <v>2878586348</v>
      </c>
      <c r="J1514" s="52">
        <v>0</v>
      </c>
      <c r="M1514" s="38" t="str">
        <f>IF([1]totrevprm!O1514="","",[1]totrevprm!O1514)</f>
        <v/>
      </c>
    </row>
    <row r="1515" spans="1:13">
      <c r="A1515" s="49" t="s">
        <v>66</v>
      </c>
      <c r="B1515" s="46" t="s">
        <v>811</v>
      </c>
      <c r="C1515" s="50"/>
      <c r="D1515" s="51">
        <v>2014</v>
      </c>
      <c r="E1515" s="56">
        <v>455407340</v>
      </c>
      <c r="F1515" s="56">
        <v>375190163</v>
      </c>
      <c r="G1515" s="56">
        <v>2405967115</v>
      </c>
      <c r="H1515" s="56">
        <v>0</v>
      </c>
      <c r="I1515" s="54">
        <f t="shared" si="25"/>
        <v>3236564618</v>
      </c>
      <c r="J1515" s="52">
        <v>0</v>
      </c>
      <c r="M1515" s="38" t="str">
        <f>IF([1]totrevprm!O1515="","",[1]totrevprm!O1515)</f>
        <v/>
      </c>
    </row>
    <row r="1516" spans="1:13">
      <c r="A1516" s="49" t="s">
        <v>66</v>
      </c>
      <c r="B1516" s="46" t="s">
        <v>811</v>
      </c>
      <c r="C1516" s="50"/>
      <c r="D1516" s="51">
        <v>2015</v>
      </c>
      <c r="E1516" s="56">
        <v>471751346</v>
      </c>
      <c r="F1516" s="56">
        <v>444924435</v>
      </c>
      <c r="G1516" s="56">
        <v>2133742148</v>
      </c>
      <c r="H1516" s="56">
        <v>0</v>
      </c>
      <c r="I1516" s="54">
        <f t="shared" si="25"/>
        <v>3050417929</v>
      </c>
      <c r="J1516" s="52">
        <v>0</v>
      </c>
      <c r="M1516" s="38" t="str">
        <f>IF([1]totrevprm!O1516="","",[1]totrevprm!O1516)</f>
        <v/>
      </c>
    </row>
    <row r="1517" spans="1:13">
      <c r="A1517" s="49" t="s">
        <v>66</v>
      </c>
      <c r="B1517" s="46" t="s">
        <v>811</v>
      </c>
      <c r="C1517" s="50"/>
      <c r="D1517" s="51">
        <v>2016</v>
      </c>
      <c r="E1517" s="56">
        <v>495444914</v>
      </c>
      <c r="F1517" s="56">
        <v>541868244</v>
      </c>
      <c r="G1517" s="56">
        <v>2301959549</v>
      </c>
      <c r="H1517" s="56">
        <v>0</v>
      </c>
      <c r="I1517" s="54">
        <f t="shared" si="25"/>
        <v>3339272707</v>
      </c>
      <c r="J1517" s="52">
        <v>0</v>
      </c>
      <c r="M1517" s="38" t="str">
        <f>IF([1]totrevprm!O1517="","",[1]totrevprm!O1517)</f>
        <v/>
      </c>
    </row>
    <row r="1518" spans="1:13">
      <c r="A1518" s="49" t="s">
        <v>66</v>
      </c>
      <c r="B1518" s="46" t="s">
        <v>811</v>
      </c>
      <c r="C1518" s="50"/>
      <c r="D1518" s="51">
        <v>2017</v>
      </c>
      <c r="E1518" s="56">
        <v>487220261</v>
      </c>
      <c r="F1518" s="56">
        <v>508751730</v>
      </c>
      <c r="G1518" s="56">
        <v>2417002732.9499998</v>
      </c>
      <c r="H1518" s="56">
        <v>0</v>
      </c>
      <c r="I1518" s="54">
        <f t="shared" si="25"/>
        <v>3412974723.9499998</v>
      </c>
      <c r="J1518" s="52">
        <v>0</v>
      </c>
      <c r="M1518" s="38" t="str">
        <f>IF([1]totrevprm!O1518="","",[1]totrevprm!O1518)</f>
        <v/>
      </c>
    </row>
    <row r="1519" spans="1:13">
      <c r="A1519" s="49" t="s">
        <v>66</v>
      </c>
      <c r="B1519" s="46" t="s">
        <v>811</v>
      </c>
      <c r="C1519" s="50"/>
      <c r="D1519" s="51">
        <v>2018</v>
      </c>
      <c r="E1519" s="56">
        <v>511894905</v>
      </c>
      <c r="F1519" s="56">
        <v>634066499</v>
      </c>
      <c r="G1519" s="56">
        <v>2261597937</v>
      </c>
      <c r="H1519" s="56">
        <v>0</v>
      </c>
      <c r="I1519" s="54">
        <f t="shared" si="25"/>
        <v>3407559341</v>
      </c>
      <c r="J1519" s="56">
        <v>0</v>
      </c>
      <c r="M1519" s="38" t="str">
        <f>IF([1]totrevprm!O1519="","",[1]totrevprm!O1519)</f>
        <v/>
      </c>
    </row>
    <row r="1520" spans="1:13">
      <c r="A1520" s="49" t="s">
        <v>66</v>
      </c>
      <c r="B1520" s="46" t="s">
        <v>811</v>
      </c>
      <c r="C1520" s="50"/>
      <c r="D1520" s="51">
        <v>2019</v>
      </c>
      <c r="E1520" s="56">
        <v>531859821</v>
      </c>
      <c r="F1520" s="56">
        <v>687084438</v>
      </c>
      <c r="G1520" s="56">
        <v>2427039058</v>
      </c>
      <c r="H1520" s="56">
        <v>0</v>
      </c>
      <c r="I1520" s="54">
        <f t="shared" si="25"/>
        <v>3645983317</v>
      </c>
      <c r="J1520" s="56">
        <v>0</v>
      </c>
      <c r="M1520" s="38" t="str">
        <f>IF([1]totrevprm!O1520="","",[1]totrevprm!O1520)</f>
        <v/>
      </c>
    </row>
    <row r="1521" spans="1:13">
      <c r="A1521" s="49" t="s">
        <v>66</v>
      </c>
      <c r="B1521" s="46" t="s">
        <v>811</v>
      </c>
      <c r="C1521" s="50"/>
      <c r="D1521" s="51">
        <v>2020</v>
      </c>
      <c r="E1521" s="56">
        <v>536993127</v>
      </c>
      <c r="F1521" s="56">
        <v>683421906</v>
      </c>
      <c r="G1521" s="56">
        <v>2610396101</v>
      </c>
      <c r="H1521" s="56">
        <v>0</v>
      </c>
      <c r="I1521" s="54">
        <f t="shared" si="25"/>
        <v>3830811134</v>
      </c>
      <c r="J1521" s="56">
        <v>0</v>
      </c>
      <c r="M1521" s="38" t="str">
        <f>IF([1]totrevprm!O1521="","",[1]totrevprm!O1521)</f>
        <v/>
      </c>
    </row>
    <row r="1522" spans="1:13">
      <c r="A1522" s="49" t="s">
        <v>66</v>
      </c>
      <c r="B1522" s="46" t="s">
        <v>811</v>
      </c>
      <c r="C1522" s="50"/>
      <c r="D1522" s="51">
        <v>2021</v>
      </c>
      <c r="E1522" s="56">
        <v>557526304</v>
      </c>
      <c r="F1522" s="56">
        <v>890557770</v>
      </c>
      <c r="G1522" s="56">
        <v>2947954740</v>
      </c>
      <c r="H1522" s="56">
        <v>0</v>
      </c>
      <c r="I1522" s="54">
        <f t="shared" si="25"/>
        <v>4396038814</v>
      </c>
      <c r="J1522" s="56">
        <v>0</v>
      </c>
      <c r="M1522" s="38"/>
    </row>
    <row r="1523" spans="1:13">
      <c r="A1523" s="49" t="s">
        <v>66</v>
      </c>
      <c r="B1523" s="46" t="s">
        <v>811</v>
      </c>
      <c r="C1523" s="50"/>
      <c r="D1523" s="51">
        <v>2022</v>
      </c>
      <c r="E1523" s="56">
        <v>574734814</v>
      </c>
      <c r="F1523" s="56">
        <v>1210687611</v>
      </c>
      <c r="G1523" s="56">
        <v>3121480705</v>
      </c>
      <c r="H1523" s="56">
        <v>0</v>
      </c>
      <c r="I1523" s="54">
        <f t="shared" si="25"/>
        <v>4906903130</v>
      </c>
      <c r="J1523" s="56">
        <v>0</v>
      </c>
      <c r="M1523" s="38" t="str">
        <f>IF([1]totrevprm!O1526="","",[1]totrevprm!O1526)</f>
        <v/>
      </c>
    </row>
    <row r="1524" spans="1:13">
      <c r="A1524" s="49" t="s">
        <v>66</v>
      </c>
      <c r="B1524" s="46" t="s">
        <v>811</v>
      </c>
      <c r="C1524" s="50"/>
      <c r="D1524" s="51">
        <v>2023</v>
      </c>
      <c r="E1524" s="56">
        <v>605222740</v>
      </c>
      <c r="F1524" s="56">
        <v>1719310841</v>
      </c>
      <c r="G1524" s="59">
        <v>3265774815</v>
      </c>
      <c r="H1524" s="56">
        <v>0</v>
      </c>
      <c r="I1524" s="54">
        <f t="shared" si="25"/>
        <v>5590308396</v>
      </c>
      <c r="J1524" s="52">
        <v>0</v>
      </c>
      <c r="M1524" s="38"/>
    </row>
    <row r="1525" spans="1:13">
      <c r="A1525" s="49" t="s">
        <v>66</v>
      </c>
      <c r="B1525" s="46" t="s">
        <v>811</v>
      </c>
      <c r="C1525" s="50"/>
      <c r="D1525" s="57">
        <v>2024</v>
      </c>
      <c r="E1525" s="52">
        <v>630164079</v>
      </c>
      <c r="F1525" s="52">
        <v>1923719830</v>
      </c>
      <c r="G1525" s="52">
        <v>3516050499</v>
      </c>
      <c r="H1525" s="52">
        <v>0</v>
      </c>
      <c r="I1525" s="54">
        <f t="shared" si="25"/>
        <v>6069934408</v>
      </c>
      <c r="J1525" s="56">
        <v>0</v>
      </c>
      <c r="M1525" s="38"/>
    </row>
    <row r="1526" spans="1:13">
      <c r="A1526" s="49"/>
      <c r="B1526" s="50"/>
      <c r="C1526" s="50"/>
      <c r="E1526" s="53"/>
      <c r="F1526" s="53"/>
      <c r="G1526" s="53"/>
      <c r="H1526" s="53"/>
      <c r="I1526" s="54"/>
      <c r="J1526" s="52"/>
      <c r="M1526" s="38"/>
    </row>
    <row r="1527" spans="1:13">
      <c r="A1527" s="49" t="s">
        <v>67</v>
      </c>
      <c r="B1527" s="46" t="s">
        <v>812</v>
      </c>
      <c r="C1527" s="50" t="s">
        <v>731</v>
      </c>
      <c r="D1527" s="51">
        <v>1988</v>
      </c>
      <c r="E1527" s="53">
        <v>241592427</v>
      </c>
      <c r="F1527" s="53">
        <v>135208925</v>
      </c>
      <c r="G1527" s="53">
        <v>124908211</v>
      </c>
      <c r="H1527" s="53">
        <v>0</v>
      </c>
      <c r="I1527" s="54">
        <f t="shared" si="25"/>
        <v>501709563</v>
      </c>
      <c r="J1527" s="52">
        <v>0</v>
      </c>
      <c r="M1527" s="38" t="str">
        <f>IF([1]totrevprm!O1527="","",[1]totrevprm!O1527)</f>
        <v/>
      </c>
    </row>
    <row r="1528" spans="1:13">
      <c r="A1528" s="49" t="s">
        <v>67</v>
      </c>
      <c r="B1528" s="46" t="s">
        <v>812</v>
      </c>
      <c r="C1528" s="50" t="s">
        <v>732</v>
      </c>
      <c r="D1528" s="51">
        <v>1989</v>
      </c>
      <c r="E1528" s="53">
        <v>235543411</v>
      </c>
      <c r="F1528" s="53">
        <v>177930743</v>
      </c>
      <c r="G1528" s="53">
        <v>101472217</v>
      </c>
      <c r="H1528" s="53">
        <v>0</v>
      </c>
      <c r="I1528" s="54">
        <f t="shared" si="25"/>
        <v>514946371</v>
      </c>
      <c r="J1528" s="52">
        <v>0</v>
      </c>
      <c r="M1528" s="38" t="str">
        <f>IF([1]totrevprm!O1528="","",[1]totrevprm!O1528)</f>
        <v/>
      </c>
    </row>
    <row r="1529" spans="1:13">
      <c r="A1529" s="49" t="s">
        <v>67</v>
      </c>
      <c r="B1529" s="46" t="s">
        <v>812</v>
      </c>
      <c r="C1529" s="50" t="s">
        <v>732</v>
      </c>
      <c r="D1529" s="51">
        <v>1990</v>
      </c>
      <c r="E1529" s="53">
        <v>252225269</v>
      </c>
      <c r="F1529" s="53">
        <v>313351542.19999999</v>
      </c>
      <c r="G1529" s="53">
        <v>117873033</v>
      </c>
      <c r="H1529" s="53">
        <v>0</v>
      </c>
      <c r="I1529" s="54">
        <f t="shared" si="25"/>
        <v>683449844.20000005</v>
      </c>
      <c r="J1529" s="52">
        <v>0</v>
      </c>
      <c r="M1529" s="38" t="str">
        <f>IF([1]totrevprm!O1529="","",[1]totrevprm!O1529)</f>
        <v/>
      </c>
    </row>
    <row r="1530" spans="1:13">
      <c r="A1530" s="49" t="s">
        <v>67</v>
      </c>
      <c r="B1530" s="46" t="s">
        <v>812</v>
      </c>
      <c r="C1530" s="50" t="s">
        <v>732</v>
      </c>
      <c r="D1530" s="51">
        <v>1991</v>
      </c>
      <c r="E1530" s="53">
        <v>242886184</v>
      </c>
      <c r="F1530" s="53">
        <v>317370437</v>
      </c>
      <c r="G1530" s="53">
        <v>130663108</v>
      </c>
      <c r="H1530" s="53">
        <v>0</v>
      </c>
      <c r="I1530" s="54">
        <f t="shared" si="25"/>
        <v>690919729</v>
      </c>
      <c r="J1530" s="52">
        <v>0</v>
      </c>
      <c r="M1530" s="38" t="str">
        <f>IF([1]totrevprm!O1530="","",[1]totrevprm!O1530)</f>
        <v/>
      </c>
    </row>
    <row r="1531" spans="1:13">
      <c r="A1531" s="49" t="s">
        <v>67</v>
      </c>
      <c r="B1531" s="46" t="s">
        <v>812</v>
      </c>
      <c r="C1531" s="50" t="s">
        <v>732</v>
      </c>
      <c r="D1531" s="51">
        <v>1992</v>
      </c>
      <c r="E1531" s="53">
        <v>283767485</v>
      </c>
      <c r="F1531" s="53">
        <v>187380350.31999999</v>
      </c>
      <c r="G1531" s="53">
        <v>142290204</v>
      </c>
      <c r="H1531" s="53">
        <v>0</v>
      </c>
      <c r="I1531" s="54">
        <f t="shared" si="25"/>
        <v>613438039.31999993</v>
      </c>
      <c r="J1531" s="52">
        <v>0</v>
      </c>
      <c r="M1531" s="38" t="str">
        <f>IF([1]totrevprm!O1531="","",[1]totrevprm!O1531)</f>
        <v/>
      </c>
    </row>
    <row r="1532" spans="1:13">
      <c r="A1532" s="49" t="s">
        <v>67</v>
      </c>
      <c r="B1532" s="46" t="s">
        <v>812</v>
      </c>
      <c r="C1532" s="50" t="s">
        <v>732</v>
      </c>
      <c r="D1532" s="51">
        <v>1993</v>
      </c>
      <c r="E1532" s="53">
        <v>275778174</v>
      </c>
      <c r="F1532" s="53">
        <v>179480221</v>
      </c>
      <c r="G1532" s="53">
        <v>163891426</v>
      </c>
      <c r="H1532" s="53">
        <v>0</v>
      </c>
      <c r="I1532" s="54">
        <f t="shared" si="25"/>
        <v>619149821</v>
      </c>
      <c r="J1532" s="52">
        <v>0</v>
      </c>
      <c r="M1532" s="38" t="str">
        <f>IF([1]totrevprm!O1532="","",[1]totrevprm!O1532)</f>
        <v/>
      </c>
    </row>
    <row r="1533" spans="1:13">
      <c r="A1533" s="49" t="s">
        <v>67</v>
      </c>
      <c r="B1533" s="46" t="s">
        <v>812</v>
      </c>
      <c r="C1533" s="50" t="s">
        <v>732</v>
      </c>
      <c r="D1533" s="51">
        <v>1994</v>
      </c>
      <c r="E1533" s="53">
        <v>286520020</v>
      </c>
      <c r="F1533" s="53">
        <v>269677400</v>
      </c>
      <c r="G1533" s="53">
        <v>185799271</v>
      </c>
      <c r="H1533" s="53">
        <v>0</v>
      </c>
      <c r="I1533" s="54">
        <f t="shared" si="25"/>
        <v>741996691</v>
      </c>
      <c r="J1533" s="52">
        <v>0</v>
      </c>
      <c r="M1533" s="38" t="str">
        <f>IF([1]totrevprm!O1533="","",[1]totrevprm!O1533)</f>
        <v/>
      </c>
    </row>
    <row r="1534" spans="1:13">
      <c r="A1534" s="49" t="s">
        <v>67</v>
      </c>
      <c r="B1534" s="46" t="s">
        <v>812</v>
      </c>
      <c r="C1534" s="50" t="s">
        <v>732</v>
      </c>
      <c r="D1534" s="51">
        <v>1995</v>
      </c>
      <c r="E1534" s="53">
        <v>344571784</v>
      </c>
      <c r="F1534" s="53">
        <v>296639953</v>
      </c>
      <c r="G1534" s="53">
        <v>169288773</v>
      </c>
      <c r="H1534" s="53">
        <v>0</v>
      </c>
      <c r="I1534" s="54">
        <f t="shared" si="25"/>
        <v>810500510</v>
      </c>
      <c r="J1534" s="52">
        <v>0</v>
      </c>
      <c r="M1534" s="38" t="str">
        <f>IF([1]totrevprm!O1534="","",[1]totrevprm!O1534)</f>
        <v/>
      </c>
    </row>
    <row r="1535" spans="1:13">
      <c r="A1535" s="49" t="s">
        <v>67</v>
      </c>
      <c r="B1535" s="46" t="s">
        <v>812</v>
      </c>
      <c r="C1535" s="50" t="s">
        <v>813</v>
      </c>
      <c r="D1535" s="51">
        <v>1996</v>
      </c>
      <c r="E1535" s="53">
        <v>340977377</v>
      </c>
      <c r="F1535" s="53">
        <v>275125829</v>
      </c>
      <c r="G1535" s="53">
        <v>185044330</v>
      </c>
      <c r="H1535" s="53">
        <v>56476573</v>
      </c>
      <c r="I1535" s="54">
        <f t="shared" si="25"/>
        <v>857624109</v>
      </c>
      <c r="J1535" s="52">
        <v>0</v>
      </c>
      <c r="M1535" s="38" t="str">
        <f>IF([1]totrevprm!O1535="","",[1]totrevprm!O1535)</f>
        <v/>
      </c>
    </row>
    <row r="1536" spans="1:13">
      <c r="A1536" s="49" t="s">
        <v>67</v>
      </c>
      <c r="B1536" s="46" t="s">
        <v>812</v>
      </c>
      <c r="C1536" s="50" t="s">
        <v>732</v>
      </c>
      <c r="D1536" s="51">
        <v>1997</v>
      </c>
      <c r="E1536" s="53">
        <v>492526568</v>
      </c>
      <c r="F1536" s="53">
        <v>343303826</v>
      </c>
      <c r="G1536" s="53">
        <v>185583861</v>
      </c>
      <c r="H1536" s="53">
        <v>80439353</v>
      </c>
      <c r="I1536" s="54">
        <f t="shared" si="25"/>
        <v>1101853608</v>
      </c>
      <c r="J1536" s="52">
        <v>0</v>
      </c>
      <c r="M1536" s="38" t="str">
        <f>IF([1]totrevprm!O1536="","",[1]totrevprm!O1536)</f>
        <v/>
      </c>
    </row>
    <row r="1537" spans="1:13">
      <c r="A1537" s="49" t="s">
        <v>67</v>
      </c>
      <c r="B1537" s="46" t="s">
        <v>812</v>
      </c>
      <c r="C1537" s="50" t="s">
        <v>732</v>
      </c>
      <c r="D1537" s="51">
        <v>1998</v>
      </c>
      <c r="E1537" s="53">
        <v>389341189</v>
      </c>
      <c r="F1537" s="53">
        <v>368445580</v>
      </c>
      <c r="G1537" s="53">
        <v>231565704</v>
      </c>
      <c r="H1537" s="53">
        <v>43056159</v>
      </c>
      <c r="I1537" s="54">
        <f t="shared" si="25"/>
        <v>1032408632</v>
      </c>
      <c r="J1537" s="52">
        <v>0</v>
      </c>
      <c r="M1537" s="38" t="str">
        <f>IF([1]totrevprm!O1537="","",[1]totrevprm!O1537)</f>
        <v/>
      </c>
    </row>
    <row r="1538" spans="1:13">
      <c r="A1538" s="49" t="s">
        <v>67</v>
      </c>
      <c r="B1538" s="46" t="s">
        <v>812</v>
      </c>
      <c r="C1538" s="50" t="s">
        <v>732</v>
      </c>
      <c r="D1538" s="51">
        <v>1999</v>
      </c>
      <c r="E1538" s="53">
        <v>440446802</v>
      </c>
      <c r="F1538" s="53">
        <v>494412734</v>
      </c>
      <c r="G1538" s="53">
        <v>196223939</v>
      </c>
      <c r="H1538" s="53">
        <v>37959052</v>
      </c>
      <c r="I1538" s="54">
        <f t="shared" si="25"/>
        <v>1169042527</v>
      </c>
      <c r="J1538" s="52">
        <v>0</v>
      </c>
      <c r="M1538" s="38" t="str">
        <f>IF([1]totrevprm!O1538="","",[1]totrevprm!O1538)</f>
        <v/>
      </c>
    </row>
    <row r="1539" spans="1:13">
      <c r="A1539" s="49" t="s">
        <v>67</v>
      </c>
      <c r="B1539" s="46" t="s">
        <v>812</v>
      </c>
      <c r="C1539" s="50" t="s">
        <v>732</v>
      </c>
      <c r="D1539" s="51">
        <v>2000</v>
      </c>
      <c r="E1539" s="53">
        <v>375792365</v>
      </c>
      <c r="F1539" s="53">
        <v>548477925</v>
      </c>
      <c r="G1539" s="53">
        <v>189191140</v>
      </c>
      <c r="H1539" s="53">
        <v>60020952</v>
      </c>
      <c r="I1539" s="54">
        <f t="shared" si="25"/>
        <v>1173482382</v>
      </c>
      <c r="J1539" s="52">
        <v>0</v>
      </c>
      <c r="M1539" s="38" t="str">
        <f>IF([1]totrevprm!O1539="","",[1]totrevprm!O1539)</f>
        <v/>
      </c>
    </row>
    <row r="1540" spans="1:13">
      <c r="A1540" s="49" t="s">
        <v>67</v>
      </c>
      <c r="B1540" s="46" t="s">
        <v>812</v>
      </c>
      <c r="C1540" s="50" t="s">
        <v>732</v>
      </c>
      <c r="D1540" s="51">
        <v>2001</v>
      </c>
      <c r="E1540" s="53">
        <v>325026405</v>
      </c>
      <c r="F1540" s="53">
        <v>541430666</v>
      </c>
      <c r="G1540" s="53">
        <v>160270108</v>
      </c>
      <c r="H1540" s="53">
        <v>92433565</v>
      </c>
      <c r="I1540" s="54">
        <f t="shared" si="25"/>
        <v>1119160744</v>
      </c>
      <c r="J1540" s="52">
        <v>0</v>
      </c>
      <c r="M1540" s="38" t="str">
        <f>IF([1]totrevprm!O1540="","",[1]totrevprm!O1540)</f>
        <v/>
      </c>
    </row>
    <row r="1541" spans="1:13">
      <c r="A1541" s="49" t="s">
        <v>67</v>
      </c>
      <c r="B1541" s="46" t="s">
        <v>812</v>
      </c>
      <c r="C1541" s="50" t="s">
        <v>732</v>
      </c>
      <c r="D1541" s="51">
        <v>2002</v>
      </c>
      <c r="E1541" s="53">
        <v>330861666</v>
      </c>
      <c r="F1541" s="53">
        <v>676899528</v>
      </c>
      <c r="G1541" s="53">
        <v>268634287</v>
      </c>
      <c r="H1541" s="53">
        <v>71646735</v>
      </c>
      <c r="I1541" s="54">
        <f t="shared" si="25"/>
        <v>1348042216</v>
      </c>
      <c r="J1541" s="52">
        <v>0</v>
      </c>
      <c r="M1541" s="38" t="str">
        <f>IF([1]totrevprm!O1541="","",[1]totrevprm!O1541)</f>
        <v/>
      </c>
    </row>
    <row r="1542" spans="1:13">
      <c r="A1542" s="49" t="s">
        <v>67</v>
      </c>
      <c r="B1542" s="46" t="s">
        <v>812</v>
      </c>
      <c r="C1542" s="50" t="s">
        <v>732</v>
      </c>
      <c r="D1542" s="51">
        <v>2003</v>
      </c>
      <c r="E1542" s="55">
        <v>339041953</v>
      </c>
      <c r="F1542" s="55">
        <v>599008931</v>
      </c>
      <c r="G1542" s="55">
        <v>315220851</v>
      </c>
      <c r="H1542" s="55">
        <v>71432255</v>
      </c>
      <c r="I1542" s="54">
        <f t="shared" si="25"/>
        <v>1324703990</v>
      </c>
      <c r="J1542" s="52">
        <v>0</v>
      </c>
      <c r="M1542" s="38" t="str">
        <f>IF([1]totrevprm!O1542="","",[1]totrevprm!O1542)</f>
        <v/>
      </c>
    </row>
    <row r="1543" spans="1:13">
      <c r="A1543" s="49" t="s">
        <v>67</v>
      </c>
      <c r="B1543" s="46" t="s">
        <v>812</v>
      </c>
      <c r="C1543" s="50" t="s">
        <v>732</v>
      </c>
      <c r="D1543" s="51">
        <v>2004</v>
      </c>
      <c r="E1543" s="55">
        <v>351494156</v>
      </c>
      <c r="F1543" s="55">
        <v>554865549</v>
      </c>
      <c r="G1543" s="55">
        <v>303817484</v>
      </c>
      <c r="H1543" s="55">
        <v>73967893</v>
      </c>
      <c r="I1543" s="54">
        <f t="shared" si="25"/>
        <v>1284145082</v>
      </c>
      <c r="J1543" s="52">
        <v>0</v>
      </c>
      <c r="M1543" s="38" t="str">
        <f>IF([1]totrevprm!O1543="","",[1]totrevprm!O1543)</f>
        <v/>
      </c>
    </row>
    <row r="1544" spans="1:13">
      <c r="A1544" s="49" t="s">
        <v>67</v>
      </c>
      <c r="B1544" s="46" t="s">
        <v>812</v>
      </c>
      <c r="C1544" s="50"/>
      <c r="D1544" s="51">
        <v>2005</v>
      </c>
      <c r="E1544" s="55">
        <v>374318361</v>
      </c>
      <c r="F1544" s="55">
        <v>465827371</v>
      </c>
      <c r="G1544" s="55">
        <v>323101834</v>
      </c>
      <c r="H1544" s="55">
        <v>32064795</v>
      </c>
      <c r="I1544" s="54">
        <f t="shared" ref="I1544:I1609" si="26">SUM(E1544:H1544)</f>
        <v>1195312361</v>
      </c>
      <c r="J1544" s="52">
        <v>7914750</v>
      </c>
      <c r="K1544" s="60" t="s">
        <v>736</v>
      </c>
      <c r="L1544" t="s">
        <v>720</v>
      </c>
      <c r="M1544" s="38" t="str">
        <f>IF([1]totrevprm!O1544="","",[1]totrevprm!O1544)</f>
        <v/>
      </c>
    </row>
    <row r="1545" spans="1:13">
      <c r="A1545" s="49" t="s">
        <v>67</v>
      </c>
      <c r="B1545" s="46" t="s">
        <v>812</v>
      </c>
      <c r="C1545" s="50"/>
      <c r="D1545" s="51">
        <v>2006</v>
      </c>
      <c r="E1545" s="56">
        <v>405840552</v>
      </c>
      <c r="F1545" s="56">
        <v>549769877</v>
      </c>
      <c r="G1545" s="56">
        <v>384717537</v>
      </c>
      <c r="H1545" s="56">
        <v>28792157</v>
      </c>
      <c r="I1545" s="54">
        <f t="shared" si="26"/>
        <v>1369120123</v>
      </c>
      <c r="J1545" s="52">
        <v>11681112</v>
      </c>
      <c r="K1545" s="60" t="s">
        <v>736</v>
      </c>
      <c r="L1545" t="s">
        <v>720</v>
      </c>
      <c r="M1545" s="38" t="str">
        <f>IF([1]totrevprm!O1545="","",[1]totrevprm!O1545)</f>
        <v/>
      </c>
    </row>
    <row r="1546" spans="1:13">
      <c r="A1546" s="49" t="s">
        <v>67</v>
      </c>
      <c r="B1546" s="46" t="s">
        <v>812</v>
      </c>
      <c r="C1546" s="50"/>
      <c r="D1546" s="51">
        <v>2007</v>
      </c>
      <c r="E1546" s="56">
        <v>436367504</v>
      </c>
      <c r="F1546" s="56">
        <v>521784309</v>
      </c>
      <c r="G1546" s="56">
        <v>400591598</v>
      </c>
      <c r="H1546" s="56">
        <v>31790221</v>
      </c>
      <c r="I1546" s="54">
        <f t="shared" si="26"/>
        <v>1390533632</v>
      </c>
      <c r="J1546" s="52">
        <v>11698542</v>
      </c>
      <c r="K1546" s="60" t="s">
        <v>736</v>
      </c>
      <c r="L1546" t="s">
        <v>720</v>
      </c>
      <c r="M1546" s="38" t="str">
        <f>IF([1]totrevprm!O1546="","",[1]totrevprm!O1546)</f>
        <v/>
      </c>
    </row>
    <row r="1547" spans="1:13">
      <c r="A1547" s="49" t="s">
        <v>67</v>
      </c>
      <c r="B1547" s="46" t="s">
        <v>812</v>
      </c>
      <c r="C1547" s="50"/>
      <c r="D1547" s="51">
        <v>2008</v>
      </c>
      <c r="E1547" s="56">
        <v>407288780</v>
      </c>
      <c r="F1547" s="56">
        <v>705642159</v>
      </c>
      <c r="G1547" s="56">
        <v>426169720</v>
      </c>
      <c r="H1547" s="56">
        <v>28422673</v>
      </c>
      <c r="I1547" s="54">
        <f t="shared" si="26"/>
        <v>1567523332</v>
      </c>
      <c r="J1547" s="52">
        <v>7286255</v>
      </c>
      <c r="K1547" s="60" t="s">
        <v>736</v>
      </c>
      <c r="L1547" t="s">
        <v>720</v>
      </c>
      <c r="M1547" s="38" t="str">
        <f>IF([1]totrevprm!O1547="","",[1]totrevprm!O1547)</f>
        <v/>
      </c>
    </row>
    <row r="1548" spans="1:13">
      <c r="A1548" s="49" t="s">
        <v>67</v>
      </c>
      <c r="B1548" s="46" t="s">
        <v>812</v>
      </c>
      <c r="C1548" s="50"/>
      <c r="D1548" s="51">
        <v>2009</v>
      </c>
      <c r="E1548" s="56">
        <v>433119016</v>
      </c>
      <c r="F1548" s="56">
        <v>702077515</v>
      </c>
      <c r="G1548" s="56">
        <v>536808363</v>
      </c>
      <c r="H1548" s="56">
        <v>35791653</v>
      </c>
      <c r="I1548" s="54">
        <f t="shared" si="26"/>
        <v>1707796547</v>
      </c>
      <c r="J1548" s="52">
        <v>20125303</v>
      </c>
      <c r="K1548" s="60" t="s">
        <v>736</v>
      </c>
      <c r="L1548" t="s">
        <v>720</v>
      </c>
      <c r="M1548" s="38" t="str">
        <f>IF([1]totrevprm!O1548="","",[1]totrevprm!O1548)</f>
        <v/>
      </c>
    </row>
    <row r="1549" spans="1:13">
      <c r="A1549" s="49" t="s">
        <v>67</v>
      </c>
      <c r="B1549" s="46" t="s">
        <v>812</v>
      </c>
      <c r="C1549" s="50"/>
      <c r="D1549" s="51">
        <v>2010</v>
      </c>
      <c r="E1549" s="56">
        <v>430428203</v>
      </c>
      <c r="F1549" s="52">
        <v>577435543</v>
      </c>
      <c r="G1549" s="56">
        <v>735410351</v>
      </c>
      <c r="H1549" s="56">
        <v>21384229</v>
      </c>
      <c r="I1549" s="54">
        <f t="shared" si="26"/>
        <v>1764658326</v>
      </c>
      <c r="J1549" s="52">
        <v>18530800</v>
      </c>
      <c r="K1549" s="60" t="s">
        <v>736</v>
      </c>
      <c r="L1549" t="s">
        <v>720</v>
      </c>
      <c r="M1549" s="38" t="str">
        <f>IF([1]totrevprm!O1549="","",[1]totrevprm!O1549)</f>
        <v/>
      </c>
    </row>
    <row r="1550" spans="1:13">
      <c r="A1550" s="49" t="s">
        <v>67</v>
      </c>
      <c r="B1550" s="46" t="s">
        <v>812</v>
      </c>
      <c r="C1550" s="50"/>
      <c r="D1550" s="51">
        <v>2011</v>
      </c>
      <c r="E1550" s="56">
        <v>419223815</v>
      </c>
      <c r="F1550" s="52">
        <v>578078547</v>
      </c>
      <c r="G1550" s="56">
        <v>756679630.63</v>
      </c>
      <c r="H1550" s="56">
        <v>32971875</v>
      </c>
      <c r="I1550" s="54">
        <f t="shared" si="26"/>
        <v>1786953867.6300001</v>
      </c>
      <c r="J1550" s="52">
        <v>20683787</v>
      </c>
      <c r="K1550" s="60" t="s">
        <v>736</v>
      </c>
      <c r="L1550" t="s">
        <v>720</v>
      </c>
      <c r="M1550" s="38" t="str">
        <f>IF([1]totrevprm!O1550="","",[1]totrevprm!O1550)</f>
        <v/>
      </c>
    </row>
    <row r="1551" spans="1:13">
      <c r="A1551" s="49" t="s">
        <v>67</v>
      </c>
      <c r="B1551" s="46" t="s">
        <v>812</v>
      </c>
      <c r="C1551" s="50"/>
      <c r="D1551" s="51">
        <v>2012</v>
      </c>
      <c r="E1551" s="56">
        <v>446937972</v>
      </c>
      <c r="F1551" s="52">
        <v>693026956</v>
      </c>
      <c r="G1551" s="56">
        <v>493693477</v>
      </c>
      <c r="H1551" s="56">
        <v>41890019</v>
      </c>
      <c r="I1551" s="54">
        <f t="shared" si="26"/>
        <v>1675548424</v>
      </c>
      <c r="J1551" s="52">
        <v>18044599</v>
      </c>
      <c r="K1551" s="60" t="s">
        <v>736</v>
      </c>
      <c r="L1551" t="s">
        <v>720</v>
      </c>
      <c r="M1551" s="38" t="str">
        <f>IF([1]totrevprm!O1551="","",[1]totrevprm!O1551)</f>
        <v/>
      </c>
    </row>
    <row r="1552" spans="1:13">
      <c r="A1552" s="49" t="s">
        <v>67</v>
      </c>
      <c r="B1552" s="46" t="s">
        <v>812</v>
      </c>
      <c r="C1552" s="50"/>
      <c r="D1552" s="51">
        <v>2013</v>
      </c>
      <c r="E1552" s="56">
        <v>457429927</v>
      </c>
      <c r="F1552" s="52">
        <v>652428767</v>
      </c>
      <c r="G1552" s="56">
        <v>485147153</v>
      </c>
      <c r="H1552" s="56">
        <v>58180844</v>
      </c>
      <c r="I1552" s="54">
        <f t="shared" si="26"/>
        <v>1653186691</v>
      </c>
      <c r="J1552" s="52">
        <v>22084561</v>
      </c>
      <c r="K1552" s="60" t="s">
        <v>736</v>
      </c>
      <c r="L1552" t="s">
        <v>720</v>
      </c>
      <c r="M1552" s="38" t="str">
        <f>IF([1]totrevprm!O1552="","",[1]totrevprm!O1552)</f>
        <v/>
      </c>
    </row>
    <row r="1553" spans="1:13">
      <c r="A1553" s="49" t="s">
        <v>67</v>
      </c>
      <c r="B1553" s="46" t="s">
        <v>812</v>
      </c>
      <c r="C1553" s="50"/>
      <c r="D1553" s="51">
        <v>2014</v>
      </c>
      <c r="E1553" s="56">
        <v>423888174</v>
      </c>
      <c r="F1553" s="56">
        <v>797420107</v>
      </c>
      <c r="G1553" s="56">
        <v>480586199.19999999</v>
      </c>
      <c r="H1553" s="56">
        <v>26284578</v>
      </c>
      <c r="I1553" s="54">
        <f t="shared" si="26"/>
        <v>1728179058.2</v>
      </c>
      <c r="J1553" s="52">
        <v>38161445</v>
      </c>
      <c r="K1553" s="60" t="s">
        <v>736</v>
      </c>
      <c r="L1553" t="s">
        <v>720</v>
      </c>
      <c r="M1553" s="38" t="str">
        <f>IF([1]totrevprm!O1553="","",[1]totrevprm!O1553)</f>
        <v/>
      </c>
    </row>
    <row r="1554" spans="1:13">
      <c r="A1554" s="49" t="s">
        <v>67</v>
      </c>
      <c r="B1554" s="46" t="s">
        <v>812</v>
      </c>
      <c r="C1554" s="50"/>
      <c r="D1554" s="51">
        <v>2015</v>
      </c>
      <c r="E1554" s="56">
        <v>496292870</v>
      </c>
      <c r="F1554" s="56">
        <v>978498856</v>
      </c>
      <c r="G1554" s="56">
        <v>451449722</v>
      </c>
      <c r="H1554" s="56">
        <v>21603450</v>
      </c>
      <c r="I1554" s="54">
        <f t="shared" si="26"/>
        <v>1947844898</v>
      </c>
      <c r="J1554" s="52">
        <v>25891194</v>
      </c>
      <c r="K1554" s="60" t="s">
        <v>736</v>
      </c>
      <c r="L1554" t="s">
        <v>720</v>
      </c>
      <c r="M1554" s="38" t="str">
        <f>IF([1]totrevprm!O1554="","",[1]totrevprm!O1554)</f>
        <v/>
      </c>
    </row>
    <row r="1555" spans="1:13">
      <c r="A1555" s="49" t="s">
        <v>67</v>
      </c>
      <c r="B1555" s="46" t="s">
        <v>812</v>
      </c>
      <c r="C1555" s="50"/>
      <c r="D1555" s="51">
        <v>2016</v>
      </c>
      <c r="E1555" s="56">
        <v>444278936</v>
      </c>
      <c r="F1555" s="56">
        <v>898831389</v>
      </c>
      <c r="G1555" s="56">
        <v>428793137</v>
      </c>
      <c r="H1555" s="56">
        <v>28760850</v>
      </c>
      <c r="I1555" s="54">
        <f t="shared" si="26"/>
        <v>1800664312</v>
      </c>
      <c r="J1555" s="52">
        <v>11462545</v>
      </c>
      <c r="K1555" s="60" t="s">
        <v>736</v>
      </c>
      <c r="L1555" t="s">
        <v>720</v>
      </c>
      <c r="M1555" s="38" t="str">
        <f>IF([1]totrevprm!O1555="","",[1]totrevprm!O1555)</f>
        <v/>
      </c>
    </row>
    <row r="1556" spans="1:13">
      <c r="A1556" s="49" t="s">
        <v>67</v>
      </c>
      <c r="B1556" s="46" t="s">
        <v>812</v>
      </c>
      <c r="C1556" s="50"/>
      <c r="D1556" s="51">
        <v>2017</v>
      </c>
      <c r="E1556" s="56">
        <v>445697426</v>
      </c>
      <c r="F1556" s="56">
        <v>960181540</v>
      </c>
      <c r="G1556" s="56">
        <v>433218596.34000003</v>
      </c>
      <c r="H1556" s="56">
        <v>16944078</v>
      </c>
      <c r="I1556" s="54">
        <f t="shared" si="26"/>
        <v>1856041640.3400002</v>
      </c>
      <c r="J1556" s="56">
        <v>13327143</v>
      </c>
      <c r="K1556" s="60" t="s">
        <v>736</v>
      </c>
      <c r="L1556" t="s">
        <v>720</v>
      </c>
      <c r="M1556" s="38" t="str">
        <f>IF([1]totrevprm!O1556="","",[1]totrevprm!O1556)</f>
        <v/>
      </c>
    </row>
    <row r="1557" spans="1:13">
      <c r="A1557" s="49" t="s">
        <v>67</v>
      </c>
      <c r="B1557" s="46" t="s">
        <v>812</v>
      </c>
      <c r="C1557" s="50"/>
      <c r="D1557" s="51">
        <v>2018</v>
      </c>
      <c r="E1557" s="56">
        <v>457707896</v>
      </c>
      <c r="F1557" s="56">
        <v>1027749297</v>
      </c>
      <c r="G1557" s="56">
        <v>490198301</v>
      </c>
      <c r="H1557" s="56">
        <v>23010702</v>
      </c>
      <c r="I1557" s="54">
        <f t="shared" si="26"/>
        <v>1998666196</v>
      </c>
      <c r="J1557" s="56">
        <v>15679408</v>
      </c>
      <c r="K1557" s="60" t="s">
        <v>736</v>
      </c>
      <c r="L1557" t="s">
        <v>720</v>
      </c>
      <c r="M1557" s="38" t="str">
        <f>IF([1]totrevprm!O1557="","",[1]totrevprm!O1557)</f>
        <v/>
      </c>
    </row>
    <row r="1558" spans="1:13">
      <c r="A1558" s="49" t="s">
        <v>67</v>
      </c>
      <c r="B1558" s="46" t="s">
        <v>812</v>
      </c>
      <c r="C1558" s="50"/>
      <c r="D1558" s="51">
        <v>2019</v>
      </c>
      <c r="E1558" s="56">
        <v>463279570</v>
      </c>
      <c r="F1558" s="56">
        <v>1405340983</v>
      </c>
      <c r="G1558" s="56">
        <v>471894414.37</v>
      </c>
      <c r="H1558" s="56">
        <v>12482452</v>
      </c>
      <c r="I1558" s="54">
        <f t="shared" si="26"/>
        <v>2352997419.3699999</v>
      </c>
      <c r="J1558" s="56">
        <v>11512262</v>
      </c>
      <c r="K1558" s="60" t="s">
        <v>736</v>
      </c>
      <c r="L1558" t="s">
        <v>720</v>
      </c>
      <c r="M1558" s="38" t="str">
        <f>IF([1]totrevprm!O1558="","",[1]totrevprm!O1558)</f>
        <v/>
      </c>
    </row>
    <row r="1559" spans="1:13">
      <c r="A1559" s="49" t="s">
        <v>67</v>
      </c>
      <c r="B1559" s="46" t="s">
        <v>812</v>
      </c>
      <c r="C1559" s="50"/>
      <c r="D1559" s="51">
        <v>2020</v>
      </c>
      <c r="E1559" s="56">
        <v>480957546</v>
      </c>
      <c r="F1559" s="56">
        <v>1043498786</v>
      </c>
      <c r="G1559" s="56">
        <v>457024666</v>
      </c>
      <c r="H1559" s="56">
        <v>25856076</v>
      </c>
      <c r="I1559" s="54">
        <f t="shared" si="26"/>
        <v>2007337074</v>
      </c>
      <c r="J1559" s="56">
        <v>20717978</v>
      </c>
      <c r="K1559" s="60" t="s">
        <v>736</v>
      </c>
      <c r="L1559" t="s">
        <v>720</v>
      </c>
      <c r="M1559" s="38" t="str">
        <f>IF([1]totrevprm!O1559="","",[1]totrevprm!O1559)</f>
        <v/>
      </c>
    </row>
    <row r="1560" spans="1:13">
      <c r="A1560" s="49" t="s">
        <v>67</v>
      </c>
      <c r="B1560" s="46" t="s">
        <v>812</v>
      </c>
      <c r="C1560" s="50"/>
      <c r="D1560" s="51">
        <v>2021</v>
      </c>
      <c r="E1560" s="56">
        <v>595416155</v>
      </c>
      <c r="F1560" s="56">
        <v>1130797550</v>
      </c>
      <c r="G1560" s="56">
        <v>472212407</v>
      </c>
      <c r="H1560" s="56">
        <v>6939550</v>
      </c>
      <c r="I1560" s="54">
        <f t="shared" si="26"/>
        <v>2205365662</v>
      </c>
      <c r="J1560" s="52">
        <v>0</v>
      </c>
      <c r="K1560" s="60"/>
      <c r="L1560" t="s">
        <v>720</v>
      </c>
      <c r="M1560" s="38"/>
    </row>
    <row r="1561" spans="1:13">
      <c r="A1561" s="49" t="s">
        <v>67</v>
      </c>
      <c r="B1561" s="46" t="s">
        <v>812</v>
      </c>
      <c r="C1561" s="50"/>
      <c r="D1561" s="51">
        <v>2022</v>
      </c>
      <c r="E1561" s="56">
        <v>517948751</v>
      </c>
      <c r="F1561" s="56">
        <v>1406320557</v>
      </c>
      <c r="G1561" s="56">
        <v>505193156</v>
      </c>
      <c r="H1561" s="56">
        <v>11821377</v>
      </c>
      <c r="I1561" s="54">
        <f t="shared" si="26"/>
        <v>2441283841</v>
      </c>
      <c r="J1561" s="52">
        <v>0</v>
      </c>
      <c r="M1561" s="38" t="str">
        <f>IF([1]totrevprm!O1564="","",[1]totrevprm!O1564)</f>
        <v/>
      </c>
    </row>
    <row r="1562" spans="1:13">
      <c r="A1562" s="49" t="s">
        <v>67</v>
      </c>
      <c r="B1562" s="46" t="s">
        <v>812</v>
      </c>
      <c r="C1562" s="50"/>
      <c r="D1562" s="51">
        <v>2023</v>
      </c>
      <c r="E1562" s="56">
        <v>525993303</v>
      </c>
      <c r="F1562" s="56">
        <v>1963310706.5195</v>
      </c>
      <c r="G1562" s="56">
        <v>474311545.60000002</v>
      </c>
      <c r="H1562" s="56">
        <v>20775853</v>
      </c>
      <c r="I1562" s="54">
        <f t="shared" si="26"/>
        <v>2984391408.1194997</v>
      </c>
      <c r="J1562" s="52">
        <v>0</v>
      </c>
      <c r="M1562" s="38"/>
    </row>
    <row r="1563" spans="1:13">
      <c r="A1563" s="49" t="s">
        <v>67</v>
      </c>
      <c r="B1563" s="46" t="s">
        <v>812</v>
      </c>
      <c r="C1563" s="50"/>
      <c r="D1563" s="57">
        <v>2024</v>
      </c>
      <c r="E1563" s="52">
        <v>570470540.18000007</v>
      </c>
      <c r="F1563" s="52">
        <v>2149424947.0900002</v>
      </c>
      <c r="G1563" s="52">
        <v>508924909</v>
      </c>
      <c r="H1563" s="52">
        <v>13001717.83</v>
      </c>
      <c r="I1563" s="54">
        <f t="shared" si="26"/>
        <v>3241822114.1000004</v>
      </c>
      <c r="J1563" s="56">
        <v>0</v>
      </c>
      <c r="M1563" s="38"/>
    </row>
    <row r="1564" spans="1:13">
      <c r="A1564" s="49"/>
      <c r="B1564" s="50"/>
      <c r="C1564" s="50"/>
      <c r="E1564" s="53"/>
      <c r="F1564" s="53"/>
      <c r="G1564" s="53"/>
      <c r="H1564" s="53"/>
      <c r="I1564" s="54"/>
      <c r="J1564" s="52"/>
      <c r="M1564" s="38"/>
    </row>
    <row r="1565" spans="1:13">
      <c r="A1565" s="49" t="s">
        <v>68</v>
      </c>
      <c r="B1565" s="46" t="s">
        <v>262</v>
      </c>
      <c r="C1565" s="50" t="s">
        <v>731</v>
      </c>
      <c r="D1565" s="51">
        <v>1988</v>
      </c>
      <c r="E1565" s="53">
        <v>808452560</v>
      </c>
      <c r="F1565" s="53">
        <v>346192899</v>
      </c>
      <c r="G1565" s="53">
        <v>819627720</v>
      </c>
      <c r="H1565" s="53">
        <v>0</v>
      </c>
      <c r="I1565" s="54">
        <f t="shared" si="26"/>
        <v>1974273179</v>
      </c>
      <c r="J1565" s="52">
        <v>0</v>
      </c>
      <c r="M1565" s="38" t="str">
        <f>IF([1]totrevprm!O1565="","",[1]totrevprm!O1565)</f>
        <v/>
      </c>
    </row>
    <row r="1566" spans="1:13">
      <c r="A1566" s="49" t="s">
        <v>68</v>
      </c>
      <c r="B1566" s="46" t="s">
        <v>262</v>
      </c>
      <c r="C1566" s="50" t="s">
        <v>732</v>
      </c>
      <c r="D1566" s="51">
        <v>1989</v>
      </c>
      <c r="E1566" s="53">
        <v>814318036</v>
      </c>
      <c r="F1566" s="53">
        <v>337981640</v>
      </c>
      <c r="G1566" s="53">
        <v>875250418</v>
      </c>
      <c r="H1566" s="53">
        <v>0</v>
      </c>
      <c r="I1566" s="54">
        <f t="shared" si="26"/>
        <v>2027550094</v>
      </c>
      <c r="J1566" s="52">
        <v>0</v>
      </c>
      <c r="M1566" s="38" t="str">
        <f>IF([1]totrevprm!O1566="","",[1]totrevprm!O1566)</f>
        <v/>
      </c>
    </row>
    <row r="1567" spans="1:13">
      <c r="A1567" s="49" t="s">
        <v>68</v>
      </c>
      <c r="B1567" s="46" t="s">
        <v>262</v>
      </c>
      <c r="C1567" s="50" t="s">
        <v>732</v>
      </c>
      <c r="D1567" s="51">
        <v>1990</v>
      </c>
      <c r="E1567" s="53">
        <v>880477875</v>
      </c>
      <c r="F1567" s="53">
        <v>476727196.19999999</v>
      </c>
      <c r="G1567" s="53">
        <v>1005882561</v>
      </c>
      <c r="H1567" s="53">
        <v>0</v>
      </c>
      <c r="I1567" s="54">
        <f t="shared" si="26"/>
        <v>2363087632.1999998</v>
      </c>
      <c r="J1567" s="52">
        <v>0</v>
      </c>
      <c r="M1567" s="38" t="str">
        <f>IF([1]totrevprm!O1567="","",[1]totrevprm!O1567)</f>
        <v/>
      </c>
    </row>
    <row r="1568" spans="1:13">
      <c r="A1568" s="49" t="s">
        <v>68</v>
      </c>
      <c r="B1568" s="46" t="s">
        <v>262</v>
      </c>
      <c r="C1568" s="50" t="s">
        <v>732</v>
      </c>
      <c r="D1568" s="51">
        <v>1991</v>
      </c>
      <c r="E1568" s="53">
        <v>930638160</v>
      </c>
      <c r="F1568" s="53">
        <v>443003035</v>
      </c>
      <c r="G1568" s="53">
        <v>984931346</v>
      </c>
      <c r="H1568" s="53">
        <v>0</v>
      </c>
      <c r="I1568" s="54">
        <f t="shared" si="26"/>
        <v>2358572541</v>
      </c>
      <c r="J1568" s="52">
        <v>0</v>
      </c>
      <c r="M1568" s="38" t="str">
        <f>IF([1]totrevprm!O1568="","",[1]totrevprm!O1568)</f>
        <v/>
      </c>
    </row>
    <row r="1569" spans="1:13">
      <c r="A1569" s="49" t="s">
        <v>68</v>
      </c>
      <c r="B1569" s="46" t="s">
        <v>262</v>
      </c>
      <c r="C1569" s="50" t="s">
        <v>732</v>
      </c>
      <c r="D1569" s="51">
        <v>1992</v>
      </c>
      <c r="E1569" s="53">
        <v>970732687</v>
      </c>
      <c r="F1569" s="53">
        <v>431429092.83999997</v>
      </c>
      <c r="G1569" s="53">
        <v>1020691852</v>
      </c>
      <c r="H1569" s="53">
        <v>0</v>
      </c>
      <c r="I1569" s="54">
        <f t="shared" si="26"/>
        <v>2422853631.8400002</v>
      </c>
      <c r="J1569" s="52">
        <v>0</v>
      </c>
      <c r="M1569" s="38" t="str">
        <f>IF([1]totrevprm!O1569="","",[1]totrevprm!O1569)</f>
        <v/>
      </c>
    </row>
    <row r="1570" spans="1:13">
      <c r="A1570" s="49" t="s">
        <v>68</v>
      </c>
      <c r="B1570" s="46" t="s">
        <v>262</v>
      </c>
      <c r="C1570" s="50" t="s">
        <v>732</v>
      </c>
      <c r="D1570" s="51">
        <v>1993</v>
      </c>
      <c r="E1570" s="53">
        <v>1053428777</v>
      </c>
      <c r="F1570" s="53">
        <v>431367337</v>
      </c>
      <c r="G1570" s="53">
        <v>1085608064</v>
      </c>
      <c r="H1570" s="53">
        <v>0</v>
      </c>
      <c r="I1570" s="54">
        <f t="shared" si="26"/>
        <v>2570404178</v>
      </c>
      <c r="J1570" s="52">
        <v>0</v>
      </c>
      <c r="M1570" s="38" t="str">
        <f>IF([1]totrevprm!O1570="","",[1]totrevprm!O1570)</f>
        <v/>
      </c>
    </row>
    <row r="1571" spans="1:13">
      <c r="A1571" s="49" t="s">
        <v>68</v>
      </c>
      <c r="B1571" s="46" t="s">
        <v>262</v>
      </c>
      <c r="C1571" s="50" t="s">
        <v>732</v>
      </c>
      <c r="D1571" s="51">
        <v>1994</v>
      </c>
      <c r="E1571" s="53">
        <v>1135146769</v>
      </c>
      <c r="F1571" s="53">
        <v>585195477</v>
      </c>
      <c r="G1571" s="53">
        <v>1121728041</v>
      </c>
      <c r="H1571" s="53">
        <v>0</v>
      </c>
      <c r="I1571" s="54">
        <f t="shared" si="26"/>
        <v>2842070287</v>
      </c>
      <c r="J1571" s="52">
        <v>0</v>
      </c>
      <c r="M1571" s="38" t="str">
        <f>IF([1]totrevprm!O1571="","",[1]totrevprm!O1571)</f>
        <v/>
      </c>
    </row>
    <row r="1572" spans="1:13">
      <c r="A1572" s="49" t="s">
        <v>68</v>
      </c>
      <c r="B1572" s="46" t="s">
        <v>262</v>
      </c>
      <c r="C1572" s="50" t="s">
        <v>732</v>
      </c>
      <c r="D1572" s="51">
        <v>1995</v>
      </c>
      <c r="E1572" s="53">
        <v>1209662608</v>
      </c>
      <c r="F1572" s="53">
        <v>528614246</v>
      </c>
      <c r="G1572" s="53">
        <v>1163662102</v>
      </c>
      <c r="H1572" s="53">
        <v>0</v>
      </c>
      <c r="I1572" s="54">
        <f t="shared" si="26"/>
        <v>2901938956</v>
      </c>
      <c r="J1572" s="52">
        <v>0</v>
      </c>
      <c r="M1572" s="38" t="str">
        <f>IF([1]totrevprm!O1572="","",[1]totrevprm!O1572)</f>
        <v/>
      </c>
    </row>
    <row r="1573" spans="1:13">
      <c r="A1573" s="49" t="s">
        <v>68</v>
      </c>
      <c r="B1573" s="46" t="s">
        <v>262</v>
      </c>
      <c r="C1573" s="50" t="s">
        <v>732</v>
      </c>
      <c r="D1573" s="51">
        <v>1996</v>
      </c>
      <c r="E1573" s="53">
        <v>1134564209</v>
      </c>
      <c r="F1573" s="53">
        <v>450933838</v>
      </c>
      <c r="G1573" s="53">
        <v>1239784959</v>
      </c>
      <c r="H1573" s="53">
        <v>0</v>
      </c>
      <c r="I1573" s="54">
        <f t="shared" si="26"/>
        <v>2825283006</v>
      </c>
      <c r="J1573" s="52">
        <v>0</v>
      </c>
      <c r="M1573" s="38" t="str">
        <f>IF([1]totrevprm!O1573="","",[1]totrevprm!O1573)</f>
        <v/>
      </c>
    </row>
    <row r="1574" spans="1:13">
      <c r="A1574" s="49" t="s">
        <v>68</v>
      </c>
      <c r="B1574" s="46" t="s">
        <v>262</v>
      </c>
      <c r="C1574" s="50" t="s">
        <v>732</v>
      </c>
      <c r="D1574" s="51">
        <v>1997</v>
      </c>
      <c r="E1574" s="53">
        <v>1119268528</v>
      </c>
      <c r="F1574" s="53">
        <v>513078474</v>
      </c>
      <c r="G1574" s="53">
        <v>1315429048</v>
      </c>
      <c r="H1574" s="53">
        <v>0</v>
      </c>
      <c r="I1574" s="54">
        <f t="shared" si="26"/>
        <v>2947776050</v>
      </c>
      <c r="J1574" s="52">
        <v>0</v>
      </c>
      <c r="M1574" s="38" t="str">
        <f>IF([1]totrevprm!O1574="","",[1]totrevprm!O1574)</f>
        <v/>
      </c>
    </row>
    <row r="1575" spans="1:13">
      <c r="A1575" s="49" t="s">
        <v>68</v>
      </c>
      <c r="B1575" s="46" t="s">
        <v>262</v>
      </c>
      <c r="C1575" s="50" t="s">
        <v>732</v>
      </c>
      <c r="D1575" s="51">
        <v>1998</v>
      </c>
      <c r="E1575" s="53">
        <v>1217115119</v>
      </c>
      <c r="F1575" s="53">
        <v>526140202</v>
      </c>
      <c r="G1575" s="53">
        <v>1400686753</v>
      </c>
      <c r="H1575" s="53">
        <v>0</v>
      </c>
      <c r="I1575" s="54">
        <f t="shared" si="26"/>
        <v>3143942074</v>
      </c>
      <c r="J1575" s="52">
        <v>0</v>
      </c>
      <c r="M1575" s="38" t="str">
        <f>IF([1]totrevprm!O1575="","",[1]totrevprm!O1575)</f>
        <v/>
      </c>
    </row>
    <row r="1576" spans="1:13">
      <c r="A1576" s="49" t="s">
        <v>68</v>
      </c>
      <c r="B1576" s="46" t="s">
        <v>262</v>
      </c>
      <c r="C1576" s="50" t="s">
        <v>732</v>
      </c>
      <c r="D1576" s="51">
        <v>1999</v>
      </c>
      <c r="E1576" s="53">
        <v>1257134727</v>
      </c>
      <c r="F1576" s="53">
        <v>776680609</v>
      </c>
      <c r="G1576" s="53">
        <v>1476502636</v>
      </c>
      <c r="H1576" s="53">
        <v>0</v>
      </c>
      <c r="I1576" s="54">
        <f t="shared" si="26"/>
        <v>3510317972</v>
      </c>
      <c r="J1576" s="52">
        <v>0</v>
      </c>
      <c r="M1576" s="38" t="str">
        <f>IF([1]totrevprm!O1576="","",[1]totrevprm!O1576)</f>
        <v/>
      </c>
    </row>
    <row r="1577" spans="1:13">
      <c r="A1577" s="49" t="s">
        <v>68</v>
      </c>
      <c r="B1577" s="46" t="s">
        <v>262</v>
      </c>
      <c r="C1577" s="50" t="s">
        <v>732</v>
      </c>
      <c r="D1577" s="51">
        <v>2000</v>
      </c>
      <c r="E1577" s="53">
        <v>1234999145</v>
      </c>
      <c r="F1577" s="53">
        <v>802629737</v>
      </c>
      <c r="G1577" s="53">
        <v>1581222394</v>
      </c>
      <c r="H1577" s="53">
        <v>0</v>
      </c>
      <c r="I1577" s="54">
        <f t="shared" si="26"/>
        <v>3618851276</v>
      </c>
      <c r="J1577" s="52">
        <v>0</v>
      </c>
      <c r="M1577" s="38" t="str">
        <f>IF([1]totrevprm!O1577="","",[1]totrevprm!O1577)</f>
        <v/>
      </c>
    </row>
    <row r="1578" spans="1:13">
      <c r="A1578" s="49" t="s">
        <v>68</v>
      </c>
      <c r="B1578" s="46" t="s">
        <v>262</v>
      </c>
      <c r="C1578" s="50" t="s">
        <v>732</v>
      </c>
      <c r="D1578" s="51">
        <v>2001</v>
      </c>
      <c r="E1578" s="53">
        <v>1295315977</v>
      </c>
      <c r="F1578" s="53">
        <v>1166497124</v>
      </c>
      <c r="G1578" s="53">
        <v>1703624206</v>
      </c>
      <c r="H1578" s="53">
        <v>0</v>
      </c>
      <c r="I1578" s="54">
        <f t="shared" si="26"/>
        <v>4165437307</v>
      </c>
      <c r="J1578" s="52">
        <v>0</v>
      </c>
      <c r="M1578" s="38" t="str">
        <f>IF([1]totrevprm!O1578="","",[1]totrevprm!O1578)</f>
        <v/>
      </c>
    </row>
    <row r="1579" spans="1:13">
      <c r="A1579" s="49" t="s">
        <v>68</v>
      </c>
      <c r="B1579" s="46" t="s">
        <v>262</v>
      </c>
      <c r="C1579" s="50" t="s">
        <v>732</v>
      </c>
      <c r="D1579" s="51">
        <v>2002</v>
      </c>
      <c r="E1579" s="53">
        <v>1261387093</v>
      </c>
      <c r="F1579" s="53">
        <v>1845580369</v>
      </c>
      <c r="G1579" s="53">
        <v>1862783234</v>
      </c>
      <c r="H1579" s="53">
        <v>0</v>
      </c>
      <c r="I1579" s="54">
        <f t="shared" si="26"/>
        <v>4969750696</v>
      </c>
      <c r="J1579" s="52">
        <v>0</v>
      </c>
      <c r="M1579" s="38" t="str">
        <f>IF([1]totrevprm!O1579="","",[1]totrevprm!O1579)</f>
        <v/>
      </c>
    </row>
    <row r="1580" spans="1:13">
      <c r="A1580" s="49" t="s">
        <v>68</v>
      </c>
      <c r="B1580" s="46" t="s">
        <v>262</v>
      </c>
      <c r="C1580" s="50" t="s">
        <v>732</v>
      </c>
      <c r="D1580" s="51">
        <v>2003</v>
      </c>
      <c r="E1580" s="55">
        <v>1329171095</v>
      </c>
      <c r="F1580" s="55">
        <v>1551652692</v>
      </c>
      <c r="G1580" s="55">
        <v>2009881222</v>
      </c>
      <c r="H1580" s="55">
        <v>0</v>
      </c>
      <c r="I1580" s="54">
        <f t="shared" si="26"/>
        <v>4890705009</v>
      </c>
      <c r="J1580" s="52">
        <v>0</v>
      </c>
      <c r="M1580" s="38" t="str">
        <f>IF([1]totrevprm!O1580="","",[1]totrevprm!O1580)</f>
        <v/>
      </c>
    </row>
    <row r="1581" spans="1:13">
      <c r="A1581" s="49" t="s">
        <v>68</v>
      </c>
      <c r="B1581" s="46" t="s">
        <v>262</v>
      </c>
      <c r="C1581" s="50" t="s">
        <v>732</v>
      </c>
      <c r="D1581" s="51">
        <v>2004</v>
      </c>
      <c r="E1581" s="55">
        <v>1416843063</v>
      </c>
      <c r="F1581" s="55">
        <v>1480694683</v>
      </c>
      <c r="G1581" s="55">
        <v>2133081032</v>
      </c>
      <c r="H1581" s="55">
        <v>0</v>
      </c>
      <c r="I1581" s="54">
        <f t="shared" si="26"/>
        <v>5030618778</v>
      </c>
      <c r="J1581" s="52">
        <v>0</v>
      </c>
      <c r="M1581" s="38" t="str">
        <f>IF([1]totrevprm!O1581="","",[1]totrevprm!O1581)</f>
        <v/>
      </c>
    </row>
    <row r="1582" spans="1:13">
      <c r="A1582" s="49" t="s">
        <v>68</v>
      </c>
      <c r="B1582" s="46" t="s">
        <v>262</v>
      </c>
      <c r="C1582" s="50"/>
      <c r="D1582" s="51">
        <v>2005</v>
      </c>
      <c r="E1582" s="55">
        <v>1390839284</v>
      </c>
      <c r="F1582" s="55">
        <v>1414756410</v>
      </c>
      <c r="G1582" s="55">
        <v>2356388761.5599899</v>
      </c>
      <c r="H1582" s="55">
        <v>0</v>
      </c>
      <c r="I1582" s="54">
        <f t="shared" si="26"/>
        <v>5161984455.5599899</v>
      </c>
      <c r="J1582" s="52">
        <v>0</v>
      </c>
      <c r="M1582" s="38" t="str">
        <f>IF([1]totrevprm!O1582="","",[1]totrevprm!O1582)</f>
        <v/>
      </c>
    </row>
    <row r="1583" spans="1:13">
      <c r="A1583" s="49" t="s">
        <v>68</v>
      </c>
      <c r="B1583" s="46" t="s">
        <v>262</v>
      </c>
      <c r="C1583" s="50"/>
      <c r="D1583" s="51">
        <v>2006</v>
      </c>
      <c r="E1583" s="56">
        <v>1508302360</v>
      </c>
      <c r="F1583" s="56">
        <v>1586695199</v>
      </c>
      <c r="G1583" s="56">
        <v>2619903242</v>
      </c>
      <c r="H1583" s="56">
        <v>0</v>
      </c>
      <c r="I1583" s="54">
        <f t="shared" si="26"/>
        <v>5714900801</v>
      </c>
      <c r="J1583" s="52">
        <v>0</v>
      </c>
      <c r="M1583" s="38" t="str">
        <f>IF([1]totrevprm!O1583="","",[1]totrevprm!O1583)</f>
        <v/>
      </c>
    </row>
    <row r="1584" spans="1:13">
      <c r="A1584" s="49" t="s">
        <v>68</v>
      </c>
      <c r="B1584" s="46" t="s">
        <v>262</v>
      </c>
      <c r="C1584" s="50"/>
      <c r="D1584" s="51">
        <v>2007</v>
      </c>
      <c r="E1584" s="56">
        <v>1575162470</v>
      </c>
      <c r="F1584" s="56">
        <v>1578173954</v>
      </c>
      <c r="G1584" s="56">
        <v>3211067351</v>
      </c>
      <c r="H1584" s="56">
        <v>0</v>
      </c>
      <c r="I1584" s="54">
        <f t="shared" si="26"/>
        <v>6364403775</v>
      </c>
      <c r="J1584" s="52">
        <v>0</v>
      </c>
      <c r="M1584" s="38" t="str">
        <f>IF([1]totrevprm!O1584="","",[1]totrevprm!O1584)</f>
        <v/>
      </c>
    </row>
    <row r="1585" spans="1:13">
      <c r="A1585" s="49" t="s">
        <v>68</v>
      </c>
      <c r="B1585" s="46" t="s">
        <v>262</v>
      </c>
      <c r="C1585" s="50"/>
      <c r="D1585" s="51">
        <v>2008</v>
      </c>
      <c r="E1585" s="56">
        <v>1646066616</v>
      </c>
      <c r="F1585" s="56">
        <v>2242256879</v>
      </c>
      <c r="G1585" s="56">
        <v>3805257119</v>
      </c>
      <c r="H1585" s="56">
        <v>0</v>
      </c>
      <c r="I1585" s="54">
        <f t="shared" si="26"/>
        <v>7693580614</v>
      </c>
      <c r="J1585" s="52">
        <v>0</v>
      </c>
      <c r="M1585" s="38" t="str">
        <f>IF([1]totrevprm!O1585="","",[1]totrevprm!O1585)</f>
        <v/>
      </c>
    </row>
    <row r="1586" spans="1:13">
      <c r="A1586" s="49" t="s">
        <v>68</v>
      </c>
      <c r="B1586" s="46" t="s">
        <v>262</v>
      </c>
      <c r="C1586" s="50"/>
      <c r="D1586" s="51">
        <v>2009</v>
      </c>
      <c r="E1586" s="56">
        <v>1674205107</v>
      </c>
      <c r="F1586" s="56">
        <v>2243268235</v>
      </c>
      <c r="G1586" s="56">
        <v>4014438638</v>
      </c>
      <c r="H1586" s="56">
        <v>0</v>
      </c>
      <c r="I1586" s="54">
        <f t="shared" si="26"/>
        <v>7931911980</v>
      </c>
      <c r="J1586" s="52">
        <v>0</v>
      </c>
      <c r="M1586" s="38" t="str">
        <f>IF([1]totrevprm!O1586="","",[1]totrevprm!O1586)</f>
        <v/>
      </c>
    </row>
    <row r="1587" spans="1:13">
      <c r="A1587" s="49" t="s">
        <v>68</v>
      </c>
      <c r="B1587" s="46" t="s">
        <v>262</v>
      </c>
      <c r="C1587" s="50"/>
      <c r="D1587" s="51">
        <v>2010</v>
      </c>
      <c r="E1587" s="56">
        <v>1717720032</v>
      </c>
      <c r="F1587" s="56">
        <v>2927415498</v>
      </c>
      <c r="G1587" s="56">
        <v>3827478465</v>
      </c>
      <c r="H1587" s="56">
        <v>0</v>
      </c>
      <c r="I1587" s="54">
        <f t="shared" si="26"/>
        <v>8472613995</v>
      </c>
      <c r="J1587" s="52">
        <v>0</v>
      </c>
      <c r="M1587" s="38" t="str">
        <f>IF([1]totrevprm!O1587="","",[1]totrevprm!O1587)</f>
        <v/>
      </c>
    </row>
    <row r="1588" spans="1:13">
      <c r="A1588" s="49" t="s">
        <v>68</v>
      </c>
      <c r="B1588" s="46" t="s">
        <v>262</v>
      </c>
      <c r="C1588" s="50"/>
      <c r="D1588" s="51">
        <v>2011</v>
      </c>
      <c r="E1588" s="56">
        <v>1796389183</v>
      </c>
      <c r="F1588" s="56">
        <v>2112853248</v>
      </c>
      <c r="G1588" s="56">
        <v>4065516773.0599999</v>
      </c>
      <c r="H1588" s="56">
        <v>0</v>
      </c>
      <c r="I1588" s="54">
        <f t="shared" si="26"/>
        <v>7974759204.0599995</v>
      </c>
      <c r="J1588" s="52">
        <v>0</v>
      </c>
      <c r="M1588" s="38" t="str">
        <f>IF([1]totrevprm!O1588="","",[1]totrevprm!O1588)</f>
        <v/>
      </c>
    </row>
    <row r="1589" spans="1:13">
      <c r="A1589" s="49" t="s">
        <v>68</v>
      </c>
      <c r="B1589" s="46" t="s">
        <v>262</v>
      </c>
      <c r="C1589" s="50"/>
      <c r="D1589" s="51">
        <v>2012</v>
      </c>
      <c r="E1589" s="56">
        <v>1910294440</v>
      </c>
      <c r="F1589" s="56">
        <v>2456078533</v>
      </c>
      <c r="G1589" s="56">
        <v>4259547737</v>
      </c>
      <c r="H1589" s="56">
        <v>0</v>
      </c>
      <c r="I1589" s="54">
        <f t="shared" si="26"/>
        <v>8625920710</v>
      </c>
      <c r="J1589" s="52">
        <v>0</v>
      </c>
      <c r="M1589" s="38" t="str">
        <f>IF([1]totrevprm!O1589="","",[1]totrevprm!O1589)</f>
        <v/>
      </c>
    </row>
    <row r="1590" spans="1:13">
      <c r="A1590" s="49" t="s">
        <v>68</v>
      </c>
      <c r="B1590" s="46" t="s">
        <v>262</v>
      </c>
      <c r="C1590" s="50"/>
      <c r="D1590" s="51">
        <v>2013</v>
      </c>
      <c r="E1590" s="56">
        <v>1923786578</v>
      </c>
      <c r="F1590" s="56">
        <v>2304619456</v>
      </c>
      <c r="G1590" s="56">
        <v>3303225585</v>
      </c>
      <c r="H1590" s="56">
        <v>0</v>
      </c>
      <c r="I1590" s="54">
        <f t="shared" si="26"/>
        <v>7531631619</v>
      </c>
      <c r="J1590" s="52">
        <v>0</v>
      </c>
      <c r="M1590" s="38" t="str">
        <f>IF([1]totrevprm!O1590="","",[1]totrevprm!O1590)</f>
        <v/>
      </c>
    </row>
    <row r="1591" spans="1:13">
      <c r="A1591" s="49" t="s">
        <v>68</v>
      </c>
      <c r="B1591" s="46" t="s">
        <v>262</v>
      </c>
      <c r="C1591" s="50"/>
      <c r="D1591" s="51">
        <v>2014</v>
      </c>
      <c r="E1591" s="56">
        <v>1942052134</v>
      </c>
      <c r="F1591" s="56">
        <v>2437376422</v>
      </c>
      <c r="G1591" s="56">
        <v>3693901601.1900001</v>
      </c>
      <c r="H1591" s="56">
        <v>0</v>
      </c>
      <c r="I1591" s="54">
        <f t="shared" si="26"/>
        <v>8073330157.1900005</v>
      </c>
      <c r="J1591" s="52">
        <v>0</v>
      </c>
      <c r="M1591" s="38" t="str">
        <f>IF([1]totrevprm!O1591="","",[1]totrevprm!O1591)</f>
        <v/>
      </c>
    </row>
    <row r="1592" spans="1:13">
      <c r="A1592" s="49" t="s">
        <v>68</v>
      </c>
      <c r="B1592" s="46" t="s">
        <v>262</v>
      </c>
      <c r="C1592" s="50"/>
      <c r="D1592" s="51">
        <v>2015</v>
      </c>
      <c r="E1592" s="56">
        <v>2044134915</v>
      </c>
      <c r="F1592" s="56">
        <v>2931997944</v>
      </c>
      <c r="G1592" s="56">
        <v>3613263501</v>
      </c>
      <c r="H1592" s="56">
        <v>0</v>
      </c>
      <c r="I1592" s="54">
        <f t="shared" si="26"/>
        <v>8589396360</v>
      </c>
      <c r="J1592" s="52">
        <v>0</v>
      </c>
      <c r="M1592" s="38" t="str">
        <f>IF([1]totrevprm!O1592="","",[1]totrevprm!O1592)</f>
        <v/>
      </c>
    </row>
    <row r="1593" spans="1:13">
      <c r="A1593" s="49" t="s">
        <v>68</v>
      </c>
      <c r="B1593" s="46" t="s">
        <v>262</v>
      </c>
      <c r="C1593" s="50"/>
      <c r="D1593" s="51">
        <v>2016</v>
      </c>
      <c r="E1593" s="56">
        <v>2120061316</v>
      </c>
      <c r="F1593" s="56">
        <v>3136176712</v>
      </c>
      <c r="G1593" s="56">
        <v>3951071097</v>
      </c>
      <c r="H1593" s="56">
        <v>0</v>
      </c>
      <c r="I1593" s="54">
        <f t="shared" si="26"/>
        <v>9207309125</v>
      </c>
      <c r="J1593" s="52">
        <v>0</v>
      </c>
      <c r="M1593" s="38" t="str">
        <f>IF([1]totrevprm!O1593="","",[1]totrevprm!O1593)</f>
        <v/>
      </c>
    </row>
    <row r="1594" spans="1:13">
      <c r="A1594" s="49" t="s">
        <v>68</v>
      </c>
      <c r="B1594" s="46" t="s">
        <v>262</v>
      </c>
      <c r="C1594" s="50"/>
      <c r="D1594" s="51">
        <v>2017</v>
      </c>
      <c r="E1594" s="56">
        <v>2240435673</v>
      </c>
      <c r="F1594" s="56">
        <v>2996928638</v>
      </c>
      <c r="G1594" s="56">
        <v>4739825797.1599998</v>
      </c>
      <c r="H1594" s="56">
        <v>0</v>
      </c>
      <c r="I1594" s="54">
        <f t="shared" si="26"/>
        <v>9977190108.1599998</v>
      </c>
      <c r="J1594" s="52">
        <v>0</v>
      </c>
      <c r="M1594" s="38" t="str">
        <f>IF([1]totrevprm!O1594="","",[1]totrevprm!O1594)</f>
        <v/>
      </c>
    </row>
    <row r="1595" spans="1:13">
      <c r="A1595" s="49" t="s">
        <v>68</v>
      </c>
      <c r="B1595" s="46" t="s">
        <v>262</v>
      </c>
      <c r="C1595" s="50"/>
      <c r="D1595" s="51">
        <v>2018</v>
      </c>
      <c r="E1595" s="56">
        <v>2257174323</v>
      </c>
      <c r="F1595" s="56">
        <v>3505794546</v>
      </c>
      <c r="G1595" s="56">
        <v>5179200677.0599995</v>
      </c>
      <c r="H1595" s="56">
        <v>0</v>
      </c>
      <c r="I1595" s="54">
        <f t="shared" si="26"/>
        <v>10942169546.059999</v>
      </c>
      <c r="J1595" s="56">
        <v>0</v>
      </c>
      <c r="M1595" s="38" t="str">
        <f>IF([1]totrevprm!O1595="","",[1]totrevprm!O1595)</f>
        <v/>
      </c>
    </row>
    <row r="1596" spans="1:13">
      <c r="A1596" s="49" t="s">
        <v>68</v>
      </c>
      <c r="B1596" s="46" t="s">
        <v>262</v>
      </c>
      <c r="C1596" s="50"/>
      <c r="D1596" s="51">
        <v>2019</v>
      </c>
      <c r="E1596" s="56">
        <v>2374333283</v>
      </c>
      <c r="F1596" s="56">
        <v>3956768319</v>
      </c>
      <c r="G1596" s="56">
        <v>5377184579.7453995</v>
      </c>
      <c r="H1596" s="56">
        <v>0</v>
      </c>
      <c r="I1596" s="54">
        <f t="shared" si="26"/>
        <v>11708286181.745399</v>
      </c>
      <c r="J1596" s="56">
        <v>0</v>
      </c>
      <c r="M1596" s="38" t="str">
        <f>IF([1]totrevprm!O1596="","",[1]totrevprm!O1596)</f>
        <v/>
      </c>
    </row>
    <row r="1597" spans="1:13">
      <c r="A1597" s="49" t="s">
        <v>68</v>
      </c>
      <c r="B1597" s="46" t="s">
        <v>262</v>
      </c>
      <c r="C1597" s="50"/>
      <c r="D1597" s="51">
        <v>2020</v>
      </c>
      <c r="E1597" s="56">
        <v>2436275499</v>
      </c>
      <c r="F1597" s="56">
        <v>3595448162</v>
      </c>
      <c r="G1597" s="56">
        <v>5847642242</v>
      </c>
      <c r="H1597" s="56">
        <v>0</v>
      </c>
      <c r="I1597" s="54">
        <f t="shared" si="26"/>
        <v>11879365903</v>
      </c>
      <c r="J1597" s="56">
        <v>0</v>
      </c>
      <c r="K1597" s="61" t="s">
        <v>763</v>
      </c>
      <c r="L1597" t="s">
        <v>720</v>
      </c>
      <c r="M1597" s="38" t="str">
        <f>IF([1]totrevprm!O1597="","",[1]totrevprm!O1597)</f>
        <v>Yes</v>
      </c>
    </row>
    <row r="1598" spans="1:13">
      <c r="A1598" s="49" t="s">
        <v>68</v>
      </c>
      <c r="B1598" s="46" t="s">
        <v>262</v>
      </c>
      <c r="C1598" s="50"/>
      <c r="D1598" s="51">
        <v>2021</v>
      </c>
      <c r="E1598" s="56">
        <v>2613395888</v>
      </c>
      <c r="F1598" s="56">
        <v>4345631639</v>
      </c>
      <c r="G1598" s="56">
        <v>6174678932</v>
      </c>
      <c r="H1598" s="56">
        <v>0</v>
      </c>
      <c r="I1598" s="54">
        <f t="shared" si="26"/>
        <v>13133706459</v>
      </c>
      <c r="J1598" s="56">
        <v>0</v>
      </c>
      <c r="K1598" s="61" t="s">
        <v>739</v>
      </c>
      <c r="L1598" t="s">
        <v>720</v>
      </c>
      <c r="M1598" s="38"/>
    </row>
    <row r="1599" spans="1:13">
      <c r="A1599" s="49" t="s">
        <v>68</v>
      </c>
      <c r="B1599" s="46" t="s">
        <v>262</v>
      </c>
      <c r="C1599" s="50"/>
      <c r="D1599" s="51">
        <v>2022</v>
      </c>
      <c r="E1599" s="56">
        <v>2638139602</v>
      </c>
      <c r="F1599" s="56">
        <v>5828475511</v>
      </c>
      <c r="G1599" s="56">
        <v>6550710962</v>
      </c>
      <c r="H1599" s="56">
        <v>0</v>
      </c>
      <c r="I1599" s="54">
        <f t="shared" si="26"/>
        <v>15017326075</v>
      </c>
      <c r="J1599" s="56">
        <v>0</v>
      </c>
      <c r="K1599" s="61" t="s">
        <v>739</v>
      </c>
      <c r="L1599" t="s">
        <v>720</v>
      </c>
      <c r="M1599" s="38" t="str">
        <f>IF([1]totrevprm!O1602="","",[1]totrevprm!O1602)</f>
        <v/>
      </c>
    </row>
    <row r="1600" spans="1:13">
      <c r="A1600" s="49" t="s">
        <v>68</v>
      </c>
      <c r="B1600" s="46" t="s">
        <v>262</v>
      </c>
      <c r="C1600" s="50"/>
      <c r="D1600" s="51">
        <v>2023</v>
      </c>
      <c r="E1600" s="56">
        <v>2744628382</v>
      </c>
      <c r="F1600" s="56">
        <v>6652569458.5565004</v>
      </c>
      <c r="G1600" s="56">
        <v>7608168659.0443001</v>
      </c>
      <c r="H1600" s="56">
        <v>0</v>
      </c>
      <c r="I1600" s="54">
        <f t="shared" si="26"/>
        <v>17005366499.6008</v>
      </c>
      <c r="J1600" s="52">
        <v>0</v>
      </c>
      <c r="K1600" s="61" t="s">
        <v>739</v>
      </c>
      <c r="M1600" s="38"/>
    </row>
    <row r="1601" spans="1:13">
      <c r="A1601" s="49" t="s">
        <v>68</v>
      </c>
      <c r="B1601" s="46" t="s">
        <v>262</v>
      </c>
      <c r="C1601" s="50"/>
      <c r="D1601" s="57">
        <v>2024</v>
      </c>
      <c r="E1601" s="52">
        <v>2833901351.71</v>
      </c>
      <c r="F1601" s="52">
        <v>7721937642.8699999</v>
      </c>
      <c r="G1601" s="52">
        <v>8858576488</v>
      </c>
      <c r="H1601" s="52">
        <v>0</v>
      </c>
      <c r="I1601" s="54">
        <f t="shared" si="26"/>
        <v>19414415482.580002</v>
      </c>
      <c r="J1601" s="56">
        <v>0</v>
      </c>
      <c r="K1601" s="61" t="s">
        <v>739</v>
      </c>
      <c r="M1601" s="38"/>
    </row>
    <row r="1602" spans="1:13">
      <c r="A1602" s="49"/>
      <c r="B1602" s="50"/>
      <c r="C1602" s="50"/>
      <c r="E1602" s="53"/>
      <c r="F1602" s="53"/>
      <c r="G1602" s="53"/>
      <c r="H1602" s="53"/>
      <c r="I1602" s="54"/>
      <c r="J1602" s="52"/>
      <c r="M1602" s="38"/>
    </row>
    <row r="1603" spans="1:13">
      <c r="A1603" s="49" t="s">
        <v>69</v>
      </c>
      <c r="B1603" s="46" t="s">
        <v>649</v>
      </c>
      <c r="C1603" s="50" t="s">
        <v>731</v>
      </c>
      <c r="D1603" s="51">
        <v>1988</v>
      </c>
      <c r="E1603" s="53">
        <v>171874879</v>
      </c>
      <c r="F1603" s="53">
        <v>160470797</v>
      </c>
      <c r="G1603" s="53">
        <v>224310316</v>
      </c>
      <c r="H1603" s="53">
        <v>0</v>
      </c>
      <c r="I1603" s="54">
        <f t="shared" si="26"/>
        <v>556655992</v>
      </c>
      <c r="J1603" s="52">
        <v>0</v>
      </c>
      <c r="M1603" s="38" t="str">
        <f>IF([1]totrevprm!O1603="","",[1]totrevprm!O1603)</f>
        <v/>
      </c>
    </row>
    <row r="1604" spans="1:13">
      <c r="A1604" s="49" t="s">
        <v>69</v>
      </c>
      <c r="B1604" s="46" t="s">
        <v>649</v>
      </c>
      <c r="C1604" s="50" t="s">
        <v>732</v>
      </c>
      <c r="D1604" s="51">
        <v>1989</v>
      </c>
      <c r="E1604" s="53">
        <v>164165888</v>
      </c>
      <c r="F1604" s="53">
        <v>154402927</v>
      </c>
      <c r="G1604" s="53">
        <v>239395164</v>
      </c>
      <c r="H1604" s="53">
        <v>0</v>
      </c>
      <c r="I1604" s="54">
        <f t="shared" si="26"/>
        <v>557963979</v>
      </c>
      <c r="J1604" s="52">
        <v>0</v>
      </c>
      <c r="M1604" s="38" t="str">
        <f>IF([1]totrevprm!O1604="","",[1]totrevprm!O1604)</f>
        <v/>
      </c>
    </row>
    <row r="1605" spans="1:13">
      <c r="A1605" s="49" t="s">
        <v>69</v>
      </c>
      <c r="B1605" s="46" t="s">
        <v>649</v>
      </c>
      <c r="C1605" s="50" t="s">
        <v>732</v>
      </c>
      <c r="D1605" s="51">
        <v>1990</v>
      </c>
      <c r="E1605" s="53">
        <v>167821811</v>
      </c>
      <c r="F1605" s="53">
        <v>165387971.84</v>
      </c>
      <c r="G1605" s="53">
        <v>254570615</v>
      </c>
      <c r="H1605" s="53">
        <v>0</v>
      </c>
      <c r="I1605" s="54">
        <f t="shared" si="26"/>
        <v>587780397.84000003</v>
      </c>
      <c r="J1605" s="52">
        <v>0</v>
      </c>
      <c r="M1605" s="38" t="str">
        <f>IF([1]totrevprm!O1605="","",[1]totrevprm!O1605)</f>
        <v/>
      </c>
    </row>
    <row r="1606" spans="1:13">
      <c r="A1606" s="49" t="s">
        <v>69</v>
      </c>
      <c r="B1606" s="46" t="s">
        <v>649</v>
      </c>
      <c r="C1606" s="50" t="s">
        <v>732</v>
      </c>
      <c r="D1606" s="51">
        <v>1991</v>
      </c>
      <c r="E1606" s="53">
        <v>179567209</v>
      </c>
      <c r="F1606" s="53">
        <v>181276707</v>
      </c>
      <c r="G1606" s="53">
        <v>266294144</v>
      </c>
      <c r="H1606" s="53">
        <v>0</v>
      </c>
      <c r="I1606" s="54">
        <f t="shared" si="26"/>
        <v>627138060</v>
      </c>
      <c r="J1606" s="52">
        <v>0</v>
      </c>
      <c r="M1606" s="38" t="str">
        <f>IF([1]totrevprm!O1606="","",[1]totrevprm!O1606)</f>
        <v/>
      </c>
    </row>
    <row r="1607" spans="1:13">
      <c r="A1607" s="49" t="s">
        <v>69</v>
      </c>
      <c r="B1607" s="46" t="s">
        <v>649</v>
      </c>
      <c r="C1607" s="50" t="s">
        <v>732</v>
      </c>
      <c r="D1607" s="51">
        <v>1992</v>
      </c>
      <c r="E1607" s="53">
        <v>189295694</v>
      </c>
      <c r="F1607" s="53">
        <v>177520864.19999999</v>
      </c>
      <c r="G1607" s="53">
        <v>293691882</v>
      </c>
      <c r="H1607" s="53">
        <v>0</v>
      </c>
      <c r="I1607" s="54">
        <f t="shared" si="26"/>
        <v>660508440.20000005</v>
      </c>
      <c r="J1607" s="52">
        <v>0</v>
      </c>
      <c r="M1607" s="38" t="str">
        <f>IF([1]totrevprm!O1607="","",[1]totrevprm!O1607)</f>
        <v/>
      </c>
    </row>
    <row r="1608" spans="1:13">
      <c r="A1608" s="49" t="s">
        <v>69</v>
      </c>
      <c r="B1608" s="46" t="s">
        <v>649</v>
      </c>
      <c r="C1608" s="50" t="s">
        <v>732</v>
      </c>
      <c r="D1608" s="51">
        <v>1993</v>
      </c>
      <c r="E1608" s="53">
        <v>184534209</v>
      </c>
      <c r="F1608" s="53">
        <v>154806390</v>
      </c>
      <c r="G1608" s="53">
        <v>309129040</v>
      </c>
      <c r="H1608" s="53">
        <v>0</v>
      </c>
      <c r="I1608" s="54">
        <f t="shared" si="26"/>
        <v>648469639</v>
      </c>
      <c r="J1608" s="52">
        <v>0</v>
      </c>
      <c r="M1608" s="38" t="str">
        <f>IF([1]totrevprm!O1608="","",[1]totrevprm!O1608)</f>
        <v/>
      </c>
    </row>
    <row r="1609" spans="1:13">
      <c r="A1609" s="49" t="s">
        <v>69</v>
      </c>
      <c r="B1609" s="46" t="s">
        <v>649</v>
      </c>
      <c r="C1609" s="50" t="s">
        <v>732</v>
      </c>
      <c r="D1609" s="51">
        <v>1994</v>
      </c>
      <c r="E1609" s="53">
        <v>204777549</v>
      </c>
      <c r="F1609" s="53">
        <v>198188809</v>
      </c>
      <c r="G1609" s="53">
        <v>336796117</v>
      </c>
      <c r="H1609" s="53">
        <v>0</v>
      </c>
      <c r="I1609" s="54">
        <f t="shared" si="26"/>
        <v>739762475</v>
      </c>
      <c r="J1609" s="52">
        <v>0</v>
      </c>
      <c r="M1609" s="38" t="str">
        <f>IF([1]totrevprm!O1609="","",[1]totrevprm!O1609)</f>
        <v/>
      </c>
    </row>
    <row r="1610" spans="1:13">
      <c r="A1610" s="49" t="s">
        <v>69</v>
      </c>
      <c r="B1610" s="46" t="s">
        <v>649</v>
      </c>
      <c r="C1610" s="50" t="s">
        <v>732</v>
      </c>
      <c r="D1610" s="51">
        <v>1995</v>
      </c>
      <c r="E1610" s="53">
        <v>223151747</v>
      </c>
      <c r="F1610" s="53">
        <v>199043824</v>
      </c>
      <c r="G1610" s="53">
        <v>315070850</v>
      </c>
      <c r="H1610" s="53">
        <v>0</v>
      </c>
      <c r="I1610" s="54">
        <f t="shared" ref="I1610:I1674" si="27">SUM(E1610:H1610)</f>
        <v>737266421</v>
      </c>
      <c r="J1610" s="52">
        <v>0</v>
      </c>
      <c r="M1610" s="38" t="str">
        <f>IF([1]totrevprm!O1610="","",[1]totrevprm!O1610)</f>
        <v/>
      </c>
    </row>
    <row r="1611" spans="1:13">
      <c r="A1611" s="49" t="s">
        <v>69</v>
      </c>
      <c r="B1611" s="46" t="s">
        <v>649</v>
      </c>
      <c r="C1611" s="50" t="s">
        <v>732</v>
      </c>
      <c r="D1611" s="51">
        <v>1996</v>
      </c>
      <c r="E1611" s="53">
        <v>231483651</v>
      </c>
      <c r="F1611" s="53">
        <v>145665585</v>
      </c>
      <c r="G1611" s="53">
        <v>351139255</v>
      </c>
      <c r="H1611" s="53">
        <v>0</v>
      </c>
      <c r="I1611" s="54">
        <f t="shared" si="27"/>
        <v>728288491</v>
      </c>
      <c r="J1611" s="52">
        <v>0</v>
      </c>
      <c r="M1611" s="38" t="str">
        <f>IF([1]totrevprm!O1611="","",[1]totrevprm!O1611)</f>
        <v/>
      </c>
    </row>
    <row r="1612" spans="1:13">
      <c r="A1612" s="49" t="s">
        <v>69</v>
      </c>
      <c r="B1612" s="46" t="s">
        <v>649</v>
      </c>
      <c r="C1612" s="50" t="s">
        <v>732</v>
      </c>
      <c r="D1612" s="51">
        <v>1997</v>
      </c>
      <c r="E1612" s="53">
        <v>233356861</v>
      </c>
      <c r="F1612" s="53">
        <v>153521535</v>
      </c>
      <c r="G1612" s="53">
        <v>415557589</v>
      </c>
      <c r="H1612" s="53">
        <v>0</v>
      </c>
      <c r="I1612" s="54">
        <f t="shared" si="27"/>
        <v>802435985</v>
      </c>
      <c r="J1612" s="52">
        <v>0</v>
      </c>
      <c r="M1612" s="38" t="str">
        <f>IF([1]totrevprm!O1612="","",[1]totrevprm!O1612)</f>
        <v/>
      </c>
    </row>
    <row r="1613" spans="1:13">
      <c r="A1613" s="49" t="s">
        <v>69</v>
      </c>
      <c r="B1613" s="46" t="s">
        <v>649</v>
      </c>
      <c r="C1613" s="50" t="s">
        <v>732</v>
      </c>
      <c r="D1613" s="51">
        <v>1998</v>
      </c>
      <c r="E1613" s="53">
        <v>225174978</v>
      </c>
      <c r="F1613" s="53">
        <v>143147379</v>
      </c>
      <c r="G1613" s="53">
        <v>410864385</v>
      </c>
      <c r="H1613" s="53">
        <v>0</v>
      </c>
      <c r="I1613" s="54">
        <f t="shared" si="27"/>
        <v>779186742</v>
      </c>
      <c r="J1613" s="52">
        <v>0</v>
      </c>
      <c r="M1613" s="38" t="str">
        <f>IF([1]totrevprm!O1613="","",[1]totrevprm!O1613)</f>
        <v/>
      </c>
    </row>
    <row r="1614" spans="1:13">
      <c r="A1614" s="49" t="s">
        <v>69</v>
      </c>
      <c r="B1614" s="46" t="s">
        <v>649</v>
      </c>
      <c r="C1614" s="50" t="s">
        <v>732</v>
      </c>
      <c r="D1614" s="51">
        <v>1999</v>
      </c>
      <c r="E1614" s="53">
        <v>235379857</v>
      </c>
      <c r="F1614" s="53">
        <v>213865986</v>
      </c>
      <c r="G1614" s="53">
        <v>445546362</v>
      </c>
      <c r="H1614" s="53">
        <v>0</v>
      </c>
      <c r="I1614" s="54">
        <f t="shared" si="27"/>
        <v>894792205</v>
      </c>
      <c r="J1614" s="52">
        <v>0</v>
      </c>
      <c r="M1614" s="38" t="str">
        <f>IF([1]totrevprm!O1614="","",[1]totrevprm!O1614)</f>
        <v/>
      </c>
    </row>
    <row r="1615" spans="1:13">
      <c r="A1615" s="49" t="s">
        <v>69</v>
      </c>
      <c r="B1615" s="46" t="s">
        <v>649</v>
      </c>
      <c r="C1615" s="50" t="s">
        <v>732</v>
      </c>
      <c r="D1615" s="51">
        <v>2000</v>
      </c>
      <c r="E1615" s="53">
        <v>239961279</v>
      </c>
      <c r="F1615" s="53">
        <v>218007368</v>
      </c>
      <c r="G1615" s="53">
        <v>466355760</v>
      </c>
      <c r="H1615" s="53">
        <v>0</v>
      </c>
      <c r="I1615" s="54">
        <f t="shared" si="27"/>
        <v>924324407</v>
      </c>
      <c r="J1615" s="52">
        <v>0</v>
      </c>
      <c r="M1615" s="38" t="str">
        <f>IF([1]totrevprm!O1615="","",[1]totrevprm!O1615)</f>
        <v/>
      </c>
    </row>
    <row r="1616" spans="1:13">
      <c r="A1616" s="49" t="s">
        <v>69</v>
      </c>
      <c r="B1616" s="46" t="s">
        <v>649</v>
      </c>
      <c r="C1616" s="50" t="s">
        <v>732</v>
      </c>
      <c r="D1616" s="51">
        <v>2001</v>
      </c>
      <c r="E1616" s="53">
        <v>245809542</v>
      </c>
      <c r="F1616" s="53">
        <v>292699443</v>
      </c>
      <c r="G1616" s="53">
        <v>511256771</v>
      </c>
      <c r="H1616" s="53">
        <v>0</v>
      </c>
      <c r="I1616" s="54">
        <f t="shared" si="27"/>
        <v>1049765756</v>
      </c>
      <c r="J1616" s="52">
        <v>0</v>
      </c>
      <c r="M1616" s="38" t="str">
        <f>IF([1]totrevprm!O1616="","",[1]totrevprm!O1616)</f>
        <v/>
      </c>
    </row>
    <row r="1617" spans="1:13">
      <c r="A1617" s="49" t="s">
        <v>69</v>
      </c>
      <c r="B1617" s="46" t="s">
        <v>649</v>
      </c>
      <c r="C1617" s="50" t="s">
        <v>732</v>
      </c>
      <c r="D1617" s="51">
        <v>2002</v>
      </c>
      <c r="E1617" s="53">
        <v>283298104</v>
      </c>
      <c r="F1617" s="53">
        <v>359384401</v>
      </c>
      <c r="G1617" s="53">
        <v>524895916</v>
      </c>
      <c r="H1617" s="53">
        <v>0</v>
      </c>
      <c r="I1617" s="54">
        <f t="shared" si="27"/>
        <v>1167578421</v>
      </c>
      <c r="J1617" s="52">
        <v>0</v>
      </c>
      <c r="M1617" s="38" t="str">
        <f>IF([1]totrevprm!O1617="","",[1]totrevprm!O1617)</f>
        <v/>
      </c>
    </row>
    <row r="1618" spans="1:13">
      <c r="A1618" s="49" t="s">
        <v>69</v>
      </c>
      <c r="B1618" s="46" t="s">
        <v>649</v>
      </c>
      <c r="C1618" s="50" t="s">
        <v>814</v>
      </c>
      <c r="D1618" s="51">
        <v>2003</v>
      </c>
      <c r="E1618" s="55">
        <v>269449663</v>
      </c>
      <c r="F1618" s="55">
        <v>315582735</v>
      </c>
      <c r="G1618" s="55">
        <v>566158179</v>
      </c>
      <c r="H1618" s="53">
        <v>0</v>
      </c>
      <c r="I1618" s="54">
        <f t="shared" si="27"/>
        <v>1151190577</v>
      </c>
      <c r="J1618" s="52">
        <v>0</v>
      </c>
      <c r="K1618" s="72"/>
      <c r="L1618" s="72"/>
      <c r="M1618" s="38" t="str">
        <f>IF([1]totrevprm!O1618="","",[1]totrevprm!O1618)</f>
        <v/>
      </c>
    </row>
    <row r="1619" spans="1:13">
      <c r="A1619" s="49" t="s">
        <v>69</v>
      </c>
      <c r="B1619" s="46" t="s">
        <v>649</v>
      </c>
      <c r="C1619" s="50" t="s">
        <v>732</v>
      </c>
      <c r="D1619" s="51">
        <v>2004</v>
      </c>
      <c r="E1619" s="55">
        <v>306844117</v>
      </c>
      <c r="F1619" s="55">
        <v>294072377</v>
      </c>
      <c r="G1619" s="55">
        <v>603701228</v>
      </c>
      <c r="H1619" s="53">
        <v>0</v>
      </c>
      <c r="I1619" s="54">
        <f t="shared" si="27"/>
        <v>1204617722</v>
      </c>
      <c r="J1619" s="52">
        <v>0</v>
      </c>
      <c r="M1619" s="38" t="str">
        <f>IF([1]totrevprm!O1619="","",[1]totrevprm!O1619)</f>
        <v/>
      </c>
    </row>
    <row r="1620" spans="1:13">
      <c r="A1620" s="49" t="s">
        <v>69</v>
      </c>
      <c r="B1620" s="46" t="s">
        <v>649</v>
      </c>
      <c r="C1620" s="50"/>
      <c r="D1620" s="51">
        <v>2005</v>
      </c>
      <c r="E1620" s="55">
        <v>319199205</v>
      </c>
      <c r="F1620" s="55">
        <v>242601842</v>
      </c>
      <c r="G1620" s="55">
        <v>641529591.55999899</v>
      </c>
      <c r="H1620" s="53">
        <v>0</v>
      </c>
      <c r="I1620" s="54">
        <f t="shared" si="27"/>
        <v>1203330638.559999</v>
      </c>
      <c r="J1620" s="52">
        <v>0</v>
      </c>
      <c r="M1620" s="38" t="str">
        <f>IF([1]totrevprm!O1620="","",[1]totrevprm!O1620)</f>
        <v/>
      </c>
    </row>
    <row r="1621" spans="1:13">
      <c r="A1621" s="49" t="s">
        <v>69</v>
      </c>
      <c r="B1621" s="46" t="s">
        <v>649</v>
      </c>
      <c r="C1621" s="50"/>
      <c r="D1621" s="51">
        <v>2006</v>
      </c>
      <c r="E1621" s="56">
        <v>338323244</v>
      </c>
      <c r="F1621" s="56">
        <v>303115714</v>
      </c>
      <c r="G1621" s="56">
        <v>705336064</v>
      </c>
      <c r="H1621" s="56">
        <v>0</v>
      </c>
      <c r="I1621" s="54">
        <f t="shared" si="27"/>
        <v>1346775022</v>
      </c>
      <c r="J1621" s="52">
        <v>0</v>
      </c>
      <c r="M1621" s="38" t="str">
        <f>IF([1]totrevprm!O1621="","",[1]totrevprm!O1621)</f>
        <v/>
      </c>
    </row>
    <row r="1622" spans="1:13">
      <c r="A1622" s="49" t="s">
        <v>69</v>
      </c>
      <c r="B1622" s="46" t="s">
        <v>649</v>
      </c>
      <c r="C1622" s="50"/>
      <c r="D1622" s="51">
        <v>2007</v>
      </c>
      <c r="E1622" s="56">
        <v>371442131</v>
      </c>
      <c r="F1622" s="56">
        <v>321824767</v>
      </c>
      <c r="G1622" s="56">
        <v>758157353</v>
      </c>
      <c r="H1622" s="56">
        <v>0</v>
      </c>
      <c r="I1622" s="54">
        <f t="shared" si="27"/>
        <v>1451424251</v>
      </c>
      <c r="J1622" s="52">
        <v>0</v>
      </c>
      <c r="M1622" s="38" t="str">
        <f>IF([1]totrevprm!O1622="","",[1]totrevprm!O1622)</f>
        <v/>
      </c>
    </row>
    <row r="1623" spans="1:13">
      <c r="A1623" s="49" t="s">
        <v>69</v>
      </c>
      <c r="B1623" s="46" t="s">
        <v>649</v>
      </c>
      <c r="C1623" s="50"/>
      <c r="D1623" s="51">
        <v>2008</v>
      </c>
      <c r="E1623" s="56">
        <v>417072791</v>
      </c>
      <c r="F1623" s="56">
        <v>391320986</v>
      </c>
      <c r="G1623" s="56">
        <v>789455310</v>
      </c>
      <c r="H1623" s="56">
        <v>0</v>
      </c>
      <c r="I1623" s="54">
        <f t="shared" si="27"/>
        <v>1597849087</v>
      </c>
      <c r="J1623" s="52">
        <v>0</v>
      </c>
      <c r="M1623" s="38" t="str">
        <f>IF([1]totrevprm!O1623="","",[1]totrevprm!O1623)</f>
        <v/>
      </c>
    </row>
    <row r="1624" spans="1:13">
      <c r="A1624" s="49" t="s">
        <v>69</v>
      </c>
      <c r="B1624" s="46" t="s">
        <v>649</v>
      </c>
      <c r="C1624" s="50"/>
      <c r="D1624" s="51">
        <v>2009</v>
      </c>
      <c r="E1624" s="56">
        <v>450007311</v>
      </c>
      <c r="F1624" s="56">
        <v>326903554</v>
      </c>
      <c r="G1624" s="56">
        <v>824663481</v>
      </c>
      <c r="H1624" s="56">
        <v>0</v>
      </c>
      <c r="I1624" s="54">
        <f t="shared" si="27"/>
        <v>1601574346</v>
      </c>
      <c r="J1624" s="52">
        <v>0</v>
      </c>
      <c r="M1624" s="38" t="str">
        <f>IF([1]totrevprm!O1624="","",[1]totrevprm!O1624)</f>
        <v/>
      </c>
    </row>
    <row r="1625" spans="1:13">
      <c r="A1625" s="49" t="s">
        <v>69</v>
      </c>
      <c r="B1625" s="46" t="s">
        <v>649</v>
      </c>
      <c r="C1625" s="50"/>
      <c r="D1625" s="51">
        <v>2010</v>
      </c>
      <c r="E1625" s="56">
        <v>478518624</v>
      </c>
      <c r="F1625" s="56">
        <v>300380731</v>
      </c>
      <c r="G1625" s="56">
        <v>874503936</v>
      </c>
      <c r="H1625" s="56">
        <v>0</v>
      </c>
      <c r="I1625" s="54">
        <f t="shared" si="27"/>
        <v>1653403291</v>
      </c>
      <c r="J1625" s="52">
        <v>0</v>
      </c>
      <c r="M1625" s="38" t="str">
        <f>IF([1]totrevprm!O1625="","",[1]totrevprm!O1625)</f>
        <v/>
      </c>
    </row>
    <row r="1626" spans="1:13">
      <c r="A1626" s="49" t="s">
        <v>69</v>
      </c>
      <c r="B1626" s="46" t="s">
        <v>649</v>
      </c>
      <c r="C1626" s="50"/>
      <c r="D1626" s="51">
        <v>2011</v>
      </c>
      <c r="E1626" s="56">
        <v>503248281</v>
      </c>
      <c r="F1626" s="56">
        <v>308337154</v>
      </c>
      <c r="G1626" s="56">
        <v>887867281.20000005</v>
      </c>
      <c r="H1626" s="56">
        <v>0</v>
      </c>
      <c r="I1626" s="54">
        <f t="shared" si="27"/>
        <v>1699452716.2</v>
      </c>
      <c r="J1626" s="52">
        <v>0</v>
      </c>
      <c r="M1626" s="38" t="str">
        <f>IF([1]totrevprm!O1626="","",[1]totrevprm!O1626)</f>
        <v/>
      </c>
    </row>
    <row r="1627" spans="1:13">
      <c r="A1627" s="49" t="s">
        <v>69</v>
      </c>
      <c r="B1627" s="46" t="s">
        <v>649</v>
      </c>
      <c r="C1627" s="50"/>
      <c r="D1627" s="51">
        <v>2012</v>
      </c>
      <c r="E1627" s="56">
        <v>548865772</v>
      </c>
      <c r="F1627" s="56">
        <v>360400578</v>
      </c>
      <c r="G1627" s="56">
        <v>955893219</v>
      </c>
      <c r="H1627" s="56">
        <v>0</v>
      </c>
      <c r="I1627" s="54">
        <f t="shared" si="27"/>
        <v>1865159569</v>
      </c>
      <c r="J1627" s="52">
        <v>0</v>
      </c>
      <c r="M1627" s="38" t="str">
        <f>IF([1]totrevprm!O1627="","",[1]totrevprm!O1627)</f>
        <v/>
      </c>
    </row>
    <row r="1628" spans="1:13">
      <c r="A1628" s="49" t="s">
        <v>69</v>
      </c>
      <c r="B1628" s="46" t="s">
        <v>649</v>
      </c>
      <c r="C1628" s="50"/>
      <c r="D1628" s="51">
        <v>2013</v>
      </c>
      <c r="E1628" s="56">
        <v>551188249</v>
      </c>
      <c r="F1628" s="56">
        <v>373533466</v>
      </c>
      <c r="G1628" s="56">
        <v>895491424</v>
      </c>
      <c r="H1628" s="56">
        <v>0</v>
      </c>
      <c r="I1628" s="54">
        <f t="shared" si="27"/>
        <v>1820213139</v>
      </c>
      <c r="J1628" s="52">
        <v>0</v>
      </c>
      <c r="M1628" s="38" t="str">
        <f>IF([1]totrevprm!O1628="","",[1]totrevprm!O1628)</f>
        <v/>
      </c>
    </row>
    <row r="1629" spans="1:13">
      <c r="A1629" s="49" t="s">
        <v>69</v>
      </c>
      <c r="B1629" s="46" t="s">
        <v>649</v>
      </c>
      <c r="C1629" s="50"/>
      <c r="D1629" s="51">
        <v>2014</v>
      </c>
      <c r="E1629" s="56">
        <v>580195770</v>
      </c>
      <c r="F1629" s="56">
        <v>405284055</v>
      </c>
      <c r="G1629" s="56">
        <v>917815928.23000002</v>
      </c>
      <c r="H1629" s="56">
        <v>0</v>
      </c>
      <c r="I1629" s="54">
        <f t="shared" si="27"/>
        <v>1903295753.23</v>
      </c>
      <c r="J1629" s="52">
        <v>0</v>
      </c>
      <c r="M1629" s="38" t="str">
        <f>IF([1]totrevprm!O1629="","",[1]totrevprm!O1629)</f>
        <v/>
      </c>
    </row>
    <row r="1630" spans="1:13">
      <c r="A1630" s="49" t="s">
        <v>69</v>
      </c>
      <c r="B1630" s="46" t="s">
        <v>649</v>
      </c>
      <c r="C1630" s="50"/>
      <c r="D1630" s="51">
        <v>2015</v>
      </c>
      <c r="E1630" s="56">
        <v>694946343</v>
      </c>
      <c r="F1630" s="56">
        <v>462797225</v>
      </c>
      <c r="G1630" s="56">
        <v>1012972553</v>
      </c>
      <c r="H1630" s="56">
        <v>0</v>
      </c>
      <c r="I1630" s="54">
        <f t="shared" si="27"/>
        <v>2170716121</v>
      </c>
      <c r="J1630" s="52">
        <v>0</v>
      </c>
      <c r="M1630" s="38" t="str">
        <f>IF([1]totrevprm!O1630="","",[1]totrevprm!O1630)</f>
        <v/>
      </c>
    </row>
    <row r="1631" spans="1:13">
      <c r="A1631" s="49" t="s">
        <v>69</v>
      </c>
      <c r="B1631" s="46" t="s">
        <v>649</v>
      </c>
      <c r="C1631" s="50"/>
      <c r="D1631" s="51">
        <v>2016</v>
      </c>
      <c r="E1631" s="56">
        <v>664190049</v>
      </c>
      <c r="F1631" s="56">
        <v>452220130</v>
      </c>
      <c r="G1631" s="56">
        <v>1059326169</v>
      </c>
      <c r="H1631" s="56">
        <v>0</v>
      </c>
      <c r="I1631" s="54">
        <f t="shared" si="27"/>
        <v>2175736348</v>
      </c>
      <c r="J1631" s="52">
        <v>0</v>
      </c>
      <c r="M1631" s="38" t="str">
        <f>IF([1]totrevprm!O1631="","",[1]totrevprm!O1631)</f>
        <v/>
      </c>
    </row>
    <row r="1632" spans="1:13">
      <c r="A1632" s="49" t="s">
        <v>69</v>
      </c>
      <c r="B1632" s="46" t="s">
        <v>649</v>
      </c>
      <c r="C1632" s="50"/>
      <c r="D1632" s="51">
        <v>2017</v>
      </c>
      <c r="E1632" s="56">
        <v>765699291</v>
      </c>
      <c r="F1632" s="56">
        <v>431035987</v>
      </c>
      <c r="G1632" s="56">
        <v>1136708087.9200001</v>
      </c>
      <c r="H1632" s="56">
        <v>0</v>
      </c>
      <c r="I1632" s="54">
        <f t="shared" si="27"/>
        <v>2333443365.9200001</v>
      </c>
      <c r="J1632" s="52">
        <v>0</v>
      </c>
      <c r="M1632" s="38" t="str">
        <f>IF([1]totrevprm!O1632="","",[1]totrevprm!O1632)</f>
        <v/>
      </c>
    </row>
    <row r="1633" spans="1:13">
      <c r="A1633" s="49" t="s">
        <v>69</v>
      </c>
      <c r="B1633" s="46" t="s">
        <v>649</v>
      </c>
      <c r="C1633" s="50"/>
      <c r="D1633" s="51">
        <v>2018</v>
      </c>
      <c r="E1633" s="56">
        <v>768013865</v>
      </c>
      <c r="F1633" s="56">
        <v>485892577</v>
      </c>
      <c r="G1633" s="56">
        <v>1156775340.03</v>
      </c>
      <c r="H1633" s="56">
        <v>0</v>
      </c>
      <c r="I1633" s="54">
        <f t="shared" si="27"/>
        <v>2410681782.0299997</v>
      </c>
      <c r="J1633" s="56">
        <v>0</v>
      </c>
      <c r="M1633" s="38" t="str">
        <f>IF([1]totrevprm!O1633="","",[1]totrevprm!O1633)</f>
        <v/>
      </c>
    </row>
    <row r="1634" spans="1:13">
      <c r="A1634" s="49" t="s">
        <v>69</v>
      </c>
      <c r="B1634" s="46" t="s">
        <v>649</v>
      </c>
      <c r="C1634" s="50"/>
      <c r="D1634" s="51">
        <v>2019</v>
      </c>
      <c r="E1634" s="56">
        <v>809592750</v>
      </c>
      <c r="F1634" s="56">
        <v>479835805</v>
      </c>
      <c r="G1634" s="56">
        <v>1152094736.8814001</v>
      </c>
      <c r="H1634" s="56">
        <v>0</v>
      </c>
      <c r="I1634" s="54">
        <f t="shared" si="27"/>
        <v>2441523291.8814001</v>
      </c>
      <c r="J1634" s="56">
        <v>0</v>
      </c>
      <c r="M1634" s="38" t="str">
        <f>IF([1]totrevprm!O1634="","",[1]totrevprm!O1634)</f>
        <v/>
      </c>
    </row>
    <row r="1635" spans="1:13">
      <c r="A1635" s="49" t="s">
        <v>69</v>
      </c>
      <c r="B1635" s="46" t="s">
        <v>649</v>
      </c>
      <c r="C1635" s="50"/>
      <c r="D1635" s="51">
        <v>2020</v>
      </c>
      <c r="E1635" s="56">
        <v>963966440</v>
      </c>
      <c r="F1635" s="56">
        <v>503466608</v>
      </c>
      <c r="G1635" s="56">
        <v>1173551693</v>
      </c>
      <c r="H1635" s="56">
        <v>0</v>
      </c>
      <c r="I1635" s="54">
        <f t="shared" si="27"/>
        <v>2640984741</v>
      </c>
      <c r="J1635" s="56">
        <v>0</v>
      </c>
      <c r="K1635" s="60" t="s">
        <v>815</v>
      </c>
      <c r="L1635" t="s">
        <v>720</v>
      </c>
      <c r="M1635" s="38" t="str">
        <f>IF([1]totrevprm!O1635="","",[1]totrevprm!O1635)</f>
        <v>Yes</v>
      </c>
    </row>
    <row r="1636" spans="1:13">
      <c r="A1636" s="49" t="s">
        <v>69</v>
      </c>
      <c r="B1636" s="46" t="s">
        <v>649</v>
      </c>
      <c r="C1636" s="50"/>
      <c r="D1636" s="51">
        <v>2021</v>
      </c>
      <c r="E1636" s="56">
        <v>1050032913</v>
      </c>
      <c r="F1636" s="56">
        <v>633708585</v>
      </c>
      <c r="G1636" s="56">
        <v>1210769841</v>
      </c>
      <c r="H1636" s="56">
        <v>0</v>
      </c>
      <c r="I1636" s="54">
        <f t="shared" si="27"/>
        <v>2894511339</v>
      </c>
      <c r="J1636" s="56">
        <v>0</v>
      </c>
      <c r="K1636" s="60" t="s">
        <v>815</v>
      </c>
      <c r="L1636" t="s">
        <v>720</v>
      </c>
      <c r="M1636" s="38"/>
    </row>
    <row r="1637" spans="1:13">
      <c r="A1637" s="49" t="s">
        <v>69</v>
      </c>
      <c r="B1637" s="46" t="s">
        <v>649</v>
      </c>
      <c r="C1637" s="50"/>
      <c r="D1637" s="51">
        <v>2022</v>
      </c>
      <c r="E1637" s="56">
        <v>848237122</v>
      </c>
      <c r="F1637" s="56">
        <v>657778843</v>
      </c>
      <c r="G1637" s="56">
        <v>1237344825</v>
      </c>
      <c r="H1637" s="56">
        <v>0</v>
      </c>
      <c r="I1637" s="54">
        <f t="shared" si="27"/>
        <v>2743360790</v>
      </c>
      <c r="J1637" s="56">
        <v>0</v>
      </c>
      <c r="K1637" s="60" t="s">
        <v>815</v>
      </c>
      <c r="L1637" t="s">
        <v>720</v>
      </c>
      <c r="M1637" s="38" t="str">
        <f>IF([1]totrevprm!O1640="","",[1]totrevprm!O1640)</f>
        <v/>
      </c>
    </row>
    <row r="1638" spans="1:13">
      <c r="A1638" s="49" t="s">
        <v>69</v>
      </c>
      <c r="B1638" s="46" t="s">
        <v>649</v>
      </c>
      <c r="C1638" s="50"/>
      <c r="D1638" s="51">
        <v>2023</v>
      </c>
      <c r="E1638" s="56">
        <v>987319685</v>
      </c>
      <c r="F1638" s="56">
        <v>884224453.73749995</v>
      </c>
      <c r="G1638" s="56">
        <v>1690312294.0699999</v>
      </c>
      <c r="H1638" s="56">
        <v>0</v>
      </c>
      <c r="I1638" s="54">
        <f t="shared" si="27"/>
        <v>3561856432.8074999</v>
      </c>
      <c r="J1638" s="52">
        <v>0</v>
      </c>
      <c r="K1638" s="60" t="s">
        <v>815</v>
      </c>
      <c r="M1638" s="38"/>
    </row>
    <row r="1639" spans="1:13">
      <c r="A1639" s="49" t="s">
        <v>69</v>
      </c>
      <c r="B1639" s="46" t="s">
        <v>649</v>
      </c>
      <c r="C1639" s="50"/>
      <c r="D1639" s="57">
        <v>2024</v>
      </c>
      <c r="E1639" s="52">
        <v>1232454729.1199999</v>
      </c>
      <c r="F1639" s="52">
        <v>1251922176.6100001</v>
      </c>
      <c r="G1639" s="52">
        <v>1730858722.0265999</v>
      </c>
      <c r="H1639" s="52">
        <v>0</v>
      </c>
      <c r="I1639" s="54">
        <f t="shared" si="27"/>
        <v>4215235627.7565999</v>
      </c>
      <c r="J1639" s="56">
        <v>0</v>
      </c>
      <c r="K1639" s="60" t="s">
        <v>815</v>
      </c>
      <c r="M1639" s="38"/>
    </row>
    <row r="1640" spans="1:13">
      <c r="A1640" s="49"/>
      <c r="B1640" s="50"/>
      <c r="C1640" s="50"/>
      <c r="E1640" s="53"/>
      <c r="F1640" s="53"/>
      <c r="G1640" s="53"/>
      <c r="H1640" s="53"/>
      <c r="I1640" s="54"/>
      <c r="J1640" s="52"/>
      <c r="M1640" s="38"/>
    </row>
    <row r="1641" spans="1:13">
      <c r="A1641" s="49" t="s">
        <v>70</v>
      </c>
      <c r="B1641" s="46" t="s">
        <v>483</v>
      </c>
      <c r="C1641" s="50" t="s">
        <v>773</v>
      </c>
      <c r="D1641" s="51">
        <v>1988</v>
      </c>
      <c r="E1641" s="53">
        <v>1094456855</v>
      </c>
      <c r="F1641" s="53">
        <v>630847662</v>
      </c>
      <c r="G1641" s="53">
        <v>1132760117</v>
      </c>
      <c r="H1641" s="53">
        <v>0</v>
      </c>
      <c r="I1641" s="54">
        <f t="shared" si="27"/>
        <v>2858064634</v>
      </c>
      <c r="J1641" s="52">
        <v>42513662</v>
      </c>
      <c r="K1641" s="60" t="s">
        <v>774</v>
      </c>
      <c r="L1641" t="s">
        <v>720</v>
      </c>
      <c r="M1641" s="38" t="str">
        <f>IF([1]totrevprm!O1641="","",[1]totrevprm!O1641)</f>
        <v/>
      </c>
    </row>
    <row r="1642" spans="1:13">
      <c r="A1642" s="49" t="s">
        <v>70</v>
      </c>
      <c r="B1642" s="46" t="s">
        <v>483</v>
      </c>
      <c r="C1642" s="50" t="s">
        <v>732</v>
      </c>
      <c r="D1642" s="51">
        <v>1989</v>
      </c>
      <c r="E1642" s="53">
        <v>1103309502</v>
      </c>
      <c r="F1642" s="53">
        <v>695982293</v>
      </c>
      <c r="G1642" s="53">
        <v>1181216142</v>
      </c>
      <c r="H1642" s="53">
        <v>0</v>
      </c>
      <c r="I1642" s="54">
        <f t="shared" si="27"/>
        <v>2980507937</v>
      </c>
      <c r="J1642" s="52">
        <v>59314805</v>
      </c>
      <c r="K1642" s="60" t="s">
        <v>774</v>
      </c>
      <c r="L1642" t="s">
        <v>720</v>
      </c>
      <c r="M1642" s="38" t="str">
        <f>IF([1]totrevprm!O1642="","",[1]totrevprm!O1642)</f>
        <v/>
      </c>
    </row>
    <row r="1643" spans="1:13">
      <c r="A1643" s="49" t="s">
        <v>70</v>
      </c>
      <c r="B1643" s="46" t="s">
        <v>483</v>
      </c>
      <c r="C1643" s="50" t="s">
        <v>732</v>
      </c>
      <c r="D1643" s="51">
        <v>1990</v>
      </c>
      <c r="E1643" s="53">
        <v>1155059260</v>
      </c>
      <c r="F1643" s="53">
        <v>835584984.44000006</v>
      </c>
      <c r="G1643" s="53">
        <v>1212050455</v>
      </c>
      <c r="H1643" s="53">
        <v>0</v>
      </c>
      <c r="I1643" s="54">
        <f t="shared" si="27"/>
        <v>3202694699.4400001</v>
      </c>
      <c r="J1643" s="52">
        <v>59500579</v>
      </c>
      <c r="K1643" s="60" t="s">
        <v>774</v>
      </c>
      <c r="L1643" t="s">
        <v>720</v>
      </c>
      <c r="M1643" s="38" t="str">
        <f>IF([1]totrevprm!O1643="","",[1]totrevprm!O1643)</f>
        <v/>
      </c>
    </row>
    <row r="1644" spans="1:13">
      <c r="A1644" s="49" t="s">
        <v>70</v>
      </c>
      <c r="B1644" s="46" t="s">
        <v>483</v>
      </c>
      <c r="C1644" s="50" t="s">
        <v>732</v>
      </c>
      <c r="D1644" s="51">
        <v>1991</v>
      </c>
      <c r="E1644" s="53">
        <v>1255918023</v>
      </c>
      <c r="F1644" s="53">
        <v>763382831</v>
      </c>
      <c r="G1644" s="53">
        <v>1305663313</v>
      </c>
      <c r="H1644" s="53">
        <v>0</v>
      </c>
      <c r="I1644" s="54">
        <f t="shared" si="27"/>
        <v>3324964167</v>
      </c>
      <c r="J1644" s="52">
        <v>67284316</v>
      </c>
      <c r="K1644" s="60" t="s">
        <v>774</v>
      </c>
      <c r="L1644" t="s">
        <v>720</v>
      </c>
      <c r="M1644" s="38" t="str">
        <f>IF([1]totrevprm!O1644="","",[1]totrevprm!O1644)</f>
        <v/>
      </c>
    </row>
    <row r="1645" spans="1:13">
      <c r="A1645" s="49" t="s">
        <v>70</v>
      </c>
      <c r="B1645" s="46" t="s">
        <v>483</v>
      </c>
      <c r="C1645" s="50" t="s">
        <v>732</v>
      </c>
      <c r="D1645" s="51">
        <v>1992</v>
      </c>
      <c r="E1645" s="53">
        <v>1344609250</v>
      </c>
      <c r="F1645" s="53">
        <v>840424831.96000004</v>
      </c>
      <c r="G1645" s="53">
        <v>1368966567</v>
      </c>
      <c r="H1645" s="53">
        <v>0</v>
      </c>
      <c r="I1645" s="54">
        <f t="shared" si="27"/>
        <v>3554000648.96</v>
      </c>
      <c r="J1645" s="52">
        <v>83202481</v>
      </c>
      <c r="K1645" s="60" t="s">
        <v>774</v>
      </c>
      <c r="L1645" t="s">
        <v>720</v>
      </c>
      <c r="M1645" s="38" t="str">
        <f>IF([1]totrevprm!O1645="","",[1]totrevprm!O1645)</f>
        <v/>
      </c>
    </row>
    <row r="1646" spans="1:13">
      <c r="A1646" s="49" t="s">
        <v>70</v>
      </c>
      <c r="B1646" s="46" t="s">
        <v>483</v>
      </c>
      <c r="C1646" s="50" t="s">
        <v>732</v>
      </c>
      <c r="D1646" s="51">
        <v>1993</v>
      </c>
      <c r="E1646" s="53">
        <v>1400980664</v>
      </c>
      <c r="F1646" s="53">
        <v>883362163</v>
      </c>
      <c r="G1646" s="53">
        <v>1483713333</v>
      </c>
      <c r="H1646" s="53">
        <v>0</v>
      </c>
      <c r="I1646" s="54">
        <f t="shared" si="27"/>
        <v>3768056160</v>
      </c>
      <c r="J1646" s="52">
        <v>74961477</v>
      </c>
      <c r="K1646" s="60" t="s">
        <v>774</v>
      </c>
      <c r="L1646" t="s">
        <v>720</v>
      </c>
      <c r="M1646" s="38" t="str">
        <f>IF([1]totrevprm!O1646="","",[1]totrevprm!O1646)</f>
        <v/>
      </c>
    </row>
    <row r="1647" spans="1:13">
      <c r="A1647" s="49" t="s">
        <v>70</v>
      </c>
      <c r="B1647" s="46" t="s">
        <v>483</v>
      </c>
      <c r="C1647" s="50" t="s">
        <v>732</v>
      </c>
      <c r="D1647" s="51">
        <v>1994</v>
      </c>
      <c r="E1647" s="53">
        <v>1560367985</v>
      </c>
      <c r="F1647" s="53">
        <v>1037462461</v>
      </c>
      <c r="G1647" s="53">
        <v>1549027334</v>
      </c>
      <c r="H1647" s="53">
        <v>0</v>
      </c>
      <c r="I1647" s="54">
        <f t="shared" si="27"/>
        <v>4146857780</v>
      </c>
      <c r="J1647" s="52">
        <v>82789359</v>
      </c>
      <c r="K1647" s="60" t="s">
        <v>774</v>
      </c>
      <c r="L1647" t="s">
        <v>720</v>
      </c>
      <c r="M1647" s="38" t="str">
        <f>IF([1]totrevprm!O1647="","",[1]totrevprm!O1647)</f>
        <v/>
      </c>
    </row>
    <row r="1648" spans="1:13">
      <c r="A1648" s="49" t="s">
        <v>70</v>
      </c>
      <c r="B1648" s="46" t="s">
        <v>483</v>
      </c>
      <c r="C1648" s="50" t="s">
        <v>732</v>
      </c>
      <c r="D1648" s="51">
        <v>1995</v>
      </c>
      <c r="E1648" s="53">
        <v>1727962837</v>
      </c>
      <c r="F1648" s="53">
        <v>1047808902</v>
      </c>
      <c r="G1648" s="53">
        <v>3719779960</v>
      </c>
      <c r="H1648" s="53">
        <v>0</v>
      </c>
      <c r="I1648" s="54">
        <f t="shared" si="27"/>
        <v>6495551699</v>
      </c>
      <c r="J1648" s="52">
        <v>91703614</v>
      </c>
      <c r="K1648" s="60" t="s">
        <v>774</v>
      </c>
      <c r="L1648" t="s">
        <v>720</v>
      </c>
      <c r="M1648" s="38" t="str">
        <f>IF([1]totrevprm!O1648="","",[1]totrevprm!O1648)</f>
        <v/>
      </c>
    </row>
    <row r="1649" spans="1:13">
      <c r="A1649" s="49" t="s">
        <v>70</v>
      </c>
      <c r="B1649" s="46" t="s">
        <v>483</v>
      </c>
      <c r="C1649" s="50" t="s">
        <v>732</v>
      </c>
      <c r="D1649" s="51">
        <v>1996</v>
      </c>
      <c r="E1649" s="53">
        <v>1607097663</v>
      </c>
      <c r="F1649" s="53">
        <v>899183122</v>
      </c>
      <c r="G1649" s="53">
        <v>3042149224</v>
      </c>
      <c r="H1649" s="53">
        <v>0</v>
      </c>
      <c r="I1649" s="54">
        <f t="shared" si="27"/>
        <v>5548430009</v>
      </c>
      <c r="J1649" s="52">
        <v>71669381</v>
      </c>
      <c r="K1649" s="60" t="s">
        <v>774</v>
      </c>
      <c r="L1649" t="s">
        <v>720</v>
      </c>
      <c r="M1649" s="38" t="str">
        <f>IF([1]totrevprm!O1649="","",[1]totrevprm!O1649)</f>
        <v/>
      </c>
    </row>
    <row r="1650" spans="1:13">
      <c r="A1650" s="49" t="s">
        <v>70</v>
      </c>
      <c r="B1650" s="46" t="s">
        <v>483</v>
      </c>
      <c r="C1650" s="50" t="s">
        <v>732</v>
      </c>
      <c r="D1650" s="51">
        <v>1997</v>
      </c>
      <c r="E1650" s="53">
        <v>1675851142</v>
      </c>
      <c r="F1650" s="53">
        <v>1050846109</v>
      </c>
      <c r="G1650" s="53">
        <v>2399520536</v>
      </c>
      <c r="H1650" s="53">
        <v>0</v>
      </c>
      <c r="I1650" s="54">
        <f t="shared" si="27"/>
        <v>5126217787</v>
      </c>
      <c r="J1650" s="52">
        <v>74931317</v>
      </c>
      <c r="K1650" s="60" t="s">
        <v>774</v>
      </c>
      <c r="L1650" t="s">
        <v>720</v>
      </c>
      <c r="M1650" s="38" t="str">
        <f>IF([1]totrevprm!O1650="","",[1]totrevprm!O1650)</f>
        <v/>
      </c>
    </row>
    <row r="1651" spans="1:13">
      <c r="A1651" s="49" t="s">
        <v>70</v>
      </c>
      <c r="B1651" s="46" t="s">
        <v>483</v>
      </c>
      <c r="C1651" s="50" t="s">
        <v>732</v>
      </c>
      <c r="D1651" s="51">
        <v>1998</v>
      </c>
      <c r="E1651" s="53">
        <v>1751128399</v>
      </c>
      <c r="F1651" s="53">
        <v>1054235470</v>
      </c>
      <c r="G1651" s="53">
        <v>2446290662</v>
      </c>
      <c r="H1651" s="53">
        <v>0</v>
      </c>
      <c r="I1651" s="54">
        <f t="shared" si="27"/>
        <v>5251654531</v>
      </c>
      <c r="J1651" s="52">
        <v>56840224</v>
      </c>
      <c r="K1651" s="60" t="s">
        <v>774</v>
      </c>
      <c r="L1651" t="s">
        <v>720</v>
      </c>
      <c r="M1651" s="38" t="str">
        <f>IF([1]totrevprm!O1651="","",[1]totrevprm!O1651)</f>
        <v/>
      </c>
    </row>
    <row r="1652" spans="1:13">
      <c r="A1652" s="49" t="s">
        <v>70</v>
      </c>
      <c r="B1652" s="46" t="s">
        <v>483</v>
      </c>
      <c r="C1652" s="50" t="s">
        <v>732</v>
      </c>
      <c r="D1652" s="51">
        <v>1999</v>
      </c>
      <c r="E1652" s="53">
        <v>2047396226</v>
      </c>
      <c r="F1652" s="53">
        <v>1504172662</v>
      </c>
      <c r="G1652" s="53">
        <v>2691537939</v>
      </c>
      <c r="H1652" s="53">
        <v>0</v>
      </c>
      <c r="I1652" s="54">
        <f t="shared" si="27"/>
        <v>6243106827</v>
      </c>
      <c r="J1652" s="52">
        <v>59059716</v>
      </c>
      <c r="K1652" s="60" t="s">
        <v>774</v>
      </c>
      <c r="L1652" t="s">
        <v>720</v>
      </c>
      <c r="M1652" s="38" t="str">
        <f>IF([1]totrevprm!O1652="","",[1]totrevprm!O1652)</f>
        <v/>
      </c>
    </row>
    <row r="1653" spans="1:13">
      <c r="A1653" s="49" t="s">
        <v>70</v>
      </c>
      <c r="B1653" s="46" t="s">
        <v>483</v>
      </c>
      <c r="C1653" s="50" t="s">
        <v>732</v>
      </c>
      <c r="D1653" s="51">
        <v>2000</v>
      </c>
      <c r="E1653" s="53">
        <v>1941843631</v>
      </c>
      <c r="F1653" s="53">
        <v>1993897874</v>
      </c>
      <c r="G1653" s="53">
        <v>2734710007</v>
      </c>
      <c r="H1653" s="53">
        <v>0</v>
      </c>
      <c r="I1653" s="54">
        <f t="shared" si="27"/>
        <v>6670451512</v>
      </c>
      <c r="J1653" s="52">
        <v>61462214</v>
      </c>
      <c r="K1653" s="60" t="s">
        <v>774</v>
      </c>
      <c r="L1653" t="s">
        <v>720</v>
      </c>
      <c r="M1653" s="38" t="str">
        <f>IF([1]totrevprm!O1653="","",[1]totrevprm!O1653)</f>
        <v/>
      </c>
    </row>
    <row r="1654" spans="1:13">
      <c r="A1654" s="49" t="s">
        <v>70</v>
      </c>
      <c r="B1654" s="46" t="s">
        <v>483</v>
      </c>
      <c r="C1654" s="50" t="s">
        <v>732</v>
      </c>
      <c r="D1654" s="51">
        <v>2001</v>
      </c>
      <c r="E1654" s="53">
        <v>1827245940</v>
      </c>
      <c r="F1654" s="53">
        <v>2222183682</v>
      </c>
      <c r="G1654" s="53">
        <v>2947465238</v>
      </c>
      <c r="H1654" s="53"/>
      <c r="I1654" s="54">
        <f t="shared" si="27"/>
        <v>6996894860</v>
      </c>
      <c r="J1654" s="37">
        <v>91598965</v>
      </c>
      <c r="K1654" s="60" t="s">
        <v>774</v>
      </c>
      <c r="L1654" t="s">
        <v>720</v>
      </c>
      <c r="M1654" s="38" t="str">
        <f>IF([1]totrevprm!O1654="","",[1]totrevprm!O1654)</f>
        <v/>
      </c>
    </row>
    <row r="1655" spans="1:13">
      <c r="A1655" s="49" t="s">
        <v>70</v>
      </c>
      <c r="B1655" s="46" t="s">
        <v>483</v>
      </c>
      <c r="C1655" s="50" t="s">
        <v>732</v>
      </c>
      <c r="D1655" s="51">
        <v>2002</v>
      </c>
      <c r="E1655" s="53">
        <v>1856272245</v>
      </c>
      <c r="F1655" s="53">
        <v>2787661531</v>
      </c>
      <c r="G1655" s="53">
        <v>3160529817</v>
      </c>
      <c r="H1655" s="53">
        <v>0</v>
      </c>
      <c r="I1655" s="54">
        <f t="shared" si="27"/>
        <v>7804463593</v>
      </c>
      <c r="J1655" s="37">
        <v>136100928</v>
      </c>
      <c r="K1655" s="60" t="s">
        <v>774</v>
      </c>
      <c r="L1655" t="s">
        <v>720</v>
      </c>
      <c r="M1655" s="38" t="str">
        <f>IF([1]totrevprm!O1655="","",[1]totrevprm!O1655)</f>
        <v/>
      </c>
    </row>
    <row r="1656" spans="1:13">
      <c r="A1656" s="49" t="s">
        <v>70</v>
      </c>
      <c r="B1656" s="46" t="s">
        <v>483</v>
      </c>
      <c r="C1656" s="50" t="s">
        <v>732</v>
      </c>
      <c r="D1656" s="51">
        <v>2003</v>
      </c>
      <c r="E1656" s="55">
        <v>1948227424</v>
      </c>
      <c r="F1656" s="55">
        <v>2390825804</v>
      </c>
      <c r="G1656" s="55">
        <v>3395318045</v>
      </c>
      <c r="H1656" s="55">
        <v>0</v>
      </c>
      <c r="I1656" s="54">
        <f t="shared" si="27"/>
        <v>7734371273</v>
      </c>
      <c r="J1656" s="37">
        <v>120381291</v>
      </c>
      <c r="K1656" s="60" t="s">
        <v>774</v>
      </c>
      <c r="L1656" t="s">
        <v>720</v>
      </c>
      <c r="M1656" s="38" t="str">
        <f>IF([1]totrevprm!O1656="","",[1]totrevprm!O1656)</f>
        <v/>
      </c>
    </row>
    <row r="1657" spans="1:13">
      <c r="A1657" s="49" t="s">
        <v>70</v>
      </c>
      <c r="B1657" s="46" t="s">
        <v>483</v>
      </c>
      <c r="C1657" s="50" t="s">
        <v>732</v>
      </c>
      <c r="D1657" s="51">
        <v>2004</v>
      </c>
      <c r="E1657" s="55">
        <v>2069665421</v>
      </c>
      <c r="F1657" s="55">
        <v>2272702063</v>
      </c>
      <c r="G1657" s="55">
        <v>3633432198</v>
      </c>
      <c r="H1657" s="55">
        <v>0</v>
      </c>
      <c r="I1657" s="54">
        <f t="shared" si="27"/>
        <v>7975799682</v>
      </c>
      <c r="J1657" s="37">
        <v>122200801</v>
      </c>
      <c r="K1657" s="60" t="s">
        <v>774</v>
      </c>
      <c r="L1657" t="s">
        <v>720</v>
      </c>
      <c r="M1657" s="38" t="str">
        <f>IF([1]totrevprm!O1657="","",[1]totrevprm!O1657)</f>
        <v/>
      </c>
    </row>
    <row r="1658" spans="1:13">
      <c r="A1658" s="49" t="s">
        <v>70</v>
      </c>
      <c r="B1658" s="46" t="s">
        <v>483</v>
      </c>
      <c r="C1658" s="50"/>
      <c r="D1658" s="51">
        <v>2005</v>
      </c>
      <c r="E1658" s="55">
        <v>2005776067</v>
      </c>
      <c r="F1658" s="55">
        <v>2154340621</v>
      </c>
      <c r="G1658" s="55">
        <v>4235582734.4099898</v>
      </c>
      <c r="H1658" s="55">
        <v>0</v>
      </c>
      <c r="I1658" s="54">
        <f t="shared" si="27"/>
        <v>8395699422.4099903</v>
      </c>
      <c r="J1658" s="37">
        <v>105110301</v>
      </c>
      <c r="K1658" s="60" t="s">
        <v>774</v>
      </c>
      <c r="L1658" t="s">
        <v>720</v>
      </c>
      <c r="M1658" s="38" t="str">
        <f>IF([1]totrevprm!O1658="","",[1]totrevprm!O1658)</f>
        <v/>
      </c>
    </row>
    <row r="1659" spans="1:13">
      <c r="A1659" s="49" t="s">
        <v>70</v>
      </c>
      <c r="B1659" s="46" t="s">
        <v>483</v>
      </c>
      <c r="C1659" s="50"/>
      <c r="D1659" s="51">
        <v>2006</v>
      </c>
      <c r="E1659" s="56">
        <v>2098133996</v>
      </c>
      <c r="F1659" s="56">
        <v>2570841828</v>
      </c>
      <c r="G1659" s="56">
        <v>4641595940</v>
      </c>
      <c r="H1659" s="56">
        <v>0</v>
      </c>
      <c r="I1659" s="54">
        <f t="shared" si="27"/>
        <v>9310571764</v>
      </c>
      <c r="J1659" s="37">
        <v>170244485</v>
      </c>
      <c r="K1659" s="60" t="s">
        <v>774</v>
      </c>
      <c r="L1659" t="s">
        <v>720</v>
      </c>
      <c r="M1659" s="38" t="str">
        <f>IF([1]totrevprm!O1659="","",[1]totrevprm!O1659)</f>
        <v/>
      </c>
    </row>
    <row r="1660" spans="1:13">
      <c r="A1660" s="49" t="s">
        <v>70</v>
      </c>
      <c r="B1660" s="46" t="s">
        <v>483</v>
      </c>
      <c r="C1660" s="50"/>
      <c r="D1660" s="51">
        <v>2007</v>
      </c>
      <c r="E1660" s="56">
        <v>2234888240</v>
      </c>
      <c r="F1660" s="56">
        <v>2503034109</v>
      </c>
      <c r="G1660" s="56">
        <v>5265221613</v>
      </c>
      <c r="H1660" s="56">
        <v>2998</v>
      </c>
      <c r="I1660" s="54">
        <f t="shared" si="27"/>
        <v>10003146960</v>
      </c>
      <c r="J1660" s="37">
        <v>154641262</v>
      </c>
      <c r="K1660" s="60" t="s">
        <v>774</v>
      </c>
      <c r="L1660" t="s">
        <v>720</v>
      </c>
      <c r="M1660" s="38" t="str">
        <f>IF([1]totrevprm!O1660="","",[1]totrevprm!O1660)</f>
        <v/>
      </c>
    </row>
    <row r="1661" spans="1:13">
      <c r="A1661" s="49" t="s">
        <v>70</v>
      </c>
      <c r="B1661" s="46" t="s">
        <v>483</v>
      </c>
      <c r="C1661" s="50"/>
      <c r="D1661" s="51">
        <v>2008</v>
      </c>
      <c r="E1661" s="56">
        <v>2278400961</v>
      </c>
      <c r="F1661" s="56">
        <v>3335856406</v>
      </c>
      <c r="G1661" s="56">
        <v>5569394754</v>
      </c>
      <c r="H1661" s="56">
        <v>0</v>
      </c>
      <c r="I1661" s="54">
        <f t="shared" si="27"/>
        <v>11183652121</v>
      </c>
      <c r="J1661" s="37">
        <v>239720744</v>
      </c>
      <c r="K1661" s="60" t="s">
        <v>774</v>
      </c>
      <c r="L1661" t="s">
        <v>720</v>
      </c>
      <c r="M1661" s="38" t="str">
        <f>IF([1]totrevprm!O1661="","",[1]totrevprm!O1661)</f>
        <v/>
      </c>
    </row>
    <row r="1662" spans="1:13">
      <c r="A1662" s="49" t="s">
        <v>70</v>
      </c>
      <c r="B1662" s="46" t="s">
        <v>483</v>
      </c>
      <c r="C1662" s="50"/>
      <c r="D1662" s="51">
        <v>2009</v>
      </c>
      <c r="E1662" s="56">
        <v>2496355863</v>
      </c>
      <c r="F1662" s="56">
        <v>3011164712</v>
      </c>
      <c r="G1662" s="56">
        <v>5743443977</v>
      </c>
      <c r="H1662" s="56">
        <v>0</v>
      </c>
      <c r="I1662" s="54">
        <f t="shared" si="27"/>
        <v>11250964552</v>
      </c>
      <c r="J1662" s="37">
        <v>181148784</v>
      </c>
      <c r="K1662" s="60" t="s">
        <v>774</v>
      </c>
      <c r="L1662" t="s">
        <v>720</v>
      </c>
      <c r="M1662" s="38" t="str">
        <f>IF([1]totrevprm!O1662="","",[1]totrevprm!O1662)</f>
        <v/>
      </c>
    </row>
    <row r="1663" spans="1:13">
      <c r="A1663" s="49" t="s">
        <v>70</v>
      </c>
      <c r="B1663" s="46" t="s">
        <v>483</v>
      </c>
      <c r="C1663" s="50"/>
      <c r="D1663" s="51">
        <v>2010</v>
      </c>
      <c r="E1663" s="56">
        <v>2532009409</v>
      </c>
      <c r="F1663" s="52">
        <v>2577891984</v>
      </c>
      <c r="G1663" s="56">
        <v>6040510733</v>
      </c>
      <c r="H1663" s="56">
        <v>0</v>
      </c>
      <c r="I1663" s="54">
        <f t="shared" si="27"/>
        <v>11150412126</v>
      </c>
      <c r="J1663" s="37">
        <v>184568416</v>
      </c>
      <c r="K1663" s="60" t="s">
        <v>774</v>
      </c>
      <c r="L1663" t="s">
        <v>720</v>
      </c>
      <c r="M1663" s="38" t="str">
        <f>IF([1]totrevprm!O1663="","",[1]totrevprm!O1663)</f>
        <v/>
      </c>
    </row>
    <row r="1664" spans="1:13">
      <c r="A1664" s="49" t="s">
        <v>70</v>
      </c>
      <c r="B1664" s="46" t="s">
        <v>483</v>
      </c>
      <c r="C1664" s="50"/>
      <c r="D1664" s="51">
        <v>2011</v>
      </c>
      <c r="E1664" s="56">
        <v>2527858979</v>
      </c>
      <c r="F1664" s="52">
        <v>2779369697</v>
      </c>
      <c r="G1664" s="56">
        <v>6352208316.5</v>
      </c>
      <c r="H1664" s="56">
        <v>0</v>
      </c>
      <c r="I1664" s="54">
        <f t="shared" si="27"/>
        <v>11659436992.5</v>
      </c>
      <c r="J1664" s="37">
        <v>226498440</v>
      </c>
      <c r="K1664" s="60" t="s">
        <v>774</v>
      </c>
      <c r="L1664" t="s">
        <v>720</v>
      </c>
      <c r="M1664" s="38" t="str">
        <f>IF([1]totrevprm!O1664="","",[1]totrevprm!O1664)</f>
        <v/>
      </c>
    </row>
    <row r="1665" spans="1:13">
      <c r="A1665" s="49" t="s">
        <v>70</v>
      </c>
      <c r="B1665" s="46" t="s">
        <v>483</v>
      </c>
      <c r="C1665" s="50"/>
      <c r="D1665" s="51">
        <v>2012</v>
      </c>
      <c r="E1665" s="56">
        <v>2626662450</v>
      </c>
      <c r="F1665" s="52">
        <v>3213367923</v>
      </c>
      <c r="G1665" s="56">
        <v>5385580350</v>
      </c>
      <c r="H1665" s="56">
        <v>0</v>
      </c>
      <c r="I1665" s="54">
        <f t="shared" si="27"/>
        <v>11225610723</v>
      </c>
      <c r="J1665" s="37">
        <v>161566474</v>
      </c>
      <c r="K1665" s="60" t="s">
        <v>774</v>
      </c>
      <c r="L1665" t="s">
        <v>720</v>
      </c>
      <c r="M1665" s="38" t="str">
        <f>IF([1]totrevprm!O1665="","",[1]totrevprm!O1665)</f>
        <v/>
      </c>
    </row>
    <row r="1666" spans="1:13">
      <c r="A1666" s="49" t="s">
        <v>70</v>
      </c>
      <c r="B1666" s="46" t="s">
        <v>483</v>
      </c>
      <c r="C1666" s="50"/>
      <c r="D1666" s="51">
        <v>2013</v>
      </c>
      <c r="E1666" s="56">
        <v>2666813381</v>
      </c>
      <c r="F1666" s="52">
        <v>2933678462</v>
      </c>
      <c r="G1666" s="56">
        <v>5548789709</v>
      </c>
      <c r="H1666" s="56">
        <v>0</v>
      </c>
      <c r="I1666" s="54">
        <f t="shared" si="27"/>
        <v>11149281552</v>
      </c>
      <c r="J1666" s="37">
        <v>227853848</v>
      </c>
      <c r="K1666" s="60" t="s">
        <v>774</v>
      </c>
      <c r="L1666" t="s">
        <v>720</v>
      </c>
      <c r="M1666" s="38" t="str">
        <f>IF([1]totrevprm!O1666="","",[1]totrevprm!O1666)</f>
        <v/>
      </c>
    </row>
    <row r="1667" spans="1:13">
      <c r="A1667" s="49" t="s">
        <v>70</v>
      </c>
      <c r="B1667" s="46" t="s">
        <v>483</v>
      </c>
      <c r="C1667" s="50"/>
      <c r="D1667" s="51">
        <v>2014</v>
      </c>
      <c r="E1667" s="56">
        <v>2745978814</v>
      </c>
      <c r="F1667" s="56">
        <v>3106994300</v>
      </c>
      <c r="G1667" s="56">
        <v>6083023566.9300003</v>
      </c>
      <c r="H1667" s="56">
        <v>0</v>
      </c>
      <c r="I1667" s="54">
        <f t="shared" si="27"/>
        <v>11935996680.93</v>
      </c>
      <c r="J1667" s="52">
        <v>212651683</v>
      </c>
      <c r="K1667" s="60" t="s">
        <v>774</v>
      </c>
      <c r="L1667" t="s">
        <v>720</v>
      </c>
      <c r="M1667" s="38" t="str">
        <f>IF([1]totrevprm!O1667="","",[1]totrevprm!O1667)</f>
        <v/>
      </c>
    </row>
    <row r="1668" spans="1:13">
      <c r="A1668" s="49" t="s">
        <v>70</v>
      </c>
      <c r="B1668" s="46" t="s">
        <v>483</v>
      </c>
      <c r="C1668" s="50"/>
      <c r="D1668" s="51">
        <v>2015</v>
      </c>
      <c r="E1668" s="56">
        <v>2821342750</v>
      </c>
      <c r="F1668" s="56">
        <v>3476461169</v>
      </c>
      <c r="G1668" s="56">
        <v>6534760071</v>
      </c>
      <c r="H1668" s="56">
        <v>0</v>
      </c>
      <c r="I1668" s="54">
        <f t="shared" si="27"/>
        <v>12832563990</v>
      </c>
      <c r="J1668" s="52">
        <v>191261642</v>
      </c>
      <c r="K1668" s="60" t="s">
        <v>774</v>
      </c>
      <c r="L1668" t="s">
        <v>720</v>
      </c>
      <c r="M1668" s="38" t="str">
        <f>IF([1]totrevprm!O1668="","",[1]totrevprm!O1668)</f>
        <v/>
      </c>
    </row>
    <row r="1669" spans="1:13">
      <c r="A1669" s="49" t="s">
        <v>70</v>
      </c>
      <c r="B1669" s="46" t="s">
        <v>483</v>
      </c>
      <c r="C1669" s="50"/>
      <c r="D1669" s="51">
        <v>2016</v>
      </c>
      <c r="E1669" s="56">
        <v>2924906165</v>
      </c>
      <c r="F1669" s="56">
        <v>3771450287</v>
      </c>
      <c r="G1669" s="56">
        <v>7066758476</v>
      </c>
      <c r="H1669" s="56">
        <v>0</v>
      </c>
      <c r="I1669" s="54">
        <f t="shared" si="27"/>
        <v>13763114928</v>
      </c>
      <c r="J1669" s="52">
        <v>214177327</v>
      </c>
      <c r="K1669" s="60" t="s">
        <v>774</v>
      </c>
      <c r="L1669" t="s">
        <v>720</v>
      </c>
      <c r="M1669" s="38" t="str">
        <f>IF([1]totrevprm!O1669="","",[1]totrevprm!O1669)</f>
        <v/>
      </c>
    </row>
    <row r="1670" spans="1:13">
      <c r="A1670" s="49" t="s">
        <v>70</v>
      </c>
      <c r="B1670" s="46" t="s">
        <v>483</v>
      </c>
      <c r="C1670" s="50"/>
      <c r="D1670" s="51">
        <v>2017</v>
      </c>
      <c r="E1670" s="56">
        <v>3037471154</v>
      </c>
      <c r="F1670" s="56">
        <v>3404723655</v>
      </c>
      <c r="G1670" s="56">
        <v>7464834783.3199997</v>
      </c>
      <c r="H1670" s="56">
        <v>0</v>
      </c>
      <c r="I1670" s="54">
        <f t="shared" si="27"/>
        <v>13907029592.32</v>
      </c>
      <c r="J1670" s="52">
        <v>0</v>
      </c>
      <c r="K1670" s="60" t="s">
        <v>816</v>
      </c>
      <c r="L1670" t="s">
        <v>720</v>
      </c>
      <c r="M1670" s="38" t="str">
        <f>IF([1]totrevprm!O1670="","",[1]totrevprm!O1670)</f>
        <v/>
      </c>
    </row>
    <row r="1671" spans="1:13">
      <c r="A1671" s="49" t="s">
        <v>70</v>
      </c>
      <c r="B1671" s="46" t="s">
        <v>483</v>
      </c>
      <c r="C1671" s="50"/>
      <c r="D1671" s="51">
        <v>2018</v>
      </c>
      <c r="E1671" s="56">
        <v>3152372766</v>
      </c>
      <c r="F1671" s="56">
        <v>4817332621</v>
      </c>
      <c r="G1671" s="56">
        <v>7895454562.6499996</v>
      </c>
      <c r="H1671" s="56">
        <v>0</v>
      </c>
      <c r="I1671" s="54">
        <f t="shared" si="27"/>
        <v>15865159949.65</v>
      </c>
      <c r="J1671" s="56">
        <v>0</v>
      </c>
      <c r="K1671" s="60" t="s">
        <v>816</v>
      </c>
      <c r="L1671" t="s">
        <v>720</v>
      </c>
      <c r="M1671" s="38" t="str">
        <f>IF([1]totrevprm!O1671="","",[1]totrevprm!O1671)</f>
        <v/>
      </c>
    </row>
    <row r="1672" spans="1:13">
      <c r="A1672" s="49" t="s">
        <v>70</v>
      </c>
      <c r="B1672" s="46" t="s">
        <v>483</v>
      </c>
      <c r="C1672" s="50"/>
      <c r="D1672" s="51">
        <v>2019</v>
      </c>
      <c r="E1672" s="56">
        <v>3199856108</v>
      </c>
      <c r="F1672" s="56">
        <v>4254716108</v>
      </c>
      <c r="G1672" s="56">
        <v>7495838126.472599</v>
      </c>
      <c r="H1672" s="56">
        <v>0</v>
      </c>
      <c r="I1672" s="54">
        <f t="shared" si="27"/>
        <v>14950410342.472599</v>
      </c>
      <c r="J1672" s="56">
        <v>0</v>
      </c>
      <c r="K1672" s="60" t="s">
        <v>817</v>
      </c>
      <c r="L1672" t="s">
        <v>720</v>
      </c>
      <c r="M1672" s="38" t="str">
        <f>IF([1]totrevprm!O1672="","",[1]totrevprm!O1672)</f>
        <v>Yes</v>
      </c>
    </row>
    <row r="1673" spans="1:13">
      <c r="A1673" s="49" t="s">
        <v>70</v>
      </c>
      <c r="B1673" s="46" t="s">
        <v>483</v>
      </c>
      <c r="C1673" s="50"/>
      <c r="D1673" s="51">
        <v>2020</v>
      </c>
      <c r="E1673" s="56">
        <v>3263806418</v>
      </c>
      <c r="F1673" s="56">
        <v>5031440780</v>
      </c>
      <c r="G1673" s="56">
        <v>7726495621</v>
      </c>
      <c r="H1673" s="56">
        <v>0</v>
      </c>
      <c r="I1673" s="54">
        <f t="shared" si="27"/>
        <v>16021742819</v>
      </c>
      <c r="J1673" s="56">
        <v>0</v>
      </c>
      <c r="K1673" s="60" t="s">
        <v>818</v>
      </c>
      <c r="L1673" t="s">
        <v>720</v>
      </c>
      <c r="M1673" s="38" t="str">
        <f>IF([1]totrevprm!O1673="","",[1]totrevprm!O1673)</f>
        <v/>
      </c>
    </row>
    <row r="1674" spans="1:13">
      <c r="A1674" s="49" t="s">
        <v>70</v>
      </c>
      <c r="B1674" s="46" t="s">
        <v>483</v>
      </c>
      <c r="C1674" s="50"/>
      <c r="D1674" s="51">
        <v>2021</v>
      </c>
      <c r="E1674" s="56">
        <v>3510389778</v>
      </c>
      <c r="F1674" s="56">
        <v>5406165628</v>
      </c>
      <c r="G1674" s="56">
        <v>7913375667.4899998</v>
      </c>
      <c r="H1674" s="56">
        <v>0</v>
      </c>
      <c r="I1674" s="54">
        <f t="shared" si="27"/>
        <v>16829931073.49</v>
      </c>
      <c r="J1674" s="56">
        <v>0</v>
      </c>
      <c r="K1674" s="60" t="s">
        <v>818</v>
      </c>
      <c r="L1674" t="s">
        <v>720</v>
      </c>
      <c r="M1674" s="38"/>
    </row>
    <row r="1675" spans="1:13">
      <c r="A1675" s="49" t="s">
        <v>70</v>
      </c>
      <c r="B1675" s="46" t="s">
        <v>483</v>
      </c>
      <c r="C1675" s="50"/>
      <c r="D1675" s="51">
        <v>2022</v>
      </c>
      <c r="E1675" s="56">
        <v>3619992415</v>
      </c>
      <c r="F1675" s="56">
        <v>6557148355</v>
      </c>
      <c r="G1675" s="56">
        <v>8486215680</v>
      </c>
      <c r="H1675" s="56">
        <v>0</v>
      </c>
      <c r="I1675" s="54">
        <f t="shared" ref="I1675:I1740" si="28">SUM(E1675:H1675)</f>
        <v>18663356450</v>
      </c>
      <c r="J1675" s="56">
        <v>0</v>
      </c>
      <c r="K1675" s="60" t="s">
        <v>818</v>
      </c>
      <c r="L1675" t="s">
        <v>720</v>
      </c>
      <c r="M1675" s="38" t="str">
        <f>IF([1]totrevprm!O1678="","",[1]totrevprm!O1678)</f>
        <v/>
      </c>
    </row>
    <row r="1676" spans="1:13">
      <c r="A1676" s="49" t="s">
        <v>70</v>
      </c>
      <c r="B1676" s="46" t="s">
        <v>483</v>
      </c>
      <c r="C1676" s="50"/>
      <c r="D1676" s="51">
        <v>2023</v>
      </c>
      <c r="E1676" s="56">
        <v>3794213553</v>
      </c>
      <c r="F1676" s="56">
        <v>7863362645.1985998</v>
      </c>
      <c r="G1676" s="56">
        <v>9536308574.5112</v>
      </c>
      <c r="H1676" s="56">
        <v>0</v>
      </c>
      <c r="I1676" s="54">
        <f t="shared" si="28"/>
        <v>21193884772.709801</v>
      </c>
      <c r="J1676" s="52">
        <v>0</v>
      </c>
      <c r="K1676" s="60" t="s">
        <v>818</v>
      </c>
      <c r="M1676" s="38"/>
    </row>
    <row r="1677" spans="1:13">
      <c r="A1677" s="49" t="s">
        <v>70</v>
      </c>
      <c r="B1677" s="46" t="s">
        <v>483</v>
      </c>
      <c r="C1677" s="50"/>
      <c r="D1677" s="57">
        <v>2024</v>
      </c>
      <c r="E1677" s="52">
        <v>3853174538.79</v>
      </c>
      <c r="F1677" s="52">
        <v>8979413906.2700005</v>
      </c>
      <c r="G1677" s="52">
        <v>11222542085.7062</v>
      </c>
      <c r="H1677" s="52">
        <v>0</v>
      </c>
      <c r="I1677" s="54">
        <f t="shared" si="28"/>
        <v>24055130530.766201</v>
      </c>
      <c r="J1677" s="56">
        <v>0</v>
      </c>
      <c r="K1677" s="60" t="s">
        <v>818</v>
      </c>
      <c r="M1677" s="38"/>
    </row>
    <row r="1678" spans="1:13">
      <c r="A1678" s="49"/>
      <c r="B1678" s="50"/>
      <c r="C1678" s="50"/>
      <c r="E1678" s="53"/>
      <c r="F1678" s="53"/>
      <c r="G1678" s="53"/>
      <c r="H1678" s="53"/>
      <c r="I1678" s="54"/>
      <c r="J1678" s="52"/>
      <c r="M1678" s="38"/>
    </row>
    <row r="1679" spans="1:13">
      <c r="A1679" s="49" t="s">
        <v>71</v>
      </c>
      <c r="B1679" s="46" t="s">
        <v>307</v>
      </c>
      <c r="C1679" s="50" t="s">
        <v>762</v>
      </c>
      <c r="D1679" s="51">
        <v>1988</v>
      </c>
      <c r="E1679" s="53">
        <v>3815419554</v>
      </c>
      <c r="F1679" s="53">
        <v>2268537114</v>
      </c>
      <c r="G1679" s="53">
        <v>4422066159</v>
      </c>
      <c r="H1679" s="53">
        <v>1339828984</v>
      </c>
      <c r="I1679" s="54">
        <f t="shared" si="28"/>
        <v>11845851811</v>
      </c>
      <c r="J1679" s="52">
        <v>0</v>
      </c>
      <c r="M1679" s="38" t="str">
        <f>IF([1]totrevprm!O1679="","",[1]totrevprm!O1679)</f>
        <v/>
      </c>
    </row>
    <row r="1680" spans="1:13">
      <c r="A1680" s="49" t="s">
        <v>71</v>
      </c>
      <c r="B1680" s="46" t="s">
        <v>307</v>
      </c>
      <c r="C1680" s="50" t="s">
        <v>732</v>
      </c>
      <c r="D1680" s="51">
        <v>1989</v>
      </c>
      <c r="E1680" s="53">
        <v>3599963635</v>
      </c>
      <c r="F1680" s="53">
        <v>2384369898</v>
      </c>
      <c r="G1680" s="53">
        <v>4945087925</v>
      </c>
      <c r="H1680" s="53">
        <v>1438852364</v>
      </c>
      <c r="I1680" s="54">
        <f t="shared" si="28"/>
        <v>12368273822</v>
      </c>
      <c r="J1680" s="52">
        <v>0</v>
      </c>
      <c r="M1680" s="38" t="str">
        <f>IF([1]totrevprm!O1680="","",[1]totrevprm!O1680)</f>
        <v/>
      </c>
    </row>
    <row r="1681" spans="1:13">
      <c r="A1681" s="49" t="s">
        <v>71</v>
      </c>
      <c r="B1681" s="46" t="s">
        <v>307</v>
      </c>
      <c r="C1681" s="50" t="s">
        <v>732</v>
      </c>
      <c r="D1681" s="51">
        <v>1990</v>
      </c>
      <c r="E1681" s="53">
        <v>3756690986</v>
      </c>
      <c r="F1681" s="53">
        <v>2554557045.7199998</v>
      </c>
      <c r="G1681" s="53">
        <v>5435265671</v>
      </c>
      <c r="H1681" s="53">
        <v>1412926882</v>
      </c>
      <c r="I1681" s="54">
        <f t="shared" si="28"/>
        <v>13159440584.719999</v>
      </c>
      <c r="J1681" s="52">
        <v>0</v>
      </c>
      <c r="M1681" s="38" t="str">
        <f>IF([1]totrevprm!O1681="","",[1]totrevprm!O1681)</f>
        <v/>
      </c>
    </row>
    <row r="1682" spans="1:13">
      <c r="A1682" s="49" t="s">
        <v>71</v>
      </c>
      <c r="B1682" s="46" t="s">
        <v>307</v>
      </c>
      <c r="C1682" s="50" t="s">
        <v>732</v>
      </c>
      <c r="D1682" s="51">
        <v>1991</v>
      </c>
      <c r="E1682" s="53">
        <v>4101784095</v>
      </c>
      <c r="F1682" s="53">
        <v>2470818838</v>
      </c>
      <c r="G1682" s="53">
        <v>5494771599</v>
      </c>
      <c r="H1682" s="53">
        <v>1445275145</v>
      </c>
      <c r="I1682" s="54">
        <f t="shared" si="28"/>
        <v>13512649677</v>
      </c>
      <c r="J1682" s="52">
        <v>0</v>
      </c>
      <c r="M1682" s="38" t="str">
        <f>IF([1]totrevprm!O1682="","",[1]totrevprm!O1682)</f>
        <v/>
      </c>
    </row>
    <row r="1683" spans="1:13">
      <c r="A1683" s="49" t="s">
        <v>71</v>
      </c>
      <c r="B1683" s="46" t="s">
        <v>307</v>
      </c>
      <c r="C1683" s="50" t="s">
        <v>732</v>
      </c>
      <c r="D1683" s="51">
        <v>1992</v>
      </c>
      <c r="E1683" s="53">
        <v>4260916595</v>
      </c>
      <c r="F1683" s="53">
        <v>3112732687.8000002</v>
      </c>
      <c r="G1683" s="53">
        <v>5850881673</v>
      </c>
      <c r="H1683" s="53">
        <v>1183778858</v>
      </c>
      <c r="I1683" s="54">
        <f t="shared" si="28"/>
        <v>14408309813.799999</v>
      </c>
      <c r="J1683" s="52">
        <v>0</v>
      </c>
      <c r="M1683" s="38" t="str">
        <f>IF([1]totrevprm!O1683="","",[1]totrevprm!O1683)</f>
        <v/>
      </c>
    </row>
    <row r="1684" spans="1:13">
      <c r="A1684" s="49" t="s">
        <v>71</v>
      </c>
      <c r="B1684" s="46" t="s">
        <v>307</v>
      </c>
      <c r="C1684" s="50" t="s">
        <v>732</v>
      </c>
      <c r="D1684" s="51">
        <v>1993</v>
      </c>
      <c r="E1684" s="53">
        <v>4568272333</v>
      </c>
      <c r="F1684" s="53">
        <v>2424316050</v>
      </c>
      <c r="G1684" s="53">
        <v>6040321328</v>
      </c>
      <c r="H1684" s="53">
        <v>1038398764</v>
      </c>
      <c r="I1684" s="54">
        <f t="shared" si="28"/>
        <v>14071308475</v>
      </c>
      <c r="J1684" s="52">
        <v>0</v>
      </c>
      <c r="M1684" s="38" t="str">
        <f>IF([1]totrevprm!O1684="","",[1]totrevprm!O1684)</f>
        <v/>
      </c>
    </row>
    <row r="1685" spans="1:13">
      <c r="A1685" s="49" t="s">
        <v>71</v>
      </c>
      <c r="B1685" s="46" t="s">
        <v>307</v>
      </c>
      <c r="C1685" s="50" t="s">
        <v>732</v>
      </c>
      <c r="D1685" s="51">
        <v>1994</v>
      </c>
      <c r="E1685" s="53">
        <v>4856277402</v>
      </c>
      <c r="F1685" s="53">
        <v>2960162037</v>
      </c>
      <c r="G1685" s="53">
        <v>6105777363</v>
      </c>
      <c r="H1685" s="53">
        <v>1144681743</v>
      </c>
      <c r="I1685" s="54">
        <f t="shared" si="28"/>
        <v>15066898545</v>
      </c>
      <c r="J1685" s="52">
        <v>0</v>
      </c>
      <c r="M1685" s="38" t="str">
        <f>IF([1]totrevprm!O1685="","",[1]totrevprm!O1685)</f>
        <v/>
      </c>
    </row>
    <row r="1686" spans="1:13">
      <c r="A1686" s="49" t="s">
        <v>71</v>
      </c>
      <c r="B1686" s="46" t="s">
        <v>307</v>
      </c>
      <c r="C1686" s="50" t="s">
        <v>732</v>
      </c>
      <c r="D1686" s="51">
        <v>1995</v>
      </c>
      <c r="E1686" s="53">
        <v>5045233055</v>
      </c>
      <c r="F1686" s="53">
        <v>3078479254</v>
      </c>
      <c r="G1686" s="53">
        <v>6243546186</v>
      </c>
      <c r="H1686" s="53">
        <v>1064458213</v>
      </c>
      <c r="I1686" s="54">
        <f t="shared" si="28"/>
        <v>15431716708</v>
      </c>
      <c r="J1686" s="52">
        <v>0</v>
      </c>
      <c r="M1686" s="38" t="str">
        <f>IF([1]totrevprm!O1686="","",[1]totrevprm!O1686)</f>
        <v/>
      </c>
    </row>
    <row r="1687" spans="1:13">
      <c r="A1687" s="49" t="s">
        <v>71</v>
      </c>
      <c r="B1687" s="46" t="s">
        <v>307</v>
      </c>
      <c r="C1687" s="50" t="s">
        <v>732</v>
      </c>
      <c r="D1687" s="51">
        <v>1996</v>
      </c>
      <c r="E1687" s="53">
        <v>4996187312</v>
      </c>
      <c r="F1687" s="53">
        <v>2841705439</v>
      </c>
      <c r="G1687" s="53">
        <v>6530505680</v>
      </c>
      <c r="H1687" s="53">
        <v>808306230</v>
      </c>
      <c r="I1687" s="54">
        <f t="shared" si="28"/>
        <v>15176704661</v>
      </c>
      <c r="J1687" s="52">
        <v>0</v>
      </c>
      <c r="M1687" s="38" t="str">
        <f>IF([1]totrevprm!O1687="","",[1]totrevprm!O1687)</f>
        <v/>
      </c>
    </row>
    <row r="1688" spans="1:13">
      <c r="A1688" s="49" t="s">
        <v>71</v>
      </c>
      <c r="B1688" s="46" t="s">
        <v>307</v>
      </c>
      <c r="C1688" s="50" t="s">
        <v>732</v>
      </c>
      <c r="D1688" s="51">
        <v>1997</v>
      </c>
      <c r="E1688" s="53">
        <v>5173395954</v>
      </c>
      <c r="F1688" s="53">
        <v>3023595878</v>
      </c>
      <c r="G1688" s="53">
        <v>6772660413</v>
      </c>
      <c r="H1688" s="53">
        <v>1019117116</v>
      </c>
      <c r="I1688" s="54">
        <f t="shared" si="28"/>
        <v>15988769361</v>
      </c>
      <c r="J1688" s="52">
        <v>0</v>
      </c>
      <c r="M1688" s="38" t="str">
        <f>IF([1]totrevprm!O1688="","",[1]totrevprm!O1688)</f>
        <v/>
      </c>
    </row>
    <row r="1689" spans="1:13">
      <c r="A1689" s="49" t="s">
        <v>71</v>
      </c>
      <c r="B1689" s="46" t="s">
        <v>307</v>
      </c>
      <c r="C1689" s="50" t="s">
        <v>732</v>
      </c>
      <c r="D1689" s="51">
        <v>1998</v>
      </c>
      <c r="E1689" s="53">
        <v>5217470879</v>
      </c>
      <c r="F1689" s="53">
        <v>3117683503</v>
      </c>
      <c r="G1689" s="53">
        <v>7159771033</v>
      </c>
      <c r="H1689" s="53">
        <v>732298784</v>
      </c>
      <c r="I1689" s="54">
        <f t="shared" si="28"/>
        <v>16227224199</v>
      </c>
      <c r="J1689" s="52">
        <v>0</v>
      </c>
      <c r="M1689" s="38" t="str">
        <f>IF([1]totrevprm!O1689="","",[1]totrevprm!O1689)</f>
        <v/>
      </c>
    </row>
    <row r="1690" spans="1:13">
      <c r="A1690" s="49" t="s">
        <v>71</v>
      </c>
      <c r="B1690" s="46" t="s">
        <v>307</v>
      </c>
      <c r="C1690" s="50" t="s">
        <v>732</v>
      </c>
      <c r="D1690" s="51">
        <v>1999</v>
      </c>
      <c r="E1690" s="53">
        <v>5473118724</v>
      </c>
      <c r="F1690" s="53">
        <v>4524771408</v>
      </c>
      <c r="G1690" s="53">
        <v>7789530339</v>
      </c>
      <c r="H1690" s="53">
        <v>875632734</v>
      </c>
      <c r="I1690" s="54">
        <f t="shared" si="28"/>
        <v>18663053205</v>
      </c>
      <c r="J1690" s="52">
        <v>0</v>
      </c>
      <c r="M1690" s="38" t="str">
        <f>IF([1]totrevprm!O1690="","",[1]totrevprm!O1690)</f>
        <v/>
      </c>
    </row>
    <row r="1691" spans="1:13">
      <c r="A1691" s="49" t="s">
        <v>71</v>
      </c>
      <c r="B1691" s="46" t="s">
        <v>307</v>
      </c>
      <c r="C1691" s="50" t="s">
        <v>732</v>
      </c>
      <c r="D1691" s="51">
        <v>2000</v>
      </c>
      <c r="E1691" s="53">
        <v>5363813458</v>
      </c>
      <c r="F1691" s="53">
        <v>4589376804</v>
      </c>
      <c r="G1691" s="53">
        <v>8238565256</v>
      </c>
      <c r="H1691" s="53">
        <v>930820115</v>
      </c>
      <c r="I1691" s="54">
        <f t="shared" si="28"/>
        <v>19122575633</v>
      </c>
      <c r="J1691" s="52">
        <v>0</v>
      </c>
      <c r="M1691" s="38" t="str">
        <f>IF([1]totrevprm!O1691="","",[1]totrevprm!O1691)</f>
        <v/>
      </c>
    </row>
    <row r="1692" spans="1:13">
      <c r="A1692" s="49" t="s">
        <v>71</v>
      </c>
      <c r="B1692" s="46" t="s">
        <v>307</v>
      </c>
      <c r="C1692" s="50" t="s">
        <v>732</v>
      </c>
      <c r="D1692" s="51">
        <v>2001</v>
      </c>
      <c r="E1692" s="53">
        <v>5911727433</v>
      </c>
      <c r="F1692" s="53">
        <v>6833667279.0699902</v>
      </c>
      <c r="G1692" s="53">
        <v>12519125940</v>
      </c>
      <c r="H1692" s="53">
        <v>972205677</v>
      </c>
      <c r="I1692" s="54">
        <f t="shared" si="28"/>
        <v>26236726329.069992</v>
      </c>
      <c r="J1692" s="52">
        <v>0</v>
      </c>
      <c r="M1692" s="38" t="str">
        <f>IF([1]totrevprm!O1692="","",[1]totrevprm!O1692)</f>
        <v/>
      </c>
    </row>
    <row r="1693" spans="1:13">
      <c r="A1693" s="49" t="s">
        <v>71</v>
      </c>
      <c r="B1693" s="46" t="s">
        <v>307</v>
      </c>
      <c r="C1693" s="50" t="s">
        <v>732</v>
      </c>
      <c r="D1693" s="51">
        <v>2002</v>
      </c>
      <c r="E1693" s="53">
        <v>5984160901</v>
      </c>
      <c r="F1693" s="53">
        <v>9353909601</v>
      </c>
      <c r="G1693" s="53">
        <v>10085143681</v>
      </c>
      <c r="H1693" s="53">
        <v>1388948010</v>
      </c>
      <c r="I1693" s="54">
        <f t="shared" si="28"/>
        <v>26812162193</v>
      </c>
      <c r="J1693" s="52">
        <v>0</v>
      </c>
      <c r="M1693" s="38" t="str">
        <f>IF([1]totrevprm!O1693="","",[1]totrevprm!O1693)</f>
        <v/>
      </c>
    </row>
    <row r="1694" spans="1:13">
      <c r="A1694" s="49" t="s">
        <v>71</v>
      </c>
      <c r="B1694" s="46" t="s">
        <v>307</v>
      </c>
      <c r="C1694" s="50" t="s">
        <v>732</v>
      </c>
      <c r="D1694" s="51">
        <v>2003</v>
      </c>
      <c r="E1694" s="55">
        <v>6199516177</v>
      </c>
      <c r="F1694" s="55">
        <v>8631385888</v>
      </c>
      <c r="G1694" s="55">
        <v>11295441071</v>
      </c>
      <c r="H1694" s="55">
        <v>1301404741</v>
      </c>
      <c r="I1694" s="54">
        <f t="shared" si="28"/>
        <v>27427747877</v>
      </c>
      <c r="J1694" s="52">
        <v>0</v>
      </c>
      <c r="M1694" s="38" t="str">
        <f>IF([1]totrevprm!O1694="","",[1]totrevprm!O1694)</f>
        <v/>
      </c>
    </row>
    <row r="1695" spans="1:13">
      <c r="A1695" s="49" t="s">
        <v>71</v>
      </c>
      <c r="B1695" s="46" t="s">
        <v>307</v>
      </c>
      <c r="C1695" s="50" t="s">
        <v>732</v>
      </c>
      <c r="D1695" s="51">
        <v>2004</v>
      </c>
      <c r="E1695" s="55">
        <v>6550951224</v>
      </c>
      <c r="F1695" s="55">
        <v>7505503713</v>
      </c>
      <c r="G1695" s="55">
        <v>12215265686</v>
      </c>
      <c r="H1695" s="55">
        <v>1426515894</v>
      </c>
      <c r="I1695" s="54">
        <f t="shared" si="28"/>
        <v>27698236517</v>
      </c>
      <c r="J1695" s="52">
        <v>0</v>
      </c>
      <c r="M1695" s="38" t="str">
        <f>IF([1]totrevprm!O1695="","",[1]totrevprm!O1695)</f>
        <v/>
      </c>
    </row>
    <row r="1696" spans="1:13">
      <c r="A1696" s="49" t="s">
        <v>71</v>
      </c>
      <c r="B1696" s="46" t="s">
        <v>307</v>
      </c>
      <c r="C1696" s="50"/>
      <c r="D1696" s="51">
        <v>2005</v>
      </c>
      <c r="E1696" s="55">
        <v>6657225931</v>
      </c>
      <c r="F1696" s="55">
        <v>8088609503</v>
      </c>
      <c r="G1696" s="55">
        <v>13909037431</v>
      </c>
      <c r="H1696" s="55">
        <v>413601202</v>
      </c>
      <c r="I1696" s="54">
        <f t="shared" si="28"/>
        <v>29068474067</v>
      </c>
      <c r="J1696" s="52">
        <v>111496799</v>
      </c>
      <c r="K1696" s="60" t="s">
        <v>736</v>
      </c>
      <c r="L1696" t="s">
        <v>720</v>
      </c>
      <c r="M1696" s="38" t="str">
        <f>IF([1]totrevprm!O1696="","",[1]totrevprm!O1696)</f>
        <v/>
      </c>
    </row>
    <row r="1697" spans="1:13">
      <c r="A1697" s="49" t="s">
        <v>71</v>
      </c>
      <c r="B1697" s="46" t="s">
        <v>307</v>
      </c>
      <c r="C1697" s="50"/>
      <c r="D1697" s="51">
        <v>2006</v>
      </c>
      <c r="E1697" s="56">
        <v>7264913881</v>
      </c>
      <c r="F1697" s="56">
        <v>9633442441</v>
      </c>
      <c r="G1697" s="56">
        <v>15474603274</v>
      </c>
      <c r="H1697" s="56">
        <v>263035259</v>
      </c>
      <c r="I1697" s="54">
        <f t="shared" si="28"/>
        <v>32635994855</v>
      </c>
      <c r="J1697" s="52">
        <v>153773541</v>
      </c>
      <c r="K1697" s="60" t="s">
        <v>736</v>
      </c>
      <c r="L1697" t="s">
        <v>720</v>
      </c>
      <c r="M1697" s="38" t="str">
        <f>IF([1]totrevprm!O1697="","",[1]totrevprm!O1697)</f>
        <v/>
      </c>
    </row>
    <row r="1698" spans="1:13">
      <c r="A1698" s="49" t="s">
        <v>71</v>
      </c>
      <c r="B1698" s="46" t="s">
        <v>307</v>
      </c>
      <c r="C1698" s="50"/>
      <c r="D1698" s="51">
        <v>2007</v>
      </c>
      <c r="E1698" s="56">
        <v>7622698764</v>
      </c>
      <c r="F1698" s="56">
        <v>9538505848</v>
      </c>
      <c r="G1698" s="56">
        <v>17682293749</v>
      </c>
      <c r="H1698" s="56">
        <v>288076403</v>
      </c>
      <c r="I1698" s="54">
        <f t="shared" si="28"/>
        <v>35131574764</v>
      </c>
      <c r="J1698" s="52">
        <v>143224160</v>
      </c>
      <c r="K1698" s="60" t="s">
        <v>736</v>
      </c>
      <c r="L1698" t="s">
        <v>720</v>
      </c>
      <c r="M1698" s="38" t="str">
        <f>IF([1]totrevprm!O1698="","",[1]totrevprm!O1698)</f>
        <v/>
      </c>
    </row>
    <row r="1699" spans="1:13">
      <c r="A1699" s="49" t="s">
        <v>71</v>
      </c>
      <c r="B1699" s="46" t="s">
        <v>307</v>
      </c>
      <c r="C1699" s="50"/>
      <c r="D1699" s="51">
        <v>2008</v>
      </c>
      <c r="E1699" s="56">
        <v>7814055699</v>
      </c>
      <c r="F1699" s="56">
        <v>12056332025</v>
      </c>
      <c r="G1699" s="56">
        <v>18897688295</v>
      </c>
      <c r="H1699" s="56">
        <v>258789568</v>
      </c>
      <c r="I1699" s="54">
        <f t="shared" si="28"/>
        <v>39026865587</v>
      </c>
      <c r="J1699" s="52">
        <v>176873118</v>
      </c>
      <c r="K1699" s="60" t="s">
        <v>736</v>
      </c>
      <c r="L1699" t="s">
        <v>720</v>
      </c>
      <c r="M1699" s="38" t="str">
        <f>IF([1]totrevprm!O1699="","",[1]totrevprm!O1699)</f>
        <v/>
      </c>
    </row>
    <row r="1700" spans="1:13">
      <c r="A1700" s="49" t="s">
        <v>71</v>
      </c>
      <c r="B1700" s="46" t="s">
        <v>307</v>
      </c>
      <c r="C1700" s="50"/>
      <c r="D1700" s="51">
        <v>2009</v>
      </c>
      <c r="E1700" s="56">
        <v>8312953288</v>
      </c>
      <c r="F1700" s="56">
        <v>10534229038</v>
      </c>
      <c r="G1700" s="56">
        <v>19493137323</v>
      </c>
      <c r="H1700" s="56">
        <v>335584242</v>
      </c>
      <c r="I1700" s="54">
        <f t="shared" si="28"/>
        <v>38675903891</v>
      </c>
      <c r="J1700" s="52">
        <v>80667936</v>
      </c>
      <c r="K1700" s="60" t="s">
        <v>736</v>
      </c>
      <c r="L1700" t="s">
        <v>720</v>
      </c>
      <c r="M1700" s="38" t="str">
        <f>IF([1]totrevprm!O1700="","",[1]totrevprm!O1700)</f>
        <v/>
      </c>
    </row>
    <row r="1701" spans="1:13">
      <c r="A1701" s="49" t="s">
        <v>71</v>
      </c>
      <c r="B1701" s="46" t="s">
        <v>307</v>
      </c>
      <c r="C1701" s="50"/>
      <c r="D1701" s="51">
        <v>2010</v>
      </c>
      <c r="E1701" s="56">
        <v>8667468764</v>
      </c>
      <c r="F1701" s="52">
        <v>9038799334</v>
      </c>
      <c r="G1701" s="56">
        <v>20538515463</v>
      </c>
      <c r="H1701" s="56">
        <v>189844865</v>
      </c>
      <c r="I1701" s="54">
        <f t="shared" si="28"/>
        <v>38434628426</v>
      </c>
      <c r="J1701" s="52">
        <v>91253714</v>
      </c>
      <c r="K1701" s="60" t="s">
        <v>736</v>
      </c>
      <c r="L1701" t="s">
        <v>720</v>
      </c>
      <c r="M1701" s="38" t="str">
        <f>IF([1]totrevprm!O1701="","",[1]totrevprm!O1701)</f>
        <v/>
      </c>
    </row>
    <row r="1702" spans="1:13">
      <c r="A1702" s="49" t="s">
        <v>71</v>
      </c>
      <c r="B1702" s="46" t="s">
        <v>307</v>
      </c>
      <c r="C1702" s="50"/>
      <c r="D1702" s="51">
        <v>2011</v>
      </c>
      <c r="E1702" s="56">
        <v>9191938651</v>
      </c>
      <c r="F1702" s="52">
        <v>9080676285</v>
      </c>
      <c r="G1702" s="56">
        <v>20650737570</v>
      </c>
      <c r="H1702" s="56">
        <v>244780838</v>
      </c>
      <c r="I1702" s="54">
        <f t="shared" si="28"/>
        <v>39168133344</v>
      </c>
      <c r="J1702" s="52">
        <v>77768369</v>
      </c>
      <c r="K1702" s="60" t="s">
        <v>736</v>
      </c>
      <c r="L1702" t="s">
        <v>720</v>
      </c>
      <c r="M1702" s="38" t="str">
        <f>IF([1]totrevprm!O1702="","",[1]totrevprm!O1702)</f>
        <v/>
      </c>
    </row>
    <row r="1703" spans="1:13">
      <c r="A1703" s="49" t="s">
        <v>71</v>
      </c>
      <c r="B1703" s="46" t="s">
        <v>307</v>
      </c>
      <c r="C1703" s="50"/>
      <c r="D1703" s="51">
        <v>2012</v>
      </c>
      <c r="E1703" s="56">
        <v>9696114854</v>
      </c>
      <c r="F1703" s="52">
        <v>10259833214</v>
      </c>
      <c r="G1703" s="56">
        <v>23410376830</v>
      </c>
      <c r="H1703" s="56">
        <v>315222026</v>
      </c>
      <c r="I1703" s="54">
        <f t="shared" si="28"/>
        <v>43681546924</v>
      </c>
      <c r="J1703" s="52">
        <v>91618150</v>
      </c>
      <c r="K1703" s="60" t="s">
        <v>736</v>
      </c>
      <c r="L1703" t="s">
        <v>720</v>
      </c>
      <c r="M1703" s="38" t="str">
        <f>IF([1]totrevprm!O1703="","",[1]totrevprm!O1703)</f>
        <v/>
      </c>
    </row>
    <row r="1704" spans="1:13">
      <c r="A1704" s="49" t="s">
        <v>71</v>
      </c>
      <c r="B1704" s="46" t="s">
        <v>307</v>
      </c>
      <c r="C1704" s="50"/>
      <c r="D1704" s="51">
        <v>2013</v>
      </c>
      <c r="E1704" s="56">
        <v>10050040204</v>
      </c>
      <c r="F1704" s="52">
        <v>9848355328</v>
      </c>
      <c r="G1704" s="56">
        <v>22990920607</v>
      </c>
      <c r="H1704" s="56">
        <v>336320362</v>
      </c>
      <c r="I1704" s="54">
        <f t="shared" si="28"/>
        <v>43225636501</v>
      </c>
      <c r="J1704" s="52">
        <v>96237107</v>
      </c>
      <c r="K1704" s="60" t="s">
        <v>736</v>
      </c>
      <c r="L1704" t="s">
        <v>720</v>
      </c>
      <c r="M1704" s="38" t="str">
        <f>IF([1]totrevprm!O1704="","",[1]totrevprm!O1704)</f>
        <v/>
      </c>
    </row>
    <row r="1705" spans="1:13">
      <c r="A1705" s="49" t="s">
        <v>71</v>
      </c>
      <c r="B1705" s="46" t="s">
        <v>307</v>
      </c>
      <c r="C1705" s="50"/>
      <c r="D1705" s="51">
        <v>2014</v>
      </c>
      <c r="E1705" s="56">
        <v>10368167225</v>
      </c>
      <c r="F1705" s="56">
        <v>10380730543</v>
      </c>
      <c r="G1705" s="56">
        <v>25107701208</v>
      </c>
      <c r="H1705" s="56">
        <v>277240921</v>
      </c>
      <c r="I1705" s="54">
        <f t="shared" si="28"/>
        <v>46133839897</v>
      </c>
      <c r="J1705" s="52">
        <v>119954432</v>
      </c>
      <c r="K1705" s="60" t="s">
        <v>736</v>
      </c>
      <c r="L1705" t="s">
        <v>720</v>
      </c>
      <c r="M1705" s="38" t="str">
        <f>IF([1]totrevprm!O1705="","",[1]totrevprm!O1705)</f>
        <v/>
      </c>
    </row>
    <row r="1706" spans="1:13">
      <c r="A1706" s="49" t="s">
        <v>71</v>
      </c>
      <c r="B1706" s="46" t="s">
        <v>307</v>
      </c>
      <c r="C1706" s="50"/>
      <c r="D1706" s="51">
        <v>2015</v>
      </c>
      <c r="E1706" s="56">
        <v>10814229853</v>
      </c>
      <c r="F1706" s="56">
        <v>12053126891</v>
      </c>
      <c r="G1706" s="56">
        <v>26921409521</v>
      </c>
      <c r="H1706" s="56">
        <v>299495477</v>
      </c>
      <c r="I1706" s="54">
        <f t="shared" si="28"/>
        <v>50088261742</v>
      </c>
      <c r="J1706" s="52">
        <v>991011167</v>
      </c>
      <c r="K1706" s="60" t="s">
        <v>736</v>
      </c>
      <c r="L1706" t="s">
        <v>720</v>
      </c>
      <c r="M1706" s="38" t="str">
        <f>IF([1]totrevprm!O1706="","",[1]totrevprm!O1706)</f>
        <v/>
      </c>
    </row>
    <row r="1707" spans="1:13">
      <c r="A1707" s="49" t="s">
        <v>71</v>
      </c>
      <c r="B1707" s="46" t="s">
        <v>307</v>
      </c>
      <c r="C1707" s="50"/>
      <c r="D1707" s="51">
        <v>2016</v>
      </c>
      <c r="E1707" s="56">
        <v>11003763589</v>
      </c>
      <c r="F1707" s="56">
        <v>13054416656</v>
      </c>
      <c r="G1707" s="56">
        <v>27057913014</v>
      </c>
      <c r="H1707" s="56">
        <v>351851006</v>
      </c>
      <c r="I1707" s="54">
        <f t="shared" si="28"/>
        <v>51467944265</v>
      </c>
      <c r="J1707" s="52">
        <v>179777391</v>
      </c>
      <c r="K1707" s="60" t="s">
        <v>736</v>
      </c>
      <c r="L1707" t="s">
        <v>720</v>
      </c>
      <c r="M1707" s="38" t="str">
        <f>IF([1]totrevprm!O1707="","",[1]totrevprm!O1707)</f>
        <v/>
      </c>
    </row>
    <row r="1708" spans="1:13">
      <c r="A1708" s="49" t="s">
        <v>71</v>
      </c>
      <c r="B1708" s="46" t="s">
        <v>307</v>
      </c>
      <c r="C1708" s="50"/>
      <c r="D1708" s="51">
        <v>2017</v>
      </c>
      <c r="E1708" s="56">
        <v>11533302135</v>
      </c>
      <c r="F1708" s="56">
        <v>12277752819</v>
      </c>
      <c r="G1708" s="56">
        <v>27860842629</v>
      </c>
      <c r="H1708" s="56">
        <v>266775659</v>
      </c>
      <c r="I1708" s="54">
        <f t="shared" si="28"/>
        <v>51938673242</v>
      </c>
      <c r="J1708" s="56">
        <v>134608782</v>
      </c>
      <c r="K1708" s="60" t="s">
        <v>736</v>
      </c>
      <c r="L1708" t="s">
        <v>720</v>
      </c>
      <c r="M1708" s="38" t="str">
        <f>IF([1]totrevprm!O1708="","",[1]totrevprm!O1708)</f>
        <v/>
      </c>
    </row>
    <row r="1709" spans="1:13">
      <c r="A1709" s="49" t="s">
        <v>71</v>
      </c>
      <c r="B1709" s="46" t="s">
        <v>307</v>
      </c>
      <c r="C1709" s="50"/>
      <c r="D1709" s="51">
        <v>2018</v>
      </c>
      <c r="E1709" s="56">
        <v>11953545493</v>
      </c>
      <c r="F1709" s="56">
        <v>15989369255</v>
      </c>
      <c r="G1709" s="56">
        <v>24141500092.02</v>
      </c>
      <c r="H1709" s="56">
        <v>265031541</v>
      </c>
      <c r="I1709" s="54">
        <f t="shared" si="28"/>
        <v>52349446381.020004</v>
      </c>
      <c r="J1709" s="56">
        <v>171444711</v>
      </c>
      <c r="K1709" s="60" t="s">
        <v>736</v>
      </c>
      <c r="L1709" t="s">
        <v>720</v>
      </c>
      <c r="M1709" s="38" t="str">
        <f>IF([1]totrevprm!O1709="","",[1]totrevprm!O1709)</f>
        <v/>
      </c>
    </row>
    <row r="1710" spans="1:13">
      <c r="A1710" s="49" t="s">
        <v>71</v>
      </c>
      <c r="B1710" s="46" t="s">
        <v>307</v>
      </c>
      <c r="C1710" s="50"/>
      <c r="D1710" s="51">
        <v>2019</v>
      </c>
      <c r="E1710" s="56">
        <v>12535447148</v>
      </c>
      <c r="F1710" s="56">
        <v>15096908842</v>
      </c>
      <c r="G1710" s="56">
        <v>31754308069.053501</v>
      </c>
      <c r="H1710" s="56">
        <v>303292151</v>
      </c>
      <c r="I1710" s="54">
        <f t="shared" si="28"/>
        <v>59689956210.053497</v>
      </c>
      <c r="J1710" s="56">
        <v>211160548</v>
      </c>
      <c r="K1710" s="60" t="s">
        <v>746</v>
      </c>
      <c r="L1710" t="s">
        <v>720</v>
      </c>
      <c r="M1710" s="38" t="str">
        <f>IF([1]totrevprm!O1710="","",[1]totrevprm!O1710)</f>
        <v>Yes</v>
      </c>
    </row>
    <row r="1711" spans="1:13">
      <c r="A1711" s="49" t="s">
        <v>71</v>
      </c>
      <c r="B1711" s="46" t="s">
        <v>307</v>
      </c>
      <c r="C1711" s="50"/>
      <c r="D1711" s="51">
        <v>2020</v>
      </c>
      <c r="E1711" s="56">
        <v>12742538294</v>
      </c>
      <c r="F1711" s="56">
        <v>15361914789</v>
      </c>
      <c r="G1711" s="56">
        <v>32161111608</v>
      </c>
      <c r="H1711" s="56">
        <v>529317686</v>
      </c>
      <c r="I1711" s="54">
        <f t="shared" si="28"/>
        <v>60794882377</v>
      </c>
      <c r="J1711" s="56">
        <v>173112983</v>
      </c>
      <c r="K1711" s="60" t="s">
        <v>738</v>
      </c>
      <c r="L1711" t="s">
        <v>720</v>
      </c>
      <c r="M1711" s="38" t="str">
        <f>IF([1]totrevprm!O1711="","",[1]totrevprm!O1711)</f>
        <v/>
      </c>
    </row>
    <row r="1712" spans="1:13">
      <c r="A1712" s="49" t="s">
        <v>71</v>
      </c>
      <c r="B1712" s="46" t="s">
        <v>307</v>
      </c>
      <c r="C1712" s="50"/>
      <c r="D1712" s="51">
        <v>2021</v>
      </c>
      <c r="E1712" s="56">
        <v>13696058847.6</v>
      </c>
      <c r="F1712" s="56">
        <v>17838461545.200001</v>
      </c>
      <c r="G1712" s="56">
        <v>35274860995.080002</v>
      </c>
      <c r="H1712" s="56">
        <v>255193542</v>
      </c>
      <c r="I1712" s="54">
        <f t="shared" si="28"/>
        <v>67064574929.880005</v>
      </c>
      <c r="J1712" s="52">
        <v>0</v>
      </c>
      <c r="K1712" s="60" t="s">
        <v>739</v>
      </c>
      <c r="L1712" t="s">
        <v>720</v>
      </c>
      <c r="M1712" s="38"/>
    </row>
    <row r="1713" spans="1:13">
      <c r="A1713" s="49" t="s">
        <v>71</v>
      </c>
      <c r="B1713" s="46" t="s">
        <v>307</v>
      </c>
      <c r="C1713" s="50"/>
      <c r="D1713" s="51">
        <v>2022</v>
      </c>
      <c r="E1713" s="56">
        <v>14324335482</v>
      </c>
      <c r="F1713" s="56">
        <v>21820480564</v>
      </c>
      <c r="G1713" s="56">
        <v>41411761571</v>
      </c>
      <c r="H1713" s="56">
        <v>261433159</v>
      </c>
      <c r="I1713" s="54">
        <f t="shared" si="28"/>
        <v>77818010776</v>
      </c>
      <c r="J1713" s="52">
        <v>0</v>
      </c>
      <c r="K1713" s="60" t="s">
        <v>739</v>
      </c>
      <c r="L1713" t="s">
        <v>720</v>
      </c>
      <c r="M1713" s="38" t="str">
        <f>IF([1]totrevprm!O1716="","",[1]totrevprm!O1716)</f>
        <v/>
      </c>
    </row>
    <row r="1714" spans="1:13">
      <c r="A1714" s="49" t="s">
        <v>71</v>
      </c>
      <c r="B1714" s="46" t="s">
        <v>307</v>
      </c>
      <c r="C1714" s="50"/>
      <c r="D1714" s="51">
        <v>2023</v>
      </c>
      <c r="E1714" s="56">
        <v>14754437548</v>
      </c>
      <c r="F1714" s="56">
        <v>26645465503.883499</v>
      </c>
      <c r="G1714" s="56">
        <v>46148224262.044098</v>
      </c>
      <c r="H1714" s="56">
        <v>210845556</v>
      </c>
      <c r="I1714" s="54">
        <f t="shared" si="28"/>
        <v>87758972869.927597</v>
      </c>
      <c r="J1714" s="52">
        <v>0</v>
      </c>
      <c r="K1714" s="60" t="s">
        <v>739</v>
      </c>
      <c r="M1714" s="38"/>
    </row>
    <row r="1715" spans="1:13">
      <c r="A1715" s="49" t="s">
        <v>71</v>
      </c>
      <c r="B1715" s="46" t="s">
        <v>307</v>
      </c>
      <c r="C1715" s="50"/>
      <c r="D1715" s="57">
        <v>2024</v>
      </c>
      <c r="E1715" s="52">
        <v>15235867538.68</v>
      </c>
      <c r="F1715" s="52">
        <v>33068131414.759998</v>
      </c>
      <c r="G1715" s="52">
        <v>52967806304.671097</v>
      </c>
      <c r="H1715" s="52">
        <v>252986400.72999999</v>
      </c>
      <c r="I1715" s="54">
        <f t="shared" si="28"/>
        <v>101524791658.84109</v>
      </c>
      <c r="J1715" s="56">
        <v>0</v>
      </c>
      <c r="K1715" s="60" t="s">
        <v>739</v>
      </c>
      <c r="M1715" s="38"/>
    </row>
    <row r="1716" spans="1:13">
      <c r="A1716" s="49"/>
      <c r="B1716" s="50"/>
      <c r="C1716" s="50"/>
      <c r="E1716" s="53"/>
      <c r="F1716" s="53"/>
      <c r="G1716" s="53"/>
      <c r="H1716" s="53"/>
      <c r="I1716" s="54"/>
      <c r="J1716" s="52"/>
      <c r="M1716" s="38"/>
    </row>
    <row r="1717" spans="1:13">
      <c r="A1717" s="49" t="s">
        <v>72</v>
      </c>
      <c r="B1717" s="46" t="s">
        <v>388</v>
      </c>
      <c r="C1717" s="50" t="s">
        <v>731</v>
      </c>
      <c r="D1717" s="51">
        <v>1988</v>
      </c>
      <c r="E1717" s="53">
        <v>313526813</v>
      </c>
      <c r="F1717" s="53">
        <v>290557522</v>
      </c>
      <c r="G1717" s="53">
        <v>470386838</v>
      </c>
      <c r="H1717" s="53">
        <v>0</v>
      </c>
      <c r="I1717" s="54">
        <f t="shared" si="28"/>
        <v>1074471173</v>
      </c>
      <c r="J1717" s="52">
        <v>0</v>
      </c>
      <c r="M1717" s="38" t="str">
        <f>IF([1]totrevprm!O1717="","",[1]totrevprm!O1717)</f>
        <v/>
      </c>
    </row>
    <row r="1718" spans="1:13">
      <c r="A1718" s="49" t="s">
        <v>72</v>
      </c>
      <c r="B1718" s="46" t="s">
        <v>388</v>
      </c>
      <c r="C1718" s="50" t="s">
        <v>732</v>
      </c>
      <c r="D1718" s="51">
        <v>1989</v>
      </c>
      <c r="E1718" s="53">
        <v>299172790</v>
      </c>
      <c r="F1718" s="53">
        <v>379254528</v>
      </c>
      <c r="G1718" s="53">
        <v>581428474</v>
      </c>
      <c r="H1718" s="53">
        <v>0</v>
      </c>
      <c r="I1718" s="54">
        <f t="shared" si="28"/>
        <v>1259855792</v>
      </c>
      <c r="J1718" s="52">
        <v>0</v>
      </c>
      <c r="M1718" s="38" t="str">
        <f>IF([1]totrevprm!O1718="","",[1]totrevprm!O1718)</f>
        <v/>
      </c>
    </row>
    <row r="1719" spans="1:13">
      <c r="A1719" s="49" t="s">
        <v>72</v>
      </c>
      <c r="B1719" s="46" t="s">
        <v>388</v>
      </c>
      <c r="C1719" s="50" t="s">
        <v>732</v>
      </c>
      <c r="D1719" s="51">
        <v>1990</v>
      </c>
      <c r="E1719" s="53">
        <v>318604445</v>
      </c>
      <c r="F1719" s="53">
        <v>414986860.44</v>
      </c>
      <c r="G1719" s="53">
        <v>644904260</v>
      </c>
      <c r="H1719" s="53">
        <v>0</v>
      </c>
      <c r="I1719" s="54">
        <f t="shared" si="28"/>
        <v>1378495565.4400001</v>
      </c>
      <c r="J1719" s="52">
        <v>0</v>
      </c>
      <c r="M1719" s="38" t="str">
        <f>IF([1]totrevprm!O1719="","",[1]totrevprm!O1719)</f>
        <v/>
      </c>
    </row>
    <row r="1720" spans="1:13">
      <c r="A1720" s="49" t="s">
        <v>72</v>
      </c>
      <c r="B1720" s="46" t="s">
        <v>388</v>
      </c>
      <c r="C1720" s="50" t="s">
        <v>751</v>
      </c>
      <c r="D1720" s="51">
        <v>1991</v>
      </c>
      <c r="E1720" s="53">
        <v>354581693</v>
      </c>
      <c r="F1720" s="53">
        <v>340404656</v>
      </c>
      <c r="G1720" s="53">
        <v>506517887</v>
      </c>
      <c r="H1720" s="53">
        <v>140164604</v>
      </c>
      <c r="I1720" s="54">
        <f t="shared" si="28"/>
        <v>1341668840</v>
      </c>
      <c r="J1720" s="52">
        <v>0</v>
      </c>
      <c r="M1720" s="38" t="str">
        <f>IF([1]totrevprm!O1720="","",[1]totrevprm!O1720)</f>
        <v/>
      </c>
    </row>
    <row r="1721" spans="1:13">
      <c r="A1721" s="49" t="s">
        <v>72</v>
      </c>
      <c r="B1721" s="46" t="s">
        <v>388</v>
      </c>
      <c r="C1721" s="50" t="s">
        <v>732</v>
      </c>
      <c r="D1721" s="51">
        <v>1992</v>
      </c>
      <c r="E1721" s="53">
        <v>387308050</v>
      </c>
      <c r="F1721" s="53">
        <v>349394173.12</v>
      </c>
      <c r="G1721" s="53">
        <v>524792525</v>
      </c>
      <c r="H1721" s="53">
        <v>117830898</v>
      </c>
      <c r="I1721" s="54">
        <f t="shared" si="28"/>
        <v>1379325646.1199999</v>
      </c>
      <c r="J1721" s="52">
        <v>0</v>
      </c>
      <c r="M1721" s="38" t="str">
        <f>IF([1]totrevprm!O1721="","",[1]totrevprm!O1721)</f>
        <v/>
      </c>
    </row>
    <row r="1722" spans="1:13">
      <c r="A1722" s="49" t="s">
        <v>72</v>
      </c>
      <c r="B1722" s="46" t="s">
        <v>388</v>
      </c>
      <c r="C1722" s="50" t="s">
        <v>732</v>
      </c>
      <c r="D1722" s="51">
        <v>1993</v>
      </c>
      <c r="E1722" s="53">
        <v>404053511</v>
      </c>
      <c r="F1722" s="53">
        <v>284964556</v>
      </c>
      <c r="G1722" s="53">
        <v>572786897</v>
      </c>
      <c r="H1722" s="53">
        <v>118494471</v>
      </c>
      <c r="I1722" s="54">
        <f t="shared" si="28"/>
        <v>1380299435</v>
      </c>
      <c r="J1722" s="52">
        <v>0</v>
      </c>
      <c r="M1722" s="38" t="str">
        <f>IF([1]totrevprm!O1722="","",[1]totrevprm!O1722)</f>
        <v/>
      </c>
    </row>
    <row r="1723" spans="1:13">
      <c r="A1723" s="49" t="s">
        <v>72</v>
      </c>
      <c r="B1723" s="46" t="s">
        <v>388</v>
      </c>
      <c r="C1723" s="50" t="s">
        <v>732</v>
      </c>
      <c r="D1723" s="51">
        <v>1994</v>
      </c>
      <c r="E1723" s="53">
        <v>448122101</v>
      </c>
      <c r="F1723" s="53">
        <v>335080149</v>
      </c>
      <c r="G1723" s="53">
        <v>598429341</v>
      </c>
      <c r="H1723" s="53">
        <v>82023413</v>
      </c>
      <c r="I1723" s="54">
        <f t="shared" si="28"/>
        <v>1463655004</v>
      </c>
      <c r="J1723" s="52">
        <v>0</v>
      </c>
      <c r="M1723" s="38" t="str">
        <f>IF([1]totrevprm!O1723="","",[1]totrevprm!O1723)</f>
        <v/>
      </c>
    </row>
    <row r="1724" spans="1:13">
      <c r="A1724" s="49" t="s">
        <v>72</v>
      </c>
      <c r="B1724" s="46" t="s">
        <v>388</v>
      </c>
      <c r="C1724" s="50" t="s">
        <v>732</v>
      </c>
      <c r="D1724" s="51">
        <v>1995</v>
      </c>
      <c r="E1724" s="53">
        <v>466569480</v>
      </c>
      <c r="F1724" s="53">
        <v>361825176</v>
      </c>
      <c r="G1724" s="53">
        <v>618199870</v>
      </c>
      <c r="H1724" s="53">
        <v>74926370</v>
      </c>
      <c r="I1724" s="54">
        <f t="shared" si="28"/>
        <v>1521520896</v>
      </c>
      <c r="J1724" s="52">
        <v>0</v>
      </c>
      <c r="M1724" s="38" t="str">
        <f>IF([1]totrevprm!O1724="","",[1]totrevprm!O1724)</f>
        <v/>
      </c>
    </row>
    <row r="1725" spans="1:13">
      <c r="A1725" s="49" t="s">
        <v>72</v>
      </c>
      <c r="B1725" s="46" t="s">
        <v>388</v>
      </c>
      <c r="C1725" s="50" t="s">
        <v>732</v>
      </c>
      <c r="D1725" s="51">
        <v>1996</v>
      </c>
      <c r="E1725" s="53">
        <v>538241101</v>
      </c>
      <c r="F1725" s="53">
        <v>293089887</v>
      </c>
      <c r="G1725" s="53">
        <v>896321487</v>
      </c>
      <c r="H1725" s="53">
        <v>57549757</v>
      </c>
      <c r="I1725" s="54">
        <f t="shared" si="28"/>
        <v>1785202232</v>
      </c>
      <c r="J1725" s="52">
        <v>0</v>
      </c>
      <c r="M1725" s="38" t="str">
        <f>IF([1]totrevprm!O1725="","",[1]totrevprm!O1725)</f>
        <v/>
      </c>
    </row>
    <row r="1726" spans="1:13">
      <c r="A1726" s="49" t="s">
        <v>72</v>
      </c>
      <c r="B1726" s="46" t="s">
        <v>388</v>
      </c>
      <c r="C1726" s="50" t="s">
        <v>732</v>
      </c>
      <c r="D1726" s="51">
        <v>1997</v>
      </c>
      <c r="E1726" s="53">
        <v>519625457</v>
      </c>
      <c r="F1726" s="53">
        <v>344918051</v>
      </c>
      <c r="G1726" s="53">
        <v>929835181</v>
      </c>
      <c r="H1726" s="53">
        <v>45809089</v>
      </c>
      <c r="I1726" s="54">
        <f t="shared" si="28"/>
        <v>1840187778</v>
      </c>
      <c r="J1726" s="52">
        <v>0</v>
      </c>
      <c r="M1726" s="38" t="str">
        <f>IF([1]totrevprm!O1726="","",[1]totrevprm!O1726)</f>
        <v/>
      </c>
    </row>
    <row r="1727" spans="1:13">
      <c r="A1727" s="49" t="s">
        <v>72</v>
      </c>
      <c r="B1727" s="46" t="s">
        <v>388</v>
      </c>
      <c r="C1727" s="50" t="s">
        <v>732</v>
      </c>
      <c r="D1727" s="51">
        <v>1998</v>
      </c>
      <c r="E1727" s="53">
        <v>537069568</v>
      </c>
      <c r="F1727" s="53">
        <v>331698352</v>
      </c>
      <c r="G1727" s="53">
        <v>1022320045</v>
      </c>
      <c r="H1727" s="53">
        <v>41350152</v>
      </c>
      <c r="I1727" s="54">
        <f t="shared" si="28"/>
        <v>1932438117</v>
      </c>
      <c r="J1727" s="52">
        <v>0</v>
      </c>
      <c r="M1727" s="38" t="str">
        <f>IF([1]totrevprm!O1727="","",[1]totrevprm!O1727)</f>
        <v/>
      </c>
    </row>
    <row r="1728" spans="1:13">
      <c r="A1728" s="49" t="s">
        <v>72</v>
      </c>
      <c r="B1728" s="46" t="s">
        <v>388</v>
      </c>
      <c r="C1728" s="50" t="s">
        <v>732</v>
      </c>
      <c r="D1728" s="51">
        <v>1999</v>
      </c>
      <c r="E1728" s="53">
        <v>710486850</v>
      </c>
      <c r="F1728" s="53">
        <v>448838668</v>
      </c>
      <c r="G1728" s="53">
        <v>1149140939</v>
      </c>
      <c r="H1728" s="53">
        <v>25579174</v>
      </c>
      <c r="I1728" s="54">
        <f t="shared" si="28"/>
        <v>2334045631</v>
      </c>
      <c r="J1728" s="52">
        <v>0</v>
      </c>
      <c r="M1728" s="38" t="str">
        <f>IF([1]totrevprm!O1728="","",[1]totrevprm!O1728)</f>
        <v/>
      </c>
    </row>
    <row r="1729" spans="1:13">
      <c r="A1729" s="49" t="s">
        <v>72</v>
      </c>
      <c r="B1729" s="46" t="s">
        <v>388</v>
      </c>
      <c r="C1729" s="50" t="s">
        <v>732</v>
      </c>
      <c r="D1729" s="51">
        <v>2000</v>
      </c>
      <c r="E1729" s="53">
        <v>523164041</v>
      </c>
      <c r="F1729" s="53">
        <v>485538959</v>
      </c>
      <c r="G1729" s="53">
        <v>1283676867</v>
      </c>
      <c r="H1729" s="53">
        <v>48591441</v>
      </c>
      <c r="I1729" s="54">
        <f t="shared" si="28"/>
        <v>2340971308</v>
      </c>
      <c r="J1729" s="52">
        <v>0</v>
      </c>
      <c r="M1729" s="38" t="str">
        <f>IF([1]totrevprm!O1729="","",[1]totrevprm!O1729)</f>
        <v/>
      </c>
    </row>
    <row r="1730" spans="1:13">
      <c r="A1730" s="49" t="s">
        <v>72</v>
      </c>
      <c r="B1730" s="46" t="s">
        <v>388</v>
      </c>
      <c r="C1730" s="50" t="s">
        <v>819</v>
      </c>
      <c r="D1730" s="51">
        <v>2001</v>
      </c>
      <c r="E1730" s="53">
        <v>517566609</v>
      </c>
      <c r="F1730" s="53">
        <v>657243561</v>
      </c>
      <c r="G1730" s="53">
        <v>1425971566</v>
      </c>
      <c r="H1730" s="53">
        <v>38623752</v>
      </c>
      <c r="I1730" s="54">
        <f t="shared" si="28"/>
        <v>2639405488</v>
      </c>
      <c r="J1730" s="37">
        <v>1772286</v>
      </c>
      <c r="K1730" s="60" t="s">
        <v>736</v>
      </c>
      <c r="L1730" t="s">
        <v>720</v>
      </c>
      <c r="M1730" s="38" t="str">
        <f>IF([1]totrevprm!O1730="","",[1]totrevprm!O1730)</f>
        <v/>
      </c>
    </row>
    <row r="1731" spans="1:13">
      <c r="A1731" s="49" t="s">
        <v>72</v>
      </c>
      <c r="B1731" s="46" t="s">
        <v>388</v>
      </c>
      <c r="C1731" s="50" t="s">
        <v>732</v>
      </c>
      <c r="D1731" s="51">
        <v>2002</v>
      </c>
      <c r="E1731" s="53">
        <v>538503454</v>
      </c>
      <c r="F1731" s="53">
        <v>893815012</v>
      </c>
      <c r="G1731" s="53">
        <v>1500294415</v>
      </c>
      <c r="H1731" s="53">
        <v>29649653</v>
      </c>
      <c r="I1731" s="54">
        <f t="shared" si="28"/>
        <v>2962262534</v>
      </c>
      <c r="J1731" s="37">
        <v>818982</v>
      </c>
      <c r="K1731" s="60" t="s">
        <v>736</v>
      </c>
      <c r="L1731" t="s">
        <v>720</v>
      </c>
      <c r="M1731" s="38" t="str">
        <f>IF([1]totrevprm!O1731="","",[1]totrevprm!O1731)</f>
        <v/>
      </c>
    </row>
    <row r="1732" spans="1:13">
      <c r="A1732" s="49" t="s">
        <v>72</v>
      </c>
      <c r="B1732" s="46" t="s">
        <v>388</v>
      </c>
      <c r="C1732" s="50" t="s">
        <v>732</v>
      </c>
      <c r="D1732" s="51">
        <v>2003</v>
      </c>
      <c r="E1732" s="55">
        <v>601682895</v>
      </c>
      <c r="F1732" s="55">
        <v>862874288</v>
      </c>
      <c r="G1732" s="55">
        <v>1505793625</v>
      </c>
      <c r="H1732" s="55">
        <v>29971231</v>
      </c>
      <c r="I1732" s="54">
        <f t="shared" si="28"/>
        <v>3000322039</v>
      </c>
      <c r="J1732" s="52">
        <v>4633254</v>
      </c>
      <c r="K1732" s="60" t="s">
        <v>736</v>
      </c>
      <c r="L1732" t="s">
        <v>720</v>
      </c>
      <c r="M1732" s="38" t="str">
        <f>IF([1]totrevprm!O1732="","",[1]totrevprm!O1732)</f>
        <v/>
      </c>
    </row>
    <row r="1733" spans="1:13">
      <c r="A1733" s="49" t="s">
        <v>72</v>
      </c>
      <c r="B1733" s="46" t="s">
        <v>388</v>
      </c>
      <c r="C1733" s="50" t="s">
        <v>732</v>
      </c>
      <c r="D1733" s="51">
        <v>2004</v>
      </c>
      <c r="E1733" s="55">
        <v>618140701</v>
      </c>
      <c r="F1733" s="55">
        <v>799269204</v>
      </c>
      <c r="G1733" s="55">
        <v>1592483757</v>
      </c>
      <c r="H1733" s="55">
        <v>26970899</v>
      </c>
      <c r="I1733" s="54">
        <f t="shared" si="28"/>
        <v>3036864561</v>
      </c>
      <c r="J1733" s="52">
        <v>4832155</v>
      </c>
      <c r="K1733" s="60" t="s">
        <v>736</v>
      </c>
      <c r="L1733" t="s">
        <v>720</v>
      </c>
      <c r="M1733" s="38" t="str">
        <f>IF([1]totrevprm!O1733="","",[1]totrevprm!O1733)</f>
        <v/>
      </c>
    </row>
    <row r="1734" spans="1:13">
      <c r="A1734" s="49" t="s">
        <v>72</v>
      </c>
      <c r="B1734" s="46" t="s">
        <v>388</v>
      </c>
      <c r="C1734" s="50"/>
      <c r="D1734" s="51">
        <v>2005</v>
      </c>
      <c r="E1734" s="55">
        <v>672114026</v>
      </c>
      <c r="F1734" s="55">
        <v>444188124</v>
      </c>
      <c r="G1734" s="55">
        <v>1833857405</v>
      </c>
      <c r="H1734" s="55">
        <v>34156835</v>
      </c>
      <c r="I1734" s="54">
        <f t="shared" si="28"/>
        <v>2984316390</v>
      </c>
      <c r="J1734" s="52">
        <v>3102711</v>
      </c>
      <c r="K1734" s="60" t="s">
        <v>736</v>
      </c>
      <c r="L1734" t="s">
        <v>720</v>
      </c>
      <c r="M1734" s="38" t="str">
        <f>IF([1]totrevprm!O1734="","",[1]totrevprm!O1734)</f>
        <v/>
      </c>
    </row>
    <row r="1735" spans="1:13">
      <c r="A1735" s="49" t="s">
        <v>72</v>
      </c>
      <c r="B1735" s="46" t="s">
        <v>388</v>
      </c>
      <c r="C1735" s="50"/>
      <c r="D1735" s="51">
        <v>2006</v>
      </c>
      <c r="E1735" s="56">
        <v>717123386</v>
      </c>
      <c r="F1735" s="56">
        <v>557218553</v>
      </c>
      <c r="G1735" s="56">
        <v>2024428717</v>
      </c>
      <c r="H1735" s="56">
        <v>21684280</v>
      </c>
      <c r="I1735" s="54">
        <f t="shared" si="28"/>
        <v>3320454936</v>
      </c>
      <c r="J1735" s="52">
        <v>9492005</v>
      </c>
      <c r="K1735" s="60" t="s">
        <v>736</v>
      </c>
      <c r="L1735" t="s">
        <v>720</v>
      </c>
      <c r="M1735" s="38" t="str">
        <f>IF([1]totrevprm!O1735="","",[1]totrevprm!O1735)</f>
        <v/>
      </c>
    </row>
    <row r="1736" spans="1:13">
      <c r="A1736" s="49" t="s">
        <v>72</v>
      </c>
      <c r="B1736" s="46" t="s">
        <v>388</v>
      </c>
      <c r="C1736" s="50"/>
      <c r="D1736" s="51">
        <v>2007</v>
      </c>
      <c r="E1736" s="56">
        <v>833532196</v>
      </c>
      <c r="F1736" s="56">
        <v>811359536</v>
      </c>
      <c r="G1736" s="56">
        <v>2429981594</v>
      </c>
      <c r="H1736" s="56">
        <v>25065139</v>
      </c>
      <c r="I1736" s="54">
        <f t="shared" si="28"/>
        <v>4099938465</v>
      </c>
      <c r="J1736" s="52">
        <v>11133043</v>
      </c>
      <c r="K1736" s="60" t="s">
        <v>736</v>
      </c>
      <c r="L1736" t="s">
        <v>720</v>
      </c>
      <c r="M1736" s="38" t="str">
        <f>IF([1]totrevprm!O1736="","",[1]totrevprm!O1736)</f>
        <v/>
      </c>
    </row>
    <row r="1737" spans="1:13">
      <c r="A1737" s="49" t="s">
        <v>72</v>
      </c>
      <c r="B1737" s="46" t="s">
        <v>388</v>
      </c>
      <c r="C1737" s="50"/>
      <c r="D1737" s="51">
        <v>2008</v>
      </c>
      <c r="E1737" s="56">
        <v>957444360</v>
      </c>
      <c r="F1737" s="56">
        <v>1136870003</v>
      </c>
      <c r="G1737" s="56">
        <v>2630663601</v>
      </c>
      <c r="H1737" s="56">
        <v>20685600</v>
      </c>
      <c r="I1737" s="54">
        <f t="shared" si="28"/>
        <v>4745663564</v>
      </c>
      <c r="J1737" s="52">
        <v>2552146</v>
      </c>
      <c r="K1737" s="60" t="s">
        <v>736</v>
      </c>
      <c r="L1737" t="s">
        <v>720</v>
      </c>
      <c r="M1737" s="38" t="str">
        <f>IF([1]totrevprm!O1737="","",[1]totrevprm!O1737)</f>
        <v/>
      </c>
    </row>
    <row r="1738" spans="1:13">
      <c r="A1738" s="49" t="s">
        <v>72</v>
      </c>
      <c r="B1738" s="46" t="s">
        <v>388</v>
      </c>
      <c r="C1738" s="50"/>
      <c r="D1738" s="51">
        <v>2009</v>
      </c>
      <c r="E1738" s="56">
        <v>1020079089</v>
      </c>
      <c r="F1738" s="56">
        <v>1165745155</v>
      </c>
      <c r="G1738" s="56">
        <v>2794581852</v>
      </c>
      <c r="H1738" s="56">
        <v>29345507</v>
      </c>
      <c r="I1738" s="54">
        <f t="shared" si="28"/>
        <v>5009751603</v>
      </c>
      <c r="J1738" s="52">
        <v>2607029</v>
      </c>
      <c r="K1738" s="60" t="s">
        <v>736</v>
      </c>
      <c r="L1738" t="s">
        <v>720</v>
      </c>
      <c r="M1738" s="38" t="str">
        <f>IF([1]totrevprm!O1738="","",[1]totrevprm!O1738)</f>
        <v/>
      </c>
    </row>
    <row r="1739" spans="1:13">
      <c r="A1739" s="49" t="s">
        <v>72</v>
      </c>
      <c r="B1739" s="46" t="s">
        <v>388</v>
      </c>
      <c r="C1739" s="50"/>
      <c r="D1739" s="51">
        <v>2010</v>
      </c>
      <c r="E1739" s="56">
        <v>1060189950</v>
      </c>
      <c r="F1739" s="56">
        <v>1153636758</v>
      </c>
      <c r="G1739" s="56">
        <v>3205672777</v>
      </c>
      <c r="H1739" s="56">
        <v>20351033</v>
      </c>
      <c r="I1739" s="54">
        <f t="shared" si="28"/>
        <v>5439850518</v>
      </c>
      <c r="J1739" s="52">
        <v>5976169</v>
      </c>
      <c r="K1739" s="60" t="s">
        <v>736</v>
      </c>
      <c r="L1739" t="s">
        <v>720</v>
      </c>
      <c r="M1739" s="38" t="str">
        <f>IF([1]totrevprm!O1739="","",[1]totrevprm!O1739)</f>
        <v/>
      </c>
    </row>
    <row r="1740" spans="1:13">
      <c r="A1740" s="49" t="s">
        <v>72</v>
      </c>
      <c r="B1740" s="46" t="s">
        <v>388</v>
      </c>
      <c r="C1740" s="50"/>
      <c r="D1740" s="51">
        <v>2011</v>
      </c>
      <c r="E1740" s="56">
        <v>1267264674</v>
      </c>
      <c r="F1740" s="56">
        <v>1176975925</v>
      </c>
      <c r="G1740" s="56">
        <v>2753168526</v>
      </c>
      <c r="H1740" s="56">
        <v>19538105</v>
      </c>
      <c r="I1740" s="54">
        <f t="shared" si="28"/>
        <v>5216947230</v>
      </c>
      <c r="J1740" s="52">
        <v>3539802</v>
      </c>
      <c r="K1740" s="60" t="s">
        <v>736</v>
      </c>
      <c r="L1740" t="s">
        <v>720</v>
      </c>
      <c r="M1740" s="38" t="str">
        <f>IF([1]totrevprm!O1740="","",[1]totrevprm!O1740)</f>
        <v/>
      </c>
    </row>
    <row r="1741" spans="1:13">
      <c r="A1741" s="49" t="s">
        <v>72</v>
      </c>
      <c r="B1741" s="46" t="s">
        <v>388</v>
      </c>
      <c r="C1741" s="50"/>
      <c r="D1741" s="51">
        <v>2012</v>
      </c>
      <c r="E1741" s="56">
        <v>1283194938</v>
      </c>
      <c r="F1741" s="56">
        <v>1179890529</v>
      </c>
      <c r="G1741" s="56">
        <v>2690058225</v>
      </c>
      <c r="H1741" s="56">
        <v>29621328</v>
      </c>
      <c r="I1741" s="54">
        <f t="shared" ref="I1741:I1806" si="29">SUM(E1741:H1741)</f>
        <v>5182765020</v>
      </c>
      <c r="J1741" s="52">
        <v>2992776</v>
      </c>
      <c r="K1741" s="60" t="s">
        <v>736</v>
      </c>
      <c r="L1741" t="s">
        <v>720</v>
      </c>
      <c r="M1741" s="38" t="str">
        <f>IF([1]totrevprm!O1741="","",[1]totrevprm!O1741)</f>
        <v/>
      </c>
    </row>
    <row r="1742" spans="1:13">
      <c r="A1742" s="49" t="s">
        <v>72</v>
      </c>
      <c r="B1742" s="46" t="s">
        <v>388</v>
      </c>
      <c r="C1742" s="50"/>
      <c r="D1742" s="51">
        <v>2013</v>
      </c>
      <c r="E1742" s="56">
        <v>1224369912</v>
      </c>
      <c r="F1742" s="56">
        <v>1241619291</v>
      </c>
      <c r="G1742" s="56">
        <v>3052765845</v>
      </c>
      <c r="H1742" s="56">
        <v>26632346</v>
      </c>
      <c r="I1742" s="54">
        <f t="shared" si="29"/>
        <v>5545387394</v>
      </c>
      <c r="J1742" s="52">
        <v>3478639</v>
      </c>
      <c r="K1742" s="60" t="s">
        <v>736</v>
      </c>
      <c r="L1742" t="s">
        <v>720</v>
      </c>
      <c r="M1742" s="38" t="str">
        <f>IF([1]totrevprm!O1742="","",[1]totrevprm!O1742)</f>
        <v/>
      </c>
    </row>
    <row r="1743" spans="1:13">
      <c r="A1743" s="49" t="s">
        <v>72</v>
      </c>
      <c r="B1743" s="46" t="s">
        <v>388</v>
      </c>
      <c r="C1743" s="50"/>
      <c r="D1743" s="51">
        <v>2014</v>
      </c>
      <c r="E1743" s="56">
        <v>1269662919</v>
      </c>
      <c r="F1743" s="56">
        <v>1554210503</v>
      </c>
      <c r="G1743" s="56">
        <v>1691946891</v>
      </c>
      <c r="H1743" s="56">
        <v>93253768</v>
      </c>
      <c r="I1743" s="54">
        <f t="shared" si="29"/>
        <v>4609074081</v>
      </c>
      <c r="J1743" s="52">
        <v>6602985</v>
      </c>
      <c r="K1743" s="60" t="s">
        <v>736</v>
      </c>
      <c r="L1743" t="s">
        <v>720</v>
      </c>
      <c r="M1743" s="38" t="str">
        <f>IF([1]totrevprm!O1743="","",[1]totrevprm!O1743)</f>
        <v/>
      </c>
    </row>
    <row r="1744" spans="1:13">
      <c r="A1744" s="49" t="s">
        <v>72</v>
      </c>
      <c r="B1744" s="46" t="s">
        <v>388</v>
      </c>
      <c r="C1744" s="50"/>
      <c r="D1744" s="51">
        <v>2015</v>
      </c>
      <c r="E1744" s="56">
        <v>1314411420</v>
      </c>
      <c r="F1744" s="56">
        <v>1748222319</v>
      </c>
      <c r="G1744" s="56">
        <v>1635463146</v>
      </c>
      <c r="H1744" s="56">
        <v>135971039</v>
      </c>
      <c r="I1744" s="54">
        <f t="shared" si="29"/>
        <v>4834067924</v>
      </c>
      <c r="J1744" s="52">
        <v>8810241</v>
      </c>
      <c r="K1744" s="60" t="s">
        <v>736</v>
      </c>
      <c r="L1744" t="s">
        <v>720</v>
      </c>
      <c r="M1744" s="38" t="str">
        <f>IF([1]totrevprm!O1744="","",[1]totrevprm!O1744)</f>
        <v/>
      </c>
    </row>
    <row r="1745" spans="1:13">
      <c r="A1745" s="49" t="s">
        <v>72</v>
      </c>
      <c r="B1745" s="46" t="s">
        <v>388</v>
      </c>
      <c r="C1745" s="50"/>
      <c r="D1745" s="51">
        <v>2016</v>
      </c>
      <c r="E1745" s="56">
        <v>1360619293</v>
      </c>
      <c r="F1745" s="56">
        <v>1882212898</v>
      </c>
      <c r="G1745" s="56">
        <v>1697030058</v>
      </c>
      <c r="H1745" s="56">
        <v>166935214</v>
      </c>
      <c r="I1745" s="54">
        <f t="shared" si="29"/>
        <v>5106797463</v>
      </c>
      <c r="J1745" s="52">
        <v>5295743</v>
      </c>
      <c r="K1745" s="60" t="s">
        <v>736</v>
      </c>
      <c r="L1745" t="s">
        <v>720</v>
      </c>
      <c r="M1745" s="38" t="str">
        <f>IF([1]totrevprm!O1745="","",[1]totrevprm!O1745)</f>
        <v/>
      </c>
    </row>
    <row r="1746" spans="1:13">
      <c r="A1746" s="49" t="s">
        <v>72</v>
      </c>
      <c r="B1746" s="46" t="s">
        <v>388</v>
      </c>
      <c r="C1746" s="50"/>
      <c r="D1746" s="51">
        <v>2017</v>
      </c>
      <c r="E1746" s="56">
        <v>1504883321</v>
      </c>
      <c r="F1746" s="56">
        <v>1728023040</v>
      </c>
      <c r="G1746" s="56">
        <v>1846669728</v>
      </c>
      <c r="H1746" s="56">
        <v>111379151</v>
      </c>
      <c r="I1746" s="54">
        <f t="shared" si="29"/>
        <v>5190955240</v>
      </c>
      <c r="J1746" s="56">
        <v>10775136</v>
      </c>
      <c r="K1746" s="60" t="s">
        <v>736</v>
      </c>
      <c r="L1746" t="s">
        <v>720</v>
      </c>
      <c r="M1746" s="38" t="str">
        <f>IF([1]totrevprm!O1746="","",[1]totrevprm!O1746)</f>
        <v/>
      </c>
    </row>
    <row r="1747" spans="1:13">
      <c r="A1747" s="49" t="s">
        <v>72</v>
      </c>
      <c r="B1747" s="46" t="s">
        <v>388</v>
      </c>
      <c r="C1747" s="50"/>
      <c r="D1747" s="51">
        <v>2018</v>
      </c>
      <c r="E1747" s="56">
        <v>1514599515</v>
      </c>
      <c r="F1747" s="56">
        <v>2244552282</v>
      </c>
      <c r="G1747" s="56">
        <v>2078105185.6500001</v>
      </c>
      <c r="H1747" s="56">
        <v>171442610</v>
      </c>
      <c r="I1747" s="54">
        <f t="shared" si="29"/>
        <v>6008699592.6499996</v>
      </c>
      <c r="J1747" s="56">
        <v>9483184</v>
      </c>
      <c r="K1747" s="60" t="s">
        <v>736</v>
      </c>
      <c r="L1747" t="s">
        <v>720</v>
      </c>
      <c r="M1747" s="38" t="str">
        <f>IF([1]totrevprm!O1747="","",[1]totrevprm!O1747)</f>
        <v/>
      </c>
    </row>
    <row r="1748" spans="1:13">
      <c r="A1748" s="49" t="s">
        <v>72</v>
      </c>
      <c r="B1748" s="46" t="s">
        <v>388</v>
      </c>
      <c r="C1748" s="50"/>
      <c r="D1748" s="51">
        <v>2019</v>
      </c>
      <c r="E1748" s="56">
        <v>1534358559</v>
      </c>
      <c r="F1748" s="56">
        <v>2474490957</v>
      </c>
      <c r="G1748" s="56">
        <v>4210363018.8688002</v>
      </c>
      <c r="H1748" s="56">
        <v>150878442</v>
      </c>
      <c r="I1748" s="54">
        <f t="shared" si="29"/>
        <v>8370090976.8688002</v>
      </c>
      <c r="J1748" s="56">
        <v>24497227</v>
      </c>
      <c r="K1748" s="60" t="s">
        <v>746</v>
      </c>
      <c r="L1748" t="s">
        <v>720</v>
      </c>
      <c r="M1748" s="38" t="str">
        <f>IF([1]totrevprm!O1748="","",[1]totrevprm!O1748)</f>
        <v>Yes</v>
      </c>
    </row>
    <row r="1749" spans="1:13">
      <c r="A1749" s="49" t="s">
        <v>72</v>
      </c>
      <c r="B1749" s="46" t="s">
        <v>388</v>
      </c>
      <c r="C1749" s="50"/>
      <c r="D1749" s="51">
        <v>2020</v>
      </c>
      <c r="E1749" s="56">
        <v>1586599817</v>
      </c>
      <c r="F1749" s="56">
        <v>2108336301</v>
      </c>
      <c r="G1749" s="56">
        <v>4258792284</v>
      </c>
      <c r="H1749" s="56">
        <v>55558498</v>
      </c>
      <c r="I1749" s="54">
        <f t="shared" si="29"/>
        <v>8009286900</v>
      </c>
      <c r="J1749" s="56">
        <v>6719130</v>
      </c>
      <c r="K1749" s="60" t="s">
        <v>787</v>
      </c>
      <c r="L1749" t="s">
        <v>720</v>
      </c>
      <c r="M1749" s="38" t="str">
        <f>IF([1]totrevprm!O1749="","",[1]totrevprm!O1749)</f>
        <v/>
      </c>
    </row>
    <row r="1750" spans="1:13">
      <c r="A1750" s="49" t="s">
        <v>72</v>
      </c>
      <c r="B1750" s="46" t="s">
        <v>388</v>
      </c>
      <c r="C1750" s="50"/>
      <c r="D1750" s="51">
        <v>2021</v>
      </c>
      <c r="E1750" s="56">
        <v>1727037503</v>
      </c>
      <c r="F1750" s="56">
        <v>2402010479</v>
      </c>
      <c r="G1750" s="56">
        <v>4425004050.0100002</v>
      </c>
      <c r="H1750" s="56">
        <v>34580431</v>
      </c>
      <c r="I1750" s="54">
        <f t="shared" si="29"/>
        <v>8588632463.0100002</v>
      </c>
      <c r="J1750" s="52">
        <v>0</v>
      </c>
      <c r="K1750" s="60" t="s">
        <v>739</v>
      </c>
      <c r="L1750" t="s">
        <v>720</v>
      </c>
      <c r="M1750" s="38"/>
    </row>
    <row r="1751" spans="1:13">
      <c r="A1751" s="49" t="s">
        <v>72</v>
      </c>
      <c r="B1751" s="46" t="s">
        <v>388</v>
      </c>
      <c r="C1751" s="50"/>
      <c r="D1751" s="51">
        <v>2022</v>
      </c>
      <c r="E1751" s="56">
        <v>1798694057</v>
      </c>
      <c r="F1751" s="56">
        <v>3005276842</v>
      </c>
      <c r="G1751" s="56">
        <v>4862060180</v>
      </c>
      <c r="H1751" s="56">
        <v>52334560</v>
      </c>
      <c r="I1751" s="54">
        <f t="shared" si="29"/>
        <v>9718365639</v>
      </c>
      <c r="J1751" s="52">
        <v>0</v>
      </c>
      <c r="K1751" s="60" t="s">
        <v>739</v>
      </c>
      <c r="L1751" t="s">
        <v>720</v>
      </c>
      <c r="M1751" s="38" t="str">
        <f>IF([1]totrevprm!O1754="","",[1]totrevprm!O1754)</f>
        <v/>
      </c>
    </row>
    <row r="1752" spans="1:13">
      <c r="A1752" s="49" t="s">
        <v>72</v>
      </c>
      <c r="B1752" s="46" t="s">
        <v>388</v>
      </c>
      <c r="C1752" s="50"/>
      <c r="D1752" s="51">
        <v>2023</v>
      </c>
      <c r="E1752" s="56">
        <v>1757540870</v>
      </c>
      <c r="F1752" s="56">
        <v>3739485165.0833001</v>
      </c>
      <c r="G1752" s="56">
        <v>5245429837.7600002</v>
      </c>
      <c r="H1752" s="56">
        <v>678053803</v>
      </c>
      <c r="I1752" s="54">
        <f t="shared" si="29"/>
        <v>11420509675.8433</v>
      </c>
      <c r="J1752" s="52">
        <v>0</v>
      </c>
      <c r="K1752" s="60" t="s">
        <v>739</v>
      </c>
      <c r="M1752" s="38"/>
    </row>
    <row r="1753" spans="1:13">
      <c r="A1753" s="49" t="s">
        <v>72</v>
      </c>
      <c r="B1753" s="46" t="s">
        <v>388</v>
      </c>
      <c r="C1753" s="50"/>
      <c r="D1753" s="57">
        <v>2024</v>
      </c>
      <c r="E1753" s="52">
        <v>1761119824.4400001</v>
      </c>
      <c r="F1753" s="52">
        <v>4579627554.7600002</v>
      </c>
      <c r="G1753" s="52">
        <v>5795719001.1999998</v>
      </c>
      <c r="H1753" s="52">
        <v>365626372.94</v>
      </c>
      <c r="I1753" s="54">
        <f t="shared" si="29"/>
        <v>12502092753.340002</v>
      </c>
      <c r="J1753" s="56">
        <v>0</v>
      </c>
      <c r="K1753" s="60" t="s">
        <v>739</v>
      </c>
      <c r="M1753" s="38"/>
    </row>
    <row r="1754" spans="1:13">
      <c r="A1754" s="49"/>
      <c r="B1754" s="50"/>
      <c r="C1754" s="50"/>
      <c r="E1754" s="53"/>
      <c r="F1754" s="53"/>
      <c r="G1754" s="53"/>
      <c r="H1754" s="53"/>
      <c r="I1754" s="54"/>
      <c r="J1754" s="52"/>
      <c r="M1754" s="38"/>
    </row>
    <row r="1755" spans="1:13">
      <c r="A1755" s="49" t="s">
        <v>73</v>
      </c>
      <c r="B1755" s="46" t="s">
        <v>820</v>
      </c>
      <c r="C1755" s="50" t="s">
        <v>765</v>
      </c>
      <c r="D1755" s="51">
        <v>1988</v>
      </c>
      <c r="E1755" s="53">
        <v>122626500</v>
      </c>
      <c r="F1755" s="53">
        <v>110419005</v>
      </c>
      <c r="G1755" s="53">
        <v>93493091</v>
      </c>
      <c r="H1755" s="53">
        <v>32147720</v>
      </c>
      <c r="I1755" s="54">
        <f t="shared" si="29"/>
        <v>358686316</v>
      </c>
      <c r="J1755" s="52">
        <v>0</v>
      </c>
      <c r="M1755" s="38" t="str">
        <f>IF([1]totrevprm!O1755="","",[1]totrevprm!O1755)</f>
        <v/>
      </c>
    </row>
    <row r="1756" spans="1:13">
      <c r="A1756" s="49" t="s">
        <v>73</v>
      </c>
      <c r="B1756" s="46" t="s">
        <v>820</v>
      </c>
      <c r="C1756" s="50" t="s">
        <v>732</v>
      </c>
      <c r="D1756" s="51">
        <v>1989</v>
      </c>
      <c r="E1756" s="53">
        <v>121866023</v>
      </c>
      <c r="F1756" s="53">
        <v>103462668</v>
      </c>
      <c r="G1756" s="53">
        <v>114573357</v>
      </c>
      <c r="H1756" s="53">
        <v>31655100</v>
      </c>
      <c r="I1756" s="54">
        <f t="shared" si="29"/>
        <v>371557148</v>
      </c>
      <c r="J1756" s="52">
        <v>0</v>
      </c>
      <c r="M1756" s="38" t="str">
        <f>IF([1]totrevprm!O1756="","",[1]totrevprm!O1756)</f>
        <v/>
      </c>
    </row>
    <row r="1757" spans="1:13">
      <c r="A1757" s="49" t="s">
        <v>73</v>
      </c>
      <c r="B1757" s="46" t="s">
        <v>820</v>
      </c>
      <c r="C1757" s="50" t="s">
        <v>732</v>
      </c>
      <c r="D1757" s="51">
        <v>1990</v>
      </c>
      <c r="E1757" s="53">
        <v>125284028</v>
      </c>
      <c r="F1757" s="53">
        <v>129964172.8</v>
      </c>
      <c r="G1757" s="53">
        <v>121889421</v>
      </c>
      <c r="H1757" s="53">
        <v>30348856</v>
      </c>
      <c r="I1757" s="54">
        <f t="shared" si="29"/>
        <v>407486477.80000001</v>
      </c>
      <c r="J1757" s="52">
        <v>0</v>
      </c>
      <c r="M1757" s="38" t="str">
        <f>IF([1]totrevprm!O1757="","",[1]totrevprm!O1757)</f>
        <v/>
      </c>
    </row>
    <row r="1758" spans="1:13">
      <c r="A1758" s="49" t="s">
        <v>73</v>
      </c>
      <c r="B1758" s="46" t="s">
        <v>820</v>
      </c>
      <c r="C1758" s="50" t="s">
        <v>732</v>
      </c>
      <c r="D1758" s="51">
        <v>1991</v>
      </c>
      <c r="E1758" s="53">
        <v>140035940</v>
      </c>
      <c r="F1758" s="53">
        <v>97458725</v>
      </c>
      <c r="G1758" s="53">
        <v>121428543</v>
      </c>
      <c r="H1758" s="53">
        <v>46492982</v>
      </c>
      <c r="I1758" s="54">
        <f t="shared" si="29"/>
        <v>405416190</v>
      </c>
      <c r="J1758" s="52">
        <v>0</v>
      </c>
      <c r="M1758" s="38" t="str">
        <f>IF([1]totrevprm!O1758="","",[1]totrevprm!O1758)</f>
        <v/>
      </c>
    </row>
    <row r="1759" spans="1:13">
      <c r="A1759" s="49" t="s">
        <v>73</v>
      </c>
      <c r="B1759" s="46" t="s">
        <v>820</v>
      </c>
      <c r="C1759" s="50" t="s">
        <v>732</v>
      </c>
      <c r="D1759" s="51">
        <v>1992</v>
      </c>
      <c r="E1759" s="53">
        <v>144127741</v>
      </c>
      <c r="F1759" s="53">
        <v>101249948.59999999</v>
      </c>
      <c r="G1759" s="53">
        <v>110744720</v>
      </c>
      <c r="H1759" s="53">
        <v>36425854</v>
      </c>
      <c r="I1759" s="54">
        <f t="shared" si="29"/>
        <v>392548263.60000002</v>
      </c>
      <c r="J1759" s="52">
        <v>0</v>
      </c>
      <c r="M1759" s="38" t="str">
        <f>IF([1]totrevprm!O1759="","",[1]totrevprm!O1759)</f>
        <v/>
      </c>
    </row>
    <row r="1760" spans="1:13">
      <c r="A1760" s="49" t="s">
        <v>73</v>
      </c>
      <c r="B1760" s="46" t="s">
        <v>820</v>
      </c>
      <c r="C1760" s="50" t="s">
        <v>741</v>
      </c>
      <c r="D1760" s="51">
        <v>1993</v>
      </c>
      <c r="E1760" s="53">
        <v>149477430</v>
      </c>
      <c r="F1760" s="53">
        <v>91852476</v>
      </c>
      <c r="G1760" s="53">
        <v>100302377</v>
      </c>
      <c r="H1760" s="53">
        <v>24211331</v>
      </c>
      <c r="I1760" s="54">
        <f t="shared" si="29"/>
        <v>365843614</v>
      </c>
      <c r="J1760" s="52">
        <v>0</v>
      </c>
      <c r="M1760" s="38" t="str">
        <f>IF([1]totrevprm!O1760="","",[1]totrevprm!O1760)</f>
        <v/>
      </c>
    </row>
    <row r="1761" spans="1:13">
      <c r="A1761" s="49" t="s">
        <v>73</v>
      </c>
      <c r="B1761" s="46" t="s">
        <v>820</v>
      </c>
      <c r="C1761" s="50" t="s">
        <v>742</v>
      </c>
      <c r="D1761" s="51">
        <v>1994</v>
      </c>
      <c r="E1761" s="53">
        <v>148603072</v>
      </c>
      <c r="F1761" s="53">
        <v>120243180</v>
      </c>
      <c r="G1761" s="53">
        <v>100735266</v>
      </c>
      <c r="H1761" s="53">
        <v>25504706</v>
      </c>
      <c r="I1761" s="54">
        <f t="shared" si="29"/>
        <v>395086224</v>
      </c>
      <c r="J1761" s="52">
        <v>0</v>
      </c>
      <c r="M1761" s="38" t="str">
        <f>IF([1]totrevprm!O1761="","",[1]totrevprm!O1761)</f>
        <v/>
      </c>
    </row>
    <row r="1762" spans="1:13">
      <c r="A1762" s="49" t="s">
        <v>73</v>
      </c>
      <c r="B1762" s="46" t="s">
        <v>820</v>
      </c>
      <c r="C1762" s="50" t="s">
        <v>732</v>
      </c>
      <c r="D1762" s="51">
        <v>1995</v>
      </c>
      <c r="E1762" s="53">
        <v>156076340</v>
      </c>
      <c r="F1762" s="53">
        <v>130970112</v>
      </c>
      <c r="G1762" s="53">
        <v>103963046</v>
      </c>
      <c r="H1762" s="53">
        <v>26580328</v>
      </c>
      <c r="I1762" s="54">
        <f t="shared" si="29"/>
        <v>417589826</v>
      </c>
      <c r="J1762" s="52">
        <v>0</v>
      </c>
      <c r="M1762" s="38" t="str">
        <f>IF([1]totrevprm!O1762="","",[1]totrevprm!O1762)</f>
        <v/>
      </c>
    </row>
    <row r="1763" spans="1:13">
      <c r="A1763" s="49" t="s">
        <v>73</v>
      </c>
      <c r="B1763" s="46" t="s">
        <v>820</v>
      </c>
      <c r="C1763" s="50" t="s">
        <v>732</v>
      </c>
      <c r="D1763" s="51">
        <v>1996</v>
      </c>
      <c r="E1763" s="53">
        <v>157634026</v>
      </c>
      <c r="F1763" s="53">
        <v>107804469</v>
      </c>
      <c r="G1763" s="53">
        <v>125040436</v>
      </c>
      <c r="H1763" s="53">
        <v>5126379</v>
      </c>
      <c r="I1763" s="54">
        <f t="shared" si="29"/>
        <v>395605310</v>
      </c>
      <c r="J1763" s="52">
        <v>0</v>
      </c>
      <c r="M1763" s="38" t="str">
        <f>IF([1]totrevprm!O1763="","",[1]totrevprm!O1763)</f>
        <v/>
      </c>
    </row>
    <row r="1764" spans="1:13">
      <c r="A1764" s="49" t="s">
        <v>73</v>
      </c>
      <c r="B1764" s="46" t="s">
        <v>820</v>
      </c>
      <c r="C1764" s="50" t="s">
        <v>732</v>
      </c>
      <c r="D1764" s="51">
        <v>1997</v>
      </c>
      <c r="E1764" s="53">
        <v>185895076</v>
      </c>
      <c r="F1764" s="53">
        <v>134030611</v>
      </c>
      <c r="G1764" s="53">
        <v>136455905</v>
      </c>
      <c r="H1764" s="53">
        <v>19201038</v>
      </c>
      <c r="I1764" s="54">
        <f t="shared" si="29"/>
        <v>475582630</v>
      </c>
      <c r="J1764" s="52">
        <v>0</v>
      </c>
      <c r="M1764" s="38" t="str">
        <f>IF([1]totrevprm!O1764="","",[1]totrevprm!O1764)</f>
        <v/>
      </c>
    </row>
    <row r="1765" spans="1:13">
      <c r="A1765" s="49" t="s">
        <v>73</v>
      </c>
      <c r="B1765" s="46" t="s">
        <v>820</v>
      </c>
      <c r="C1765" s="50" t="s">
        <v>732</v>
      </c>
      <c r="D1765" s="51">
        <v>1998</v>
      </c>
      <c r="E1765" s="53">
        <v>203025510</v>
      </c>
      <c r="F1765" s="53">
        <v>147820152</v>
      </c>
      <c r="G1765" s="53">
        <v>145892884</v>
      </c>
      <c r="H1765" s="53">
        <v>35091296</v>
      </c>
      <c r="I1765" s="54">
        <f t="shared" si="29"/>
        <v>531829842</v>
      </c>
      <c r="J1765" s="52">
        <v>0</v>
      </c>
      <c r="M1765" s="38" t="str">
        <f>IF([1]totrevprm!O1765="","",[1]totrevprm!O1765)</f>
        <v/>
      </c>
    </row>
    <row r="1766" spans="1:13">
      <c r="A1766" s="49" t="s">
        <v>73</v>
      </c>
      <c r="B1766" s="46" t="s">
        <v>820</v>
      </c>
      <c r="C1766" s="50" t="s">
        <v>732</v>
      </c>
      <c r="D1766" s="51">
        <v>1999</v>
      </c>
      <c r="E1766" s="53">
        <v>172802446</v>
      </c>
      <c r="F1766" s="53">
        <v>157281818</v>
      </c>
      <c r="G1766" s="53">
        <v>162721759</v>
      </c>
      <c r="H1766" s="53">
        <v>20633887</v>
      </c>
      <c r="I1766" s="54">
        <f t="shared" si="29"/>
        <v>513439910</v>
      </c>
      <c r="J1766" s="52">
        <v>0</v>
      </c>
      <c r="M1766" s="38" t="str">
        <f>IF([1]totrevprm!O1766="","",[1]totrevprm!O1766)</f>
        <v/>
      </c>
    </row>
    <row r="1767" spans="1:13">
      <c r="A1767" s="49" t="s">
        <v>73</v>
      </c>
      <c r="B1767" s="46" t="s">
        <v>820</v>
      </c>
      <c r="C1767" s="50" t="s">
        <v>732</v>
      </c>
      <c r="D1767" s="51">
        <v>2000</v>
      </c>
      <c r="E1767" s="53">
        <v>157480327</v>
      </c>
      <c r="F1767" s="53">
        <v>167531791</v>
      </c>
      <c r="G1767" s="53">
        <v>176952104</v>
      </c>
      <c r="H1767" s="53">
        <v>14182348</v>
      </c>
      <c r="I1767" s="54">
        <f t="shared" si="29"/>
        <v>516146570</v>
      </c>
      <c r="J1767" s="52">
        <v>0</v>
      </c>
      <c r="M1767" s="38" t="str">
        <f>IF([1]totrevprm!O1767="","",[1]totrevprm!O1767)</f>
        <v/>
      </c>
    </row>
    <row r="1768" spans="1:13">
      <c r="A1768" s="49" t="s">
        <v>73</v>
      </c>
      <c r="B1768" s="46" t="s">
        <v>820</v>
      </c>
      <c r="C1768" s="50" t="s">
        <v>732</v>
      </c>
      <c r="D1768" s="51">
        <v>2001</v>
      </c>
      <c r="E1768" s="53">
        <v>163055866</v>
      </c>
      <c r="F1768" s="53">
        <v>208920556</v>
      </c>
      <c r="G1768" s="53">
        <v>180145681</v>
      </c>
      <c r="H1768" s="53">
        <v>26300720</v>
      </c>
      <c r="I1768" s="54">
        <f t="shared" si="29"/>
        <v>578422823</v>
      </c>
      <c r="J1768" s="52">
        <v>0</v>
      </c>
      <c r="M1768" s="38" t="str">
        <f>IF([1]totrevprm!O1768="","",[1]totrevprm!O1768)</f>
        <v/>
      </c>
    </row>
    <row r="1769" spans="1:13">
      <c r="A1769" s="49" t="s">
        <v>73</v>
      </c>
      <c r="B1769" s="46" t="s">
        <v>820</v>
      </c>
      <c r="C1769" s="50" t="s">
        <v>732</v>
      </c>
      <c r="D1769" s="51">
        <v>2002</v>
      </c>
      <c r="E1769" s="53">
        <v>170834571</v>
      </c>
      <c r="F1769" s="53">
        <v>283646412</v>
      </c>
      <c r="G1769" s="53">
        <v>191392830</v>
      </c>
      <c r="H1769" s="53">
        <v>8116588</v>
      </c>
      <c r="I1769" s="54">
        <f t="shared" si="29"/>
        <v>653990401</v>
      </c>
      <c r="J1769" s="52">
        <v>0</v>
      </c>
      <c r="M1769" s="38" t="str">
        <f>IF([1]totrevprm!O1769="","",[1]totrevprm!O1769)</f>
        <v/>
      </c>
    </row>
    <row r="1770" spans="1:13">
      <c r="A1770" s="49" t="s">
        <v>73</v>
      </c>
      <c r="B1770" s="46" t="s">
        <v>820</v>
      </c>
      <c r="C1770" s="50" t="s">
        <v>732</v>
      </c>
      <c r="D1770" s="51">
        <v>2003</v>
      </c>
      <c r="E1770" s="55">
        <v>177530714</v>
      </c>
      <c r="F1770" s="55">
        <v>258254076</v>
      </c>
      <c r="G1770" s="55">
        <v>196191535</v>
      </c>
      <c r="H1770" s="55">
        <v>10055004</v>
      </c>
      <c r="I1770" s="54">
        <f t="shared" si="29"/>
        <v>642031329</v>
      </c>
      <c r="J1770" s="52">
        <v>0</v>
      </c>
      <c r="M1770" s="38" t="str">
        <f>IF([1]totrevprm!O1770="","",[1]totrevprm!O1770)</f>
        <v/>
      </c>
    </row>
    <row r="1771" spans="1:13">
      <c r="A1771" s="49" t="s">
        <v>73</v>
      </c>
      <c r="B1771" s="46" t="s">
        <v>820</v>
      </c>
      <c r="C1771" s="50" t="s">
        <v>732</v>
      </c>
      <c r="D1771" s="51">
        <v>2004</v>
      </c>
      <c r="E1771" s="55">
        <v>186017356</v>
      </c>
      <c r="F1771" s="55">
        <v>268779890</v>
      </c>
      <c r="G1771" s="55">
        <v>206948324</v>
      </c>
      <c r="H1771" s="55">
        <v>12025335</v>
      </c>
      <c r="I1771" s="54">
        <f t="shared" si="29"/>
        <v>673770905</v>
      </c>
      <c r="J1771" s="52">
        <v>0</v>
      </c>
      <c r="M1771" s="38" t="str">
        <f>IF([1]totrevprm!O1771="","",[1]totrevprm!O1771)</f>
        <v/>
      </c>
    </row>
    <row r="1772" spans="1:13">
      <c r="A1772" s="49" t="s">
        <v>73</v>
      </c>
      <c r="B1772" s="46" t="s">
        <v>820</v>
      </c>
      <c r="C1772" s="50"/>
      <c r="D1772" s="51">
        <v>2005</v>
      </c>
      <c r="E1772" s="55">
        <v>185152502</v>
      </c>
      <c r="F1772" s="55">
        <v>236548777</v>
      </c>
      <c r="G1772" s="55">
        <v>239497821.16</v>
      </c>
      <c r="H1772" s="55">
        <v>13441274</v>
      </c>
      <c r="I1772" s="54">
        <f t="shared" si="29"/>
        <v>674640374.15999997</v>
      </c>
      <c r="J1772" s="52">
        <v>0</v>
      </c>
      <c r="M1772" s="38" t="str">
        <f>IF([1]totrevprm!O1772="","",[1]totrevprm!O1772)</f>
        <v/>
      </c>
    </row>
    <row r="1773" spans="1:13">
      <c r="A1773" s="49" t="s">
        <v>73</v>
      </c>
      <c r="B1773" s="46" t="s">
        <v>820</v>
      </c>
      <c r="C1773" s="50"/>
      <c r="D1773" s="51">
        <v>2006</v>
      </c>
      <c r="E1773" s="56">
        <v>199520573</v>
      </c>
      <c r="F1773" s="56">
        <v>247475120</v>
      </c>
      <c r="G1773" s="56">
        <v>284171600</v>
      </c>
      <c r="H1773" s="56">
        <v>22308478</v>
      </c>
      <c r="I1773" s="54">
        <f t="shared" si="29"/>
        <v>753475771</v>
      </c>
      <c r="J1773" s="52">
        <v>0</v>
      </c>
      <c r="M1773" s="38" t="str">
        <f>IF([1]totrevprm!O1773="","",[1]totrevprm!O1773)</f>
        <v/>
      </c>
    </row>
    <row r="1774" spans="1:13">
      <c r="A1774" s="49" t="s">
        <v>73</v>
      </c>
      <c r="B1774" s="46" t="s">
        <v>820</v>
      </c>
      <c r="C1774" s="50"/>
      <c r="D1774" s="51">
        <v>2007</v>
      </c>
      <c r="E1774" s="56">
        <v>212039129</v>
      </c>
      <c r="F1774" s="56">
        <v>247937825</v>
      </c>
      <c r="G1774" s="56">
        <v>366182457</v>
      </c>
      <c r="H1774" s="56">
        <v>11031139</v>
      </c>
      <c r="I1774" s="54">
        <f t="shared" si="29"/>
        <v>837190550</v>
      </c>
      <c r="J1774" s="52">
        <v>0</v>
      </c>
      <c r="M1774" s="38" t="str">
        <f>IF([1]totrevprm!O1774="","",[1]totrevprm!O1774)</f>
        <v/>
      </c>
    </row>
    <row r="1775" spans="1:13">
      <c r="A1775" s="49" t="s">
        <v>73</v>
      </c>
      <c r="B1775" s="46" t="s">
        <v>820</v>
      </c>
      <c r="C1775" s="50"/>
      <c r="D1775" s="51">
        <v>2008</v>
      </c>
      <c r="E1775" s="56">
        <v>218058285</v>
      </c>
      <c r="F1775" s="56">
        <v>349485954</v>
      </c>
      <c r="G1775" s="56">
        <v>379046576</v>
      </c>
      <c r="H1775" s="56">
        <v>5983365</v>
      </c>
      <c r="I1775" s="54">
        <f t="shared" si="29"/>
        <v>952574180</v>
      </c>
      <c r="J1775" s="52">
        <v>0</v>
      </c>
      <c r="M1775" s="38" t="str">
        <f>IF([1]totrevprm!O1775="","",[1]totrevprm!O1775)</f>
        <v/>
      </c>
    </row>
    <row r="1776" spans="1:13">
      <c r="A1776" s="49" t="s">
        <v>73</v>
      </c>
      <c r="B1776" s="46" t="s">
        <v>820</v>
      </c>
      <c r="C1776" s="50"/>
      <c r="D1776" s="51">
        <v>2009</v>
      </c>
      <c r="E1776" s="56">
        <v>212320959</v>
      </c>
      <c r="F1776" s="56">
        <v>361745779</v>
      </c>
      <c r="G1776" s="56">
        <v>437409588</v>
      </c>
      <c r="H1776" s="56">
        <v>22195721</v>
      </c>
      <c r="I1776" s="54">
        <f t="shared" si="29"/>
        <v>1033672047</v>
      </c>
      <c r="J1776" s="52">
        <v>0</v>
      </c>
      <c r="M1776" s="38" t="str">
        <f>IF([1]totrevprm!O1776="","",[1]totrevprm!O1776)</f>
        <v/>
      </c>
    </row>
    <row r="1777" spans="1:13">
      <c r="A1777" s="49" t="s">
        <v>73</v>
      </c>
      <c r="B1777" s="46" t="s">
        <v>820</v>
      </c>
      <c r="C1777" s="50"/>
      <c r="D1777" s="51">
        <v>2010</v>
      </c>
      <c r="E1777" s="56">
        <v>228866126</v>
      </c>
      <c r="F1777" s="56">
        <v>296359502</v>
      </c>
      <c r="G1777" s="56">
        <v>483344143</v>
      </c>
      <c r="H1777" s="56">
        <v>14766102</v>
      </c>
      <c r="I1777" s="54">
        <f t="shared" si="29"/>
        <v>1023335873</v>
      </c>
      <c r="J1777" s="52">
        <v>0</v>
      </c>
      <c r="M1777" s="38" t="str">
        <f>IF([1]totrevprm!O1777="","",[1]totrevprm!O1777)</f>
        <v/>
      </c>
    </row>
    <row r="1778" spans="1:13">
      <c r="A1778" s="49" t="s">
        <v>73</v>
      </c>
      <c r="B1778" s="46" t="s">
        <v>820</v>
      </c>
      <c r="C1778" s="50"/>
      <c r="D1778" s="51">
        <v>2011</v>
      </c>
      <c r="E1778" s="56">
        <v>272337659</v>
      </c>
      <c r="F1778" s="56">
        <v>350708627</v>
      </c>
      <c r="G1778" s="56">
        <v>448387273.58000004</v>
      </c>
      <c r="H1778" s="56">
        <v>20197399</v>
      </c>
      <c r="I1778" s="54">
        <f t="shared" si="29"/>
        <v>1091630958.5799999</v>
      </c>
      <c r="J1778" s="52">
        <v>0</v>
      </c>
      <c r="M1778" s="38" t="str">
        <f>IF([1]totrevprm!O1778="","",[1]totrevprm!O1778)</f>
        <v/>
      </c>
    </row>
    <row r="1779" spans="1:13">
      <c r="A1779" s="49" t="s">
        <v>73</v>
      </c>
      <c r="B1779" s="46" t="s">
        <v>820</v>
      </c>
      <c r="C1779" s="50"/>
      <c r="D1779" s="51">
        <v>2012</v>
      </c>
      <c r="E1779" s="56">
        <v>231686232</v>
      </c>
      <c r="F1779" s="56">
        <v>333546998</v>
      </c>
      <c r="G1779" s="56">
        <v>375907026</v>
      </c>
      <c r="H1779" s="56">
        <v>10244346</v>
      </c>
      <c r="I1779" s="54">
        <f t="shared" si="29"/>
        <v>951384602</v>
      </c>
      <c r="J1779" s="52">
        <v>0</v>
      </c>
      <c r="M1779" s="38" t="str">
        <f>IF([1]totrevprm!O1779="","",[1]totrevprm!O1779)</f>
        <v/>
      </c>
    </row>
    <row r="1780" spans="1:13">
      <c r="A1780" s="49" t="s">
        <v>73</v>
      </c>
      <c r="B1780" s="46" t="s">
        <v>820</v>
      </c>
      <c r="C1780" s="50"/>
      <c r="D1780" s="51">
        <v>2013</v>
      </c>
      <c r="E1780" s="56">
        <v>249423519</v>
      </c>
      <c r="F1780" s="56">
        <v>321840601</v>
      </c>
      <c r="G1780" s="56">
        <v>358462479</v>
      </c>
      <c r="H1780" s="56">
        <v>10065082</v>
      </c>
      <c r="I1780" s="54">
        <f t="shared" si="29"/>
        <v>939791681</v>
      </c>
      <c r="J1780" s="52">
        <v>0</v>
      </c>
      <c r="M1780" s="38" t="str">
        <f>IF([1]totrevprm!O1780="","",[1]totrevprm!O1780)</f>
        <v/>
      </c>
    </row>
    <row r="1781" spans="1:13">
      <c r="A1781" s="49" t="s">
        <v>73</v>
      </c>
      <c r="B1781" s="46" t="s">
        <v>820</v>
      </c>
      <c r="C1781" s="50"/>
      <c r="D1781" s="51">
        <v>2014</v>
      </c>
      <c r="E1781" s="56">
        <v>251184345</v>
      </c>
      <c r="F1781" s="56">
        <v>353425000</v>
      </c>
      <c r="G1781" s="56">
        <v>309073981.49000001</v>
      </c>
      <c r="H1781" s="56">
        <v>11238252</v>
      </c>
      <c r="I1781" s="54">
        <f t="shared" si="29"/>
        <v>924921578.49000001</v>
      </c>
      <c r="J1781" s="52">
        <v>0</v>
      </c>
      <c r="M1781" s="38" t="str">
        <f>IF([1]totrevprm!O1781="","",[1]totrevprm!O1781)</f>
        <v/>
      </c>
    </row>
    <row r="1782" spans="1:13">
      <c r="A1782" s="49" t="s">
        <v>73</v>
      </c>
      <c r="B1782" s="46" t="s">
        <v>820</v>
      </c>
      <c r="C1782" s="50"/>
      <c r="D1782" s="51">
        <v>2015</v>
      </c>
      <c r="E1782" s="56">
        <v>249665945</v>
      </c>
      <c r="F1782" s="56">
        <v>410119019</v>
      </c>
      <c r="G1782" s="56">
        <v>266860580</v>
      </c>
      <c r="H1782" s="56">
        <v>17263115</v>
      </c>
      <c r="I1782" s="54">
        <f t="shared" si="29"/>
        <v>943908659</v>
      </c>
      <c r="J1782" s="52">
        <v>0</v>
      </c>
      <c r="M1782" s="38" t="str">
        <f>IF([1]totrevprm!O1782="","",[1]totrevprm!O1782)</f>
        <v/>
      </c>
    </row>
    <row r="1783" spans="1:13">
      <c r="A1783" s="49" t="s">
        <v>73</v>
      </c>
      <c r="B1783" s="46" t="s">
        <v>820</v>
      </c>
      <c r="C1783" s="50"/>
      <c r="D1783" s="51">
        <v>2016</v>
      </c>
      <c r="E1783" s="56">
        <v>254441984</v>
      </c>
      <c r="F1783" s="56">
        <v>457254410</v>
      </c>
      <c r="G1783" s="56">
        <v>257006629</v>
      </c>
      <c r="H1783" s="56">
        <v>26610254</v>
      </c>
      <c r="I1783" s="54">
        <f t="shared" si="29"/>
        <v>995313277</v>
      </c>
      <c r="J1783" s="52">
        <v>0</v>
      </c>
      <c r="M1783" s="38" t="str">
        <f>IF([1]totrevprm!O1783="","",[1]totrevprm!O1783)</f>
        <v/>
      </c>
    </row>
    <row r="1784" spans="1:13">
      <c r="A1784" s="49" t="s">
        <v>73</v>
      </c>
      <c r="B1784" s="46" t="s">
        <v>820</v>
      </c>
      <c r="C1784" s="50"/>
      <c r="D1784" s="51">
        <v>2017</v>
      </c>
      <c r="E1784" s="56">
        <v>253159869</v>
      </c>
      <c r="F1784" s="56">
        <v>506932643</v>
      </c>
      <c r="G1784" s="56">
        <v>262053988.73000002</v>
      </c>
      <c r="H1784" s="56">
        <v>16735797</v>
      </c>
      <c r="I1784" s="54">
        <f t="shared" si="29"/>
        <v>1038882297.73</v>
      </c>
      <c r="J1784" s="52">
        <v>0</v>
      </c>
      <c r="M1784" s="38" t="str">
        <f>IF([1]totrevprm!O1784="","",[1]totrevprm!O1784)</f>
        <v/>
      </c>
    </row>
    <row r="1785" spans="1:13">
      <c r="A1785" s="49" t="s">
        <v>73</v>
      </c>
      <c r="B1785" s="46" t="s">
        <v>820</v>
      </c>
      <c r="C1785" s="50"/>
      <c r="D1785" s="51">
        <v>2018</v>
      </c>
      <c r="E1785" s="56">
        <v>251361756</v>
      </c>
      <c r="F1785" s="56">
        <v>511012882</v>
      </c>
      <c r="G1785" s="56">
        <v>273785084</v>
      </c>
      <c r="H1785" s="56">
        <v>36209723</v>
      </c>
      <c r="I1785" s="54">
        <f t="shared" si="29"/>
        <v>1072369445</v>
      </c>
      <c r="J1785" s="56">
        <v>0</v>
      </c>
      <c r="M1785" s="38" t="str">
        <f>IF([1]totrevprm!O1785="","",[1]totrevprm!O1785)</f>
        <v/>
      </c>
    </row>
    <row r="1786" spans="1:13">
      <c r="A1786" s="49" t="s">
        <v>73</v>
      </c>
      <c r="B1786" s="46" t="s">
        <v>820</v>
      </c>
      <c r="C1786" s="50"/>
      <c r="D1786" s="51">
        <v>2019</v>
      </c>
      <c r="E1786" s="56">
        <v>253083212</v>
      </c>
      <c r="F1786" s="56">
        <v>460908082</v>
      </c>
      <c r="G1786" s="56">
        <v>258645904.84999999</v>
      </c>
      <c r="H1786" s="56">
        <v>45647057</v>
      </c>
      <c r="I1786" s="54">
        <f t="shared" si="29"/>
        <v>1018284255.85</v>
      </c>
      <c r="J1786" s="56">
        <v>0</v>
      </c>
      <c r="M1786" s="38" t="str">
        <f>IF([1]totrevprm!O1786="","",[1]totrevprm!O1786)</f>
        <v/>
      </c>
    </row>
    <row r="1787" spans="1:13">
      <c r="A1787" s="49" t="s">
        <v>73</v>
      </c>
      <c r="B1787" s="46" t="s">
        <v>820</v>
      </c>
      <c r="C1787" s="50"/>
      <c r="D1787" s="51">
        <v>2020</v>
      </c>
      <c r="E1787" s="56">
        <v>246921789</v>
      </c>
      <c r="F1787" s="56">
        <v>444453803</v>
      </c>
      <c r="G1787" s="56">
        <v>269800824</v>
      </c>
      <c r="H1787" s="56">
        <v>59734652</v>
      </c>
      <c r="I1787" s="54">
        <f t="shared" si="29"/>
        <v>1020911068</v>
      </c>
      <c r="J1787" s="56">
        <v>0</v>
      </c>
      <c r="M1787" s="38" t="str">
        <f>IF([1]totrevprm!O1787="","",[1]totrevprm!O1787)</f>
        <v/>
      </c>
    </row>
    <row r="1788" spans="1:13">
      <c r="A1788" s="49" t="s">
        <v>73</v>
      </c>
      <c r="B1788" s="46" t="s">
        <v>820</v>
      </c>
      <c r="C1788" s="50"/>
      <c r="D1788" s="51">
        <v>2021</v>
      </c>
      <c r="E1788" s="56">
        <v>269298689</v>
      </c>
      <c r="F1788" s="56">
        <v>526152380</v>
      </c>
      <c r="G1788" s="56">
        <v>261613610.56999999</v>
      </c>
      <c r="H1788" s="56">
        <v>11593092</v>
      </c>
      <c r="I1788" s="54">
        <f t="shared" si="29"/>
        <v>1068657771.5699999</v>
      </c>
      <c r="J1788" s="53">
        <v>0</v>
      </c>
      <c r="M1788" s="38"/>
    </row>
    <row r="1789" spans="1:13">
      <c r="A1789" s="49" t="s">
        <v>73</v>
      </c>
      <c r="B1789" s="46" t="s">
        <v>820</v>
      </c>
      <c r="C1789" s="50"/>
      <c r="D1789" s="51">
        <v>2022</v>
      </c>
      <c r="E1789" s="56">
        <v>280702067</v>
      </c>
      <c r="F1789" s="56">
        <v>1212184531</v>
      </c>
      <c r="G1789" s="56">
        <v>284561733</v>
      </c>
      <c r="H1789" s="56">
        <v>25136370</v>
      </c>
      <c r="I1789" s="54">
        <f t="shared" si="29"/>
        <v>1802584701</v>
      </c>
      <c r="J1789" s="53">
        <v>0</v>
      </c>
      <c r="M1789" s="38" t="str">
        <f>IF([1]totrevprm!O1792="","",[1]totrevprm!O1792)</f>
        <v/>
      </c>
    </row>
    <row r="1790" spans="1:13">
      <c r="A1790" s="49" t="s">
        <v>73</v>
      </c>
      <c r="B1790" s="46" t="s">
        <v>820</v>
      </c>
      <c r="C1790" s="50"/>
      <c r="D1790" s="51">
        <v>2023</v>
      </c>
      <c r="E1790" s="56">
        <v>260419900</v>
      </c>
      <c r="F1790" s="56">
        <v>935460824</v>
      </c>
      <c r="G1790" s="56">
        <v>539664827.47000003</v>
      </c>
      <c r="H1790" s="56">
        <v>18628448</v>
      </c>
      <c r="I1790" s="54">
        <f t="shared" si="29"/>
        <v>1754173999.47</v>
      </c>
      <c r="J1790" s="52">
        <v>0</v>
      </c>
      <c r="K1790" s="61" t="s">
        <v>739</v>
      </c>
      <c r="M1790" s="38" t="s">
        <v>750</v>
      </c>
    </row>
    <row r="1791" spans="1:13">
      <c r="A1791" s="49" t="s">
        <v>73</v>
      </c>
      <c r="B1791" s="46" t="s">
        <v>820</v>
      </c>
      <c r="C1791" s="50"/>
      <c r="D1791" s="57">
        <v>2024</v>
      </c>
      <c r="E1791" s="52">
        <v>272830481.09000003</v>
      </c>
      <c r="F1791" s="52">
        <v>1441368695.4400001</v>
      </c>
      <c r="G1791" s="52">
        <v>570615965.59000003</v>
      </c>
      <c r="H1791" s="52">
        <v>13948944.359999999</v>
      </c>
      <c r="I1791" s="54">
        <f t="shared" si="29"/>
        <v>2298764086.4800005</v>
      </c>
      <c r="J1791" s="56">
        <v>0</v>
      </c>
      <c r="K1791" s="61" t="s">
        <v>739</v>
      </c>
      <c r="M1791" s="38"/>
    </row>
    <row r="1792" spans="1:13">
      <c r="A1792" s="49"/>
      <c r="B1792" s="50"/>
      <c r="C1792" s="50"/>
      <c r="E1792" s="53"/>
      <c r="F1792" s="53"/>
      <c r="G1792" s="53"/>
      <c r="H1792" s="53"/>
      <c r="I1792" s="54"/>
      <c r="J1792" s="52"/>
      <c r="M1792" s="38"/>
    </row>
    <row r="1793" spans="1:13">
      <c r="A1793" s="49" t="s">
        <v>74</v>
      </c>
      <c r="B1793" s="46" t="s">
        <v>471</v>
      </c>
      <c r="C1793" s="50" t="s">
        <v>731</v>
      </c>
      <c r="D1793" s="51">
        <v>1988</v>
      </c>
      <c r="E1793" s="53">
        <v>1501089283</v>
      </c>
      <c r="F1793" s="53">
        <v>910923198</v>
      </c>
      <c r="G1793" s="53">
        <v>2363356212</v>
      </c>
      <c r="H1793" s="53">
        <v>0</v>
      </c>
      <c r="I1793" s="54">
        <f t="shared" si="29"/>
        <v>4775368693</v>
      </c>
      <c r="J1793" s="52">
        <v>0</v>
      </c>
      <c r="M1793" s="38" t="str">
        <f>IF([1]totrevprm!O1793="","",[1]totrevprm!O1793)</f>
        <v/>
      </c>
    </row>
    <row r="1794" spans="1:13">
      <c r="A1794" s="49" t="s">
        <v>74</v>
      </c>
      <c r="B1794" s="46" t="s">
        <v>471</v>
      </c>
      <c r="C1794" s="50" t="s">
        <v>732</v>
      </c>
      <c r="D1794" s="51">
        <v>1989</v>
      </c>
      <c r="E1794" s="53">
        <v>1543941404</v>
      </c>
      <c r="F1794" s="53">
        <v>1049042899</v>
      </c>
      <c r="G1794" s="53">
        <v>2657188303</v>
      </c>
      <c r="H1794" s="53">
        <v>0</v>
      </c>
      <c r="I1794" s="54">
        <f t="shared" si="29"/>
        <v>5250172606</v>
      </c>
      <c r="J1794" s="52">
        <v>0</v>
      </c>
      <c r="M1794" s="38" t="str">
        <f>IF([1]totrevprm!O1794="","",[1]totrevprm!O1794)</f>
        <v/>
      </c>
    </row>
    <row r="1795" spans="1:13">
      <c r="A1795" s="49" t="s">
        <v>74</v>
      </c>
      <c r="B1795" s="46" t="s">
        <v>471</v>
      </c>
      <c r="C1795" s="50" t="s">
        <v>732</v>
      </c>
      <c r="D1795" s="51">
        <v>1990</v>
      </c>
      <c r="E1795" s="53">
        <v>1660561706</v>
      </c>
      <c r="F1795" s="53">
        <v>1103217804.1199999</v>
      </c>
      <c r="G1795" s="53">
        <v>2128224081</v>
      </c>
      <c r="H1795" s="53">
        <v>0</v>
      </c>
      <c r="I1795" s="54">
        <f t="shared" si="29"/>
        <v>4892003591.1199999</v>
      </c>
      <c r="J1795" s="52">
        <v>0</v>
      </c>
      <c r="M1795" s="38" t="str">
        <f>IF([1]totrevprm!O1795="","",[1]totrevprm!O1795)</f>
        <v/>
      </c>
    </row>
    <row r="1796" spans="1:13">
      <c r="A1796" s="49" t="s">
        <v>74</v>
      </c>
      <c r="B1796" s="46" t="s">
        <v>471</v>
      </c>
      <c r="C1796" s="50" t="s">
        <v>732</v>
      </c>
      <c r="D1796" s="51">
        <v>1991</v>
      </c>
      <c r="E1796" s="53">
        <v>1729816670</v>
      </c>
      <c r="F1796" s="53">
        <v>945263271</v>
      </c>
      <c r="G1796" s="53">
        <v>2250538034</v>
      </c>
      <c r="H1796" s="53">
        <v>0</v>
      </c>
      <c r="I1796" s="54">
        <f t="shared" si="29"/>
        <v>4925617975</v>
      </c>
      <c r="J1796" s="52">
        <v>0</v>
      </c>
      <c r="M1796" s="38" t="str">
        <f>IF([1]totrevprm!O1796="","",[1]totrevprm!O1796)</f>
        <v/>
      </c>
    </row>
    <row r="1797" spans="1:13">
      <c r="A1797" s="49" t="s">
        <v>74</v>
      </c>
      <c r="B1797" s="46" t="s">
        <v>471</v>
      </c>
      <c r="C1797" s="50" t="s">
        <v>732</v>
      </c>
      <c r="D1797" s="51">
        <v>1992</v>
      </c>
      <c r="E1797" s="53">
        <v>1889473142</v>
      </c>
      <c r="F1797" s="53">
        <v>1257251933.5599999</v>
      </c>
      <c r="G1797" s="53">
        <v>2348996620</v>
      </c>
      <c r="H1797" s="53">
        <v>0</v>
      </c>
      <c r="I1797" s="54">
        <f t="shared" si="29"/>
        <v>5495721695.5599995</v>
      </c>
      <c r="J1797" s="52">
        <v>0</v>
      </c>
      <c r="M1797" s="38" t="str">
        <f>IF([1]totrevprm!O1797="","",[1]totrevprm!O1797)</f>
        <v/>
      </c>
    </row>
    <row r="1798" spans="1:13">
      <c r="A1798" s="49" t="s">
        <v>74</v>
      </c>
      <c r="B1798" s="46" t="s">
        <v>471</v>
      </c>
      <c r="C1798" s="50" t="s">
        <v>732</v>
      </c>
      <c r="D1798" s="51">
        <v>1993</v>
      </c>
      <c r="E1798" s="53">
        <v>1907656659</v>
      </c>
      <c r="F1798" s="53">
        <v>1126828951</v>
      </c>
      <c r="G1798" s="53">
        <v>2519918117</v>
      </c>
      <c r="H1798" s="53">
        <v>0</v>
      </c>
      <c r="I1798" s="54">
        <f t="shared" si="29"/>
        <v>5554403727</v>
      </c>
      <c r="J1798" s="52">
        <v>0</v>
      </c>
      <c r="M1798" s="38" t="str">
        <f>IF([1]totrevprm!O1798="","",[1]totrevprm!O1798)</f>
        <v/>
      </c>
    </row>
    <row r="1799" spans="1:13">
      <c r="A1799" s="49" t="s">
        <v>74</v>
      </c>
      <c r="B1799" s="46" t="s">
        <v>471</v>
      </c>
      <c r="C1799" s="50" t="s">
        <v>732</v>
      </c>
      <c r="D1799" s="51">
        <v>1994</v>
      </c>
      <c r="E1799" s="53">
        <v>2049832358</v>
      </c>
      <c r="F1799" s="53">
        <v>1532486706</v>
      </c>
      <c r="G1799" s="53">
        <v>2520943348</v>
      </c>
      <c r="H1799" s="53">
        <v>0</v>
      </c>
      <c r="I1799" s="54">
        <f t="shared" si="29"/>
        <v>6103262412</v>
      </c>
      <c r="J1799" s="52">
        <v>0</v>
      </c>
      <c r="M1799" s="38" t="str">
        <f>IF([1]totrevprm!O1799="","",[1]totrevprm!O1799)</f>
        <v/>
      </c>
    </row>
    <row r="1800" spans="1:13">
      <c r="A1800" s="49" t="s">
        <v>74</v>
      </c>
      <c r="B1800" s="46" t="s">
        <v>471</v>
      </c>
      <c r="C1800" s="50" t="s">
        <v>732</v>
      </c>
      <c r="D1800" s="51">
        <v>1995</v>
      </c>
      <c r="E1800" s="53">
        <v>2190692461</v>
      </c>
      <c r="F1800" s="53">
        <v>1400792149</v>
      </c>
      <c r="G1800" s="53">
        <v>2639522810</v>
      </c>
      <c r="H1800" s="53">
        <v>0</v>
      </c>
      <c r="I1800" s="54">
        <f t="shared" si="29"/>
        <v>6231007420</v>
      </c>
      <c r="J1800" s="52">
        <v>0</v>
      </c>
      <c r="M1800" s="38" t="str">
        <f>IF([1]totrevprm!O1800="","",[1]totrevprm!O1800)</f>
        <v/>
      </c>
    </row>
    <row r="1801" spans="1:13">
      <c r="A1801" s="49" t="s">
        <v>74</v>
      </c>
      <c r="B1801" s="46" t="s">
        <v>471</v>
      </c>
      <c r="C1801" s="50" t="s">
        <v>732</v>
      </c>
      <c r="D1801" s="51">
        <v>1996</v>
      </c>
      <c r="E1801" s="53">
        <v>2227159561</v>
      </c>
      <c r="F1801" s="53">
        <v>1192305410</v>
      </c>
      <c r="G1801" s="53">
        <v>2690850982</v>
      </c>
      <c r="H1801" s="53">
        <v>0</v>
      </c>
      <c r="I1801" s="54">
        <f t="shared" si="29"/>
        <v>6110315953</v>
      </c>
      <c r="J1801" s="52">
        <v>0</v>
      </c>
      <c r="M1801" s="38" t="str">
        <f>IF([1]totrevprm!O1801="","",[1]totrevprm!O1801)</f>
        <v/>
      </c>
    </row>
    <row r="1802" spans="1:13">
      <c r="A1802" s="49" t="s">
        <v>74</v>
      </c>
      <c r="B1802" s="46" t="s">
        <v>471</v>
      </c>
      <c r="C1802" s="50" t="s">
        <v>732</v>
      </c>
      <c r="D1802" s="51">
        <v>1997</v>
      </c>
      <c r="E1802" s="53">
        <v>2183619207</v>
      </c>
      <c r="F1802" s="53">
        <v>1364423874</v>
      </c>
      <c r="G1802" s="53">
        <v>2716987365</v>
      </c>
      <c r="H1802" s="53">
        <v>0</v>
      </c>
      <c r="I1802" s="54">
        <f t="shared" si="29"/>
        <v>6265030446</v>
      </c>
      <c r="J1802" s="52">
        <v>0</v>
      </c>
      <c r="M1802" s="38" t="str">
        <f>IF([1]totrevprm!O1802="","",[1]totrevprm!O1802)</f>
        <v/>
      </c>
    </row>
    <row r="1803" spans="1:13">
      <c r="A1803" s="49" t="s">
        <v>74</v>
      </c>
      <c r="B1803" s="46" t="s">
        <v>471</v>
      </c>
      <c r="C1803" s="50" t="s">
        <v>732</v>
      </c>
      <c r="D1803" s="51">
        <v>1998</v>
      </c>
      <c r="E1803" s="53">
        <v>2343446115</v>
      </c>
      <c r="F1803" s="53">
        <v>1408582622</v>
      </c>
      <c r="G1803" s="53">
        <v>2828357943</v>
      </c>
      <c r="H1803" s="53">
        <v>0</v>
      </c>
      <c r="I1803" s="54">
        <f t="shared" si="29"/>
        <v>6580386680</v>
      </c>
      <c r="J1803" s="52">
        <v>0</v>
      </c>
      <c r="M1803" s="38" t="str">
        <f>IF([1]totrevprm!O1803="","",[1]totrevprm!O1803)</f>
        <v/>
      </c>
    </row>
    <row r="1804" spans="1:13">
      <c r="A1804" s="49" t="s">
        <v>74</v>
      </c>
      <c r="B1804" s="46" t="s">
        <v>471</v>
      </c>
      <c r="C1804" s="50" t="s">
        <v>732</v>
      </c>
      <c r="D1804" s="51">
        <v>1999</v>
      </c>
      <c r="E1804" s="53">
        <v>2290594933</v>
      </c>
      <c r="F1804" s="53">
        <v>2028097258</v>
      </c>
      <c r="G1804" s="53">
        <v>3086655463</v>
      </c>
      <c r="H1804" s="53">
        <v>0</v>
      </c>
      <c r="I1804" s="54">
        <f t="shared" si="29"/>
        <v>7405347654</v>
      </c>
      <c r="J1804" s="52">
        <v>0</v>
      </c>
      <c r="M1804" s="38" t="str">
        <f>IF([1]totrevprm!O1804="","",[1]totrevprm!O1804)</f>
        <v/>
      </c>
    </row>
    <row r="1805" spans="1:13">
      <c r="A1805" s="49" t="s">
        <v>74</v>
      </c>
      <c r="B1805" s="46" t="s">
        <v>471</v>
      </c>
      <c r="C1805" s="50" t="s">
        <v>821</v>
      </c>
      <c r="D1805" s="51">
        <v>2000</v>
      </c>
      <c r="E1805" s="53">
        <v>2495479386</v>
      </c>
      <c r="F1805" s="53">
        <v>2090547968</v>
      </c>
      <c r="G1805" s="53">
        <v>3622895043</v>
      </c>
      <c r="H1805" s="53">
        <v>0</v>
      </c>
      <c r="I1805" s="54">
        <f t="shared" si="29"/>
        <v>8208922397</v>
      </c>
      <c r="J1805" s="52">
        <v>0</v>
      </c>
      <c r="M1805" s="38" t="str">
        <f>IF([1]totrevprm!O1805="","",[1]totrevprm!O1805)</f>
        <v/>
      </c>
    </row>
    <row r="1806" spans="1:13">
      <c r="A1806" s="49" t="s">
        <v>74</v>
      </c>
      <c r="B1806" s="46" t="s">
        <v>471</v>
      </c>
      <c r="C1806" s="50" t="s">
        <v>732</v>
      </c>
      <c r="D1806" s="51">
        <v>2001</v>
      </c>
      <c r="E1806" s="53">
        <v>2395872565</v>
      </c>
      <c r="F1806" s="53">
        <v>2486863710</v>
      </c>
      <c r="G1806" s="53">
        <v>3788332286</v>
      </c>
      <c r="H1806" s="53">
        <v>0</v>
      </c>
      <c r="I1806" s="54">
        <f t="shared" si="29"/>
        <v>8671068561</v>
      </c>
      <c r="J1806" s="52">
        <v>0</v>
      </c>
      <c r="M1806" s="38" t="str">
        <f>IF([1]totrevprm!O1806="","",[1]totrevprm!O1806)</f>
        <v/>
      </c>
    </row>
    <row r="1807" spans="1:13">
      <c r="A1807" s="49" t="s">
        <v>74</v>
      </c>
      <c r="B1807" s="46" t="s">
        <v>471</v>
      </c>
      <c r="C1807" s="50" t="s">
        <v>732</v>
      </c>
      <c r="D1807" s="51">
        <v>2002</v>
      </c>
      <c r="E1807" s="53">
        <v>2422101179</v>
      </c>
      <c r="F1807" s="53">
        <v>3299077415</v>
      </c>
      <c r="G1807" s="53">
        <v>4625861868</v>
      </c>
      <c r="H1807" s="53">
        <v>0</v>
      </c>
      <c r="I1807" s="54">
        <f t="shared" ref="I1807:I1872" si="30">SUM(E1807:H1807)</f>
        <v>10347040462</v>
      </c>
      <c r="J1807" s="52">
        <v>0</v>
      </c>
      <c r="M1807" s="38" t="str">
        <f>IF([1]totrevprm!O1807="","",[1]totrevprm!O1807)</f>
        <v/>
      </c>
    </row>
    <row r="1808" spans="1:13">
      <c r="A1808" s="49" t="s">
        <v>74</v>
      </c>
      <c r="B1808" s="46" t="s">
        <v>471</v>
      </c>
      <c r="C1808" s="50" t="s">
        <v>732</v>
      </c>
      <c r="D1808" s="51">
        <v>2003</v>
      </c>
      <c r="E1808" s="55">
        <v>2556657303</v>
      </c>
      <c r="F1808" s="55">
        <v>3079248641</v>
      </c>
      <c r="G1808" s="55">
        <v>5035520945</v>
      </c>
      <c r="H1808" s="55">
        <v>0</v>
      </c>
      <c r="I1808" s="54">
        <f t="shared" si="30"/>
        <v>10671426889</v>
      </c>
      <c r="J1808" s="52">
        <v>0</v>
      </c>
      <c r="M1808" s="38" t="str">
        <f>IF([1]totrevprm!O1808="","",[1]totrevprm!O1808)</f>
        <v/>
      </c>
    </row>
    <row r="1809" spans="1:13">
      <c r="A1809" s="49" t="s">
        <v>74</v>
      </c>
      <c r="B1809" s="46" t="s">
        <v>471</v>
      </c>
      <c r="C1809" s="50" t="s">
        <v>732</v>
      </c>
      <c r="D1809" s="51">
        <v>2004</v>
      </c>
      <c r="E1809" s="55">
        <v>2614519974</v>
      </c>
      <c r="F1809" s="55">
        <v>2799229962</v>
      </c>
      <c r="G1809" s="55">
        <v>5516056428</v>
      </c>
      <c r="H1809" s="55">
        <v>0</v>
      </c>
      <c r="I1809" s="54">
        <f t="shared" si="30"/>
        <v>10929806364</v>
      </c>
      <c r="J1809" s="52">
        <v>0</v>
      </c>
      <c r="M1809" s="38" t="str">
        <f>IF([1]totrevprm!O1809="","",[1]totrevprm!O1809)</f>
        <v/>
      </c>
    </row>
    <row r="1810" spans="1:13">
      <c r="A1810" s="49" t="s">
        <v>74</v>
      </c>
      <c r="B1810" s="46" t="s">
        <v>471</v>
      </c>
      <c r="C1810" s="50"/>
      <c r="D1810" s="51">
        <v>2005</v>
      </c>
      <c r="E1810" s="55">
        <v>2686824082</v>
      </c>
      <c r="F1810" s="55">
        <v>2409315752</v>
      </c>
      <c r="G1810" s="55">
        <v>5989332444.4399996</v>
      </c>
      <c r="H1810" s="55">
        <v>0</v>
      </c>
      <c r="I1810" s="54">
        <f t="shared" si="30"/>
        <v>11085472278.439999</v>
      </c>
      <c r="J1810" s="52">
        <v>0</v>
      </c>
      <c r="M1810" s="38" t="str">
        <f>IF([1]totrevprm!O1810="","",[1]totrevprm!O1810)</f>
        <v/>
      </c>
    </row>
    <row r="1811" spans="1:13">
      <c r="A1811" s="49" t="s">
        <v>74</v>
      </c>
      <c r="B1811" s="46" t="s">
        <v>471</v>
      </c>
      <c r="C1811" s="50"/>
      <c r="D1811" s="51">
        <v>2006</v>
      </c>
      <c r="E1811" s="56">
        <v>2936162430</v>
      </c>
      <c r="F1811" s="56">
        <v>2702514754</v>
      </c>
      <c r="G1811" s="56">
        <v>5795171726</v>
      </c>
      <c r="H1811" s="56">
        <v>0</v>
      </c>
      <c r="I1811" s="54">
        <f t="shared" si="30"/>
        <v>11433848910</v>
      </c>
      <c r="J1811" s="52">
        <v>0</v>
      </c>
      <c r="M1811" s="38" t="str">
        <f>IF([1]totrevprm!O1811="","",[1]totrevprm!O1811)</f>
        <v/>
      </c>
    </row>
    <row r="1812" spans="1:13">
      <c r="A1812" s="49" t="s">
        <v>74</v>
      </c>
      <c r="B1812" s="46" t="s">
        <v>471</v>
      </c>
      <c r="C1812" s="50"/>
      <c r="D1812" s="51">
        <v>2007</v>
      </c>
      <c r="E1812" s="56">
        <v>2991698548</v>
      </c>
      <c r="F1812" s="56">
        <v>2668467549</v>
      </c>
      <c r="G1812" s="56">
        <v>6636005822</v>
      </c>
      <c r="H1812" s="56">
        <v>0</v>
      </c>
      <c r="I1812" s="54">
        <f t="shared" si="30"/>
        <v>12296171919</v>
      </c>
      <c r="J1812" s="52">
        <v>0</v>
      </c>
      <c r="M1812" s="38" t="str">
        <f>IF([1]totrevprm!O1812="","",[1]totrevprm!O1812)</f>
        <v/>
      </c>
    </row>
    <row r="1813" spans="1:13">
      <c r="A1813" s="49" t="s">
        <v>74</v>
      </c>
      <c r="B1813" s="46" t="s">
        <v>471</v>
      </c>
      <c r="C1813" s="50"/>
      <c r="D1813" s="51">
        <v>2008</v>
      </c>
      <c r="E1813" s="56">
        <v>3100365954</v>
      </c>
      <c r="F1813" s="56">
        <v>4007178223</v>
      </c>
      <c r="G1813" s="56">
        <v>7028334298</v>
      </c>
      <c r="H1813" s="56">
        <v>0</v>
      </c>
      <c r="I1813" s="54">
        <f t="shared" si="30"/>
        <v>14135878475</v>
      </c>
      <c r="J1813" s="52">
        <v>0</v>
      </c>
      <c r="M1813" s="38" t="str">
        <f>IF([1]totrevprm!O1813="","",[1]totrevprm!O1813)</f>
        <v/>
      </c>
    </row>
    <row r="1814" spans="1:13">
      <c r="A1814" s="49" t="s">
        <v>74</v>
      </c>
      <c r="B1814" s="46" t="s">
        <v>471</v>
      </c>
      <c r="C1814" s="50"/>
      <c r="D1814" s="51">
        <v>2009</v>
      </c>
      <c r="E1814" s="56">
        <v>3482986689</v>
      </c>
      <c r="F1814" s="56">
        <v>3893096464</v>
      </c>
      <c r="G1814" s="56">
        <v>7287630663</v>
      </c>
      <c r="H1814" s="56">
        <v>0</v>
      </c>
      <c r="I1814" s="54">
        <f t="shared" si="30"/>
        <v>14663713816</v>
      </c>
      <c r="J1814" s="52">
        <v>0</v>
      </c>
      <c r="M1814" s="38" t="str">
        <f>IF([1]totrevprm!O1814="","",[1]totrevprm!O1814)</f>
        <v/>
      </c>
    </row>
    <row r="1815" spans="1:13">
      <c r="A1815" s="49" t="s">
        <v>74</v>
      </c>
      <c r="B1815" s="46" t="s">
        <v>471</v>
      </c>
      <c r="C1815" s="50"/>
      <c r="D1815" s="51">
        <v>2010</v>
      </c>
      <c r="E1815" s="56">
        <v>3607092710</v>
      </c>
      <c r="F1815" s="56">
        <v>3469447420</v>
      </c>
      <c r="G1815" s="56">
        <v>7181231192</v>
      </c>
      <c r="H1815" s="56">
        <v>93676191</v>
      </c>
      <c r="I1815" s="54">
        <f t="shared" si="30"/>
        <v>14351447513</v>
      </c>
      <c r="J1815" s="52">
        <v>41955158</v>
      </c>
      <c r="K1815" s="60" t="s">
        <v>736</v>
      </c>
      <c r="L1815" t="s">
        <v>720</v>
      </c>
      <c r="M1815" s="38" t="str">
        <f>IF([1]totrevprm!O1815="","",[1]totrevprm!O1815)</f>
        <v/>
      </c>
    </row>
    <row r="1816" spans="1:13">
      <c r="A1816" s="49" t="s">
        <v>74</v>
      </c>
      <c r="B1816" s="46" t="s">
        <v>471</v>
      </c>
      <c r="C1816" s="50"/>
      <c r="D1816" s="51">
        <v>2011</v>
      </c>
      <c r="E1816" s="56">
        <v>3709199847</v>
      </c>
      <c r="F1816" s="56">
        <v>3379817973</v>
      </c>
      <c r="G1816" s="56">
        <v>6944334442</v>
      </c>
      <c r="H1816" s="56">
        <v>128740547</v>
      </c>
      <c r="I1816" s="54">
        <f t="shared" si="30"/>
        <v>14162092809</v>
      </c>
      <c r="J1816" s="52">
        <v>19314425</v>
      </c>
      <c r="K1816" s="60" t="s">
        <v>736</v>
      </c>
      <c r="L1816" t="s">
        <v>720</v>
      </c>
      <c r="M1816" s="38" t="str">
        <f>IF([1]totrevprm!O1816="","",[1]totrevprm!O1816)</f>
        <v/>
      </c>
    </row>
    <row r="1817" spans="1:13">
      <c r="A1817" s="49" t="s">
        <v>74</v>
      </c>
      <c r="B1817" s="46" t="s">
        <v>471</v>
      </c>
      <c r="C1817" s="50"/>
      <c r="D1817" s="51">
        <v>2012</v>
      </c>
      <c r="E1817" s="56">
        <v>3986860876</v>
      </c>
      <c r="F1817" s="56">
        <v>3970689965</v>
      </c>
      <c r="G1817" s="56">
        <v>6494107159</v>
      </c>
      <c r="H1817" s="56">
        <v>274323277</v>
      </c>
      <c r="I1817" s="54">
        <f t="shared" si="30"/>
        <v>14725981277</v>
      </c>
      <c r="J1817" s="52">
        <v>24157302</v>
      </c>
      <c r="K1817" s="60" t="s">
        <v>736</v>
      </c>
      <c r="L1817" t="s">
        <v>720</v>
      </c>
      <c r="M1817" s="38" t="str">
        <f>IF([1]totrevprm!O1817="","",[1]totrevprm!O1817)</f>
        <v/>
      </c>
    </row>
    <row r="1818" spans="1:13">
      <c r="A1818" s="49" t="s">
        <v>74</v>
      </c>
      <c r="B1818" s="46" t="s">
        <v>471</v>
      </c>
      <c r="C1818" s="50"/>
      <c r="D1818" s="51">
        <v>2013</v>
      </c>
      <c r="E1818" s="56">
        <v>4033135508</v>
      </c>
      <c r="F1818" s="56">
        <v>3531711590</v>
      </c>
      <c r="G1818" s="56">
        <v>6563340419</v>
      </c>
      <c r="H1818" s="56">
        <v>283614056</v>
      </c>
      <c r="I1818" s="54">
        <f t="shared" si="30"/>
        <v>14411801573</v>
      </c>
      <c r="J1818" s="52">
        <v>30802327</v>
      </c>
      <c r="K1818" s="60" t="s">
        <v>736</v>
      </c>
      <c r="L1818" t="s">
        <v>720</v>
      </c>
      <c r="M1818" s="38" t="str">
        <f>IF([1]totrevprm!O1818="","",[1]totrevprm!O1818)</f>
        <v/>
      </c>
    </row>
    <row r="1819" spans="1:13">
      <c r="A1819" s="49" t="s">
        <v>74</v>
      </c>
      <c r="B1819" s="46" t="s">
        <v>471</v>
      </c>
      <c r="C1819" s="50"/>
      <c r="D1819" s="51">
        <v>2014</v>
      </c>
      <c r="E1819" s="56">
        <v>3979237482</v>
      </c>
      <c r="F1819" s="56">
        <v>3923424548</v>
      </c>
      <c r="G1819" s="56">
        <v>6903382036</v>
      </c>
      <c r="H1819" s="56">
        <v>91084435</v>
      </c>
      <c r="I1819" s="54">
        <f t="shared" si="30"/>
        <v>14897128501</v>
      </c>
      <c r="J1819" s="52">
        <v>211691881</v>
      </c>
      <c r="K1819" s="60" t="s">
        <v>736</v>
      </c>
      <c r="L1819" t="s">
        <v>720</v>
      </c>
      <c r="M1819" s="38" t="str">
        <f>IF([1]totrevprm!O1819="","",[1]totrevprm!O1819)</f>
        <v/>
      </c>
    </row>
    <row r="1820" spans="1:13">
      <c r="A1820" s="49" t="s">
        <v>74</v>
      </c>
      <c r="B1820" s="46" t="s">
        <v>471</v>
      </c>
      <c r="C1820" s="50"/>
      <c r="D1820" s="51">
        <v>2015</v>
      </c>
      <c r="E1820" s="56">
        <v>4227842413</v>
      </c>
      <c r="F1820" s="56">
        <v>4319855282</v>
      </c>
      <c r="G1820" s="56">
        <v>6654722914</v>
      </c>
      <c r="H1820" s="56">
        <v>125374007</v>
      </c>
      <c r="I1820" s="54">
        <f t="shared" si="30"/>
        <v>15327794616</v>
      </c>
      <c r="J1820" s="52">
        <v>142571001</v>
      </c>
      <c r="K1820" s="60" t="s">
        <v>736</v>
      </c>
      <c r="L1820" t="s">
        <v>720</v>
      </c>
      <c r="M1820" s="38" t="str">
        <f>IF([1]totrevprm!O1820="","",[1]totrevprm!O1820)</f>
        <v/>
      </c>
    </row>
    <row r="1821" spans="1:13">
      <c r="A1821" s="49" t="s">
        <v>74</v>
      </c>
      <c r="B1821" s="46" t="s">
        <v>471</v>
      </c>
      <c r="C1821" s="50"/>
      <c r="D1821" s="51">
        <v>2016</v>
      </c>
      <c r="E1821" s="56">
        <v>4332097227</v>
      </c>
      <c r="F1821" s="56">
        <v>5229411861</v>
      </c>
      <c r="G1821" s="56">
        <v>6764697549</v>
      </c>
      <c r="H1821" s="56">
        <v>170089356</v>
      </c>
      <c r="I1821" s="54">
        <f t="shared" si="30"/>
        <v>16496295993</v>
      </c>
      <c r="J1821" s="52">
        <v>110280016</v>
      </c>
      <c r="K1821" s="60" t="s">
        <v>736</v>
      </c>
      <c r="L1821" t="s">
        <v>720</v>
      </c>
      <c r="M1821" s="38" t="str">
        <f>IF([1]totrevprm!O1821="","",[1]totrevprm!O1821)</f>
        <v/>
      </c>
    </row>
    <row r="1822" spans="1:13">
      <c r="A1822" s="49" t="s">
        <v>74</v>
      </c>
      <c r="B1822" s="46" t="s">
        <v>471</v>
      </c>
      <c r="C1822" s="50"/>
      <c r="D1822" s="51">
        <v>2017</v>
      </c>
      <c r="E1822" s="56">
        <v>4367624287</v>
      </c>
      <c r="F1822" s="56">
        <v>4660135439</v>
      </c>
      <c r="G1822" s="56">
        <v>6853855281</v>
      </c>
      <c r="H1822" s="56">
        <v>136364845</v>
      </c>
      <c r="I1822" s="54">
        <f t="shared" si="30"/>
        <v>16017979852</v>
      </c>
      <c r="J1822" s="56">
        <v>76669176</v>
      </c>
      <c r="K1822" s="60" t="s">
        <v>736</v>
      </c>
      <c r="L1822" t="s">
        <v>720</v>
      </c>
      <c r="M1822" s="38" t="str">
        <f>IF([1]totrevprm!O1822="","",[1]totrevprm!O1822)</f>
        <v/>
      </c>
    </row>
    <row r="1823" spans="1:13">
      <c r="A1823" s="49" t="s">
        <v>74</v>
      </c>
      <c r="B1823" s="46" t="s">
        <v>471</v>
      </c>
      <c r="C1823" s="50"/>
      <c r="D1823" s="51">
        <v>2018</v>
      </c>
      <c r="E1823" s="56">
        <v>4457171148</v>
      </c>
      <c r="F1823" s="56">
        <v>5138305054</v>
      </c>
      <c r="G1823" s="56">
        <v>9224537247.3899994</v>
      </c>
      <c r="H1823" s="56">
        <v>128124192</v>
      </c>
      <c r="I1823" s="54">
        <f t="shared" si="30"/>
        <v>18948137641.389999</v>
      </c>
      <c r="J1823" s="56">
        <v>108205166</v>
      </c>
      <c r="K1823" s="61" t="s">
        <v>737</v>
      </c>
      <c r="L1823" t="s">
        <v>720</v>
      </c>
      <c r="M1823" s="38" t="str">
        <f>IF([1]totrevprm!O1823="","",[1]totrevprm!O1823)</f>
        <v>Yes</v>
      </c>
    </row>
    <row r="1824" spans="1:13">
      <c r="A1824" s="49" t="s">
        <v>74</v>
      </c>
      <c r="B1824" s="46" t="s">
        <v>471</v>
      </c>
      <c r="C1824" s="50"/>
      <c r="D1824" s="51">
        <v>2019</v>
      </c>
      <c r="E1824" s="56">
        <v>4547725083</v>
      </c>
      <c r="F1824" s="56">
        <v>5397451168</v>
      </c>
      <c r="G1824" s="56">
        <v>11364852501.6159</v>
      </c>
      <c r="H1824" s="56">
        <v>147537505</v>
      </c>
      <c r="I1824" s="54">
        <f t="shared" si="30"/>
        <v>21457566257.615898</v>
      </c>
      <c r="J1824" s="56">
        <v>103627291</v>
      </c>
      <c r="K1824" s="61" t="s">
        <v>738</v>
      </c>
      <c r="L1824" t="s">
        <v>720</v>
      </c>
      <c r="M1824" s="38" t="str">
        <f>IF([1]totrevprm!O1824="","",[1]totrevprm!O1824)</f>
        <v/>
      </c>
    </row>
    <row r="1825" spans="1:13">
      <c r="A1825" s="49" t="s">
        <v>74</v>
      </c>
      <c r="B1825" s="46" t="s">
        <v>471</v>
      </c>
      <c r="C1825" s="50"/>
      <c r="D1825" s="51">
        <v>2020</v>
      </c>
      <c r="E1825" s="56">
        <v>4495798592</v>
      </c>
      <c r="F1825" s="56">
        <v>5340133710</v>
      </c>
      <c r="G1825" s="56">
        <v>11097179855</v>
      </c>
      <c r="H1825" s="56">
        <v>157468168</v>
      </c>
      <c r="I1825" s="54">
        <f t="shared" si="30"/>
        <v>21090580325</v>
      </c>
      <c r="J1825" s="56">
        <v>62154387</v>
      </c>
      <c r="K1825" s="61" t="s">
        <v>738</v>
      </c>
      <c r="L1825" t="s">
        <v>720</v>
      </c>
      <c r="M1825" s="38" t="str">
        <f>IF([1]totrevprm!O1825="","",[1]totrevprm!O1825)</f>
        <v/>
      </c>
    </row>
    <row r="1826" spans="1:13">
      <c r="A1826" s="49" t="s">
        <v>74</v>
      </c>
      <c r="B1826" s="46" t="s">
        <v>471</v>
      </c>
      <c r="C1826" s="50"/>
      <c r="D1826" s="51">
        <v>2021</v>
      </c>
      <c r="E1826" s="56">
        <v>4936830679</v>
      </c>
      <c r="F1826" s="56">
        <v>6144306286</v>
      </c>
      <c r="G1826" s="56">
        <v>11274920709</v>
      </c>
      <c r="H1826" s="56">
        <v>113703390</v>
      </c>
      <c r="I1826" s="54">
        <f t="shared" si="30"/>
        <v>22469761064</v>
      </c>
      <c r="J1826" s="53">
        <v>0</v>
      </c>
      <c r="K1826" s="61" t="s">
        <v>739</v>
      </c>
      <c r="L1826" t="s">
        <v>720</v>
      </c>
      <c r="M1826" s="38"/>
    </row>
    <row r="1827" spans="1:13">
      <c r="A1827" s="49" t="s">
        <v>74</v>
      </c>
      <c r="B1827" s="46" t="s">
        <v>471</v>
      </c>
      <c r="C1827" s="50"/>
      <c r="D1827" s="51">
        <v>2022</v>
      </c>
      <c r="E1827" s="56">
        <v>4871927540</v>
      </c>
      <c r="F1827" s="56">
        <v>7960511493</v>
      </c>
      <c r="G1827" s="56">
        <v>11584435849</v>
      </c>
      <c r="H1827" s="56">
        <v>151172567</v>
      </c>
      <c r="I1827" s="54">
        <f t="shared" si="30"/>
        <v>24568047449</v>
      </c>
      <c r="J1827" s="53">
        <v>0</v>
      </c>
      <c r="K1827" s="61" t="s">
        <v>739</v>
      </c>
      <c r="L1827" t="s">
        <v>720</v>
      </c>
      <c r="M1827" s="38" t="str">
        <f>IF([1]totrevprm!O1830="","",[1]totrevprm!O1830)</f>
        <v/>
      </c>
    </row>
    <row r="1828" spans="1:13">
      <c r="A1828" s="49" t="s">
        <v>74</v>
      </c>
      <c r="B1828" s="46" t="s">
        <v>471</v>
      </c>
      <c r="C1828" s="50"/>
      <c r="D1828" s="51">
        <v>2023</v>
      </c>
      <c r="E1828" s="56">
        <v>4916566774</v>
      </c>
      <c r="F1828" s="56">
        <v>8947284198.5342999</v>
      </c>
      <c r="G1828" s="56">
        <v>11783295247.138901</v>
      </c>
      <c r="H1828" s="56">
        <v>117562439</v>
      </c>
      <c r="I1828" s="54">
        <f t="shared" si="30"/>
        <v>25764708658.673203</v>
      </c>
      <c r="J1828" s="52">
        <v>0</v>
      </c>
      <c r="K1828" s="61" t="s">
        <v>739</v>
      </c>
      <c r="M1828" s="38"/>
    </row>
    <row r="1829" spans="1:13">
      <c r="A1829" s="49" t="s">
        <v>74</v>
      </c>
      <c r="B1829" s="46" t="s">
        <v>471</v>
      </c>
      <c r="C1829" s="50"/>
      <c r="D1829" s="57">
        <v>2024</v>
      </c>
      <c r="E1829" s="52">
        <v>5029446334.75</v>
      </c>
      <c r="F1829" s="52">
        <v>10748604389.279999</v>
      </c>
      <c r="G1829" s="52">
        <v>12250417574.7269</v>
      </c>
      <c r="H1829" s="52">
        <v>156179094.00999999</v>
      </c>
      <c r="I1829" s="54">
        <f t="shared" si="30"/>
        <v>28184647392.766895</v>
      </c>
      <c r="J1829" s="56">
        <v>0</v>
      </c>
      <c r="K1829" s="61" t="s">
        <v>739</v>
      </c>
      <c r="M1829" s="38"/>
    </row>
    <row r="1830" spans="1:13">
      <c r="A1830" s="49"/>
      <c r="B1830" s="50"/>
      <c r="C1830" s="50"/>
      <c r="E1830" s="53"/>
      <c r="F1830" s="53"/>
      <c r="G1830" s="53"/>
      <c r="H1830" s="53"/>
      <c r="I1830" s="54"/>
      <c r="J1830" s="52"/>
      <c r="M1830" s="38"/>
    </row>
    <row r="1831" spans="1:13">
      <c r="A1831" s="49" t="s">
        <v>75</v>
      </c>
      <c r="B1831" s="46" t="s">
        <v>822</v>
      </c>
      <c r="C1831" s="50" t="s">
        <v>769</v>
      </c>
      <c r="D1831" s="51">
        <v>1988</v>
      </c>
      <c r="E1831" s="53">
        <v>840791631</v>
      </c>
      <c r="F1831" s="53">
        <v>1043673472</v>
      </c>
      <c r="G1831" s="53">
        <v>591169771</v>
      </c>
      <c r="H1831" s="53">
        <v>437364236</v>
      </c>
      <c r="I1831" s="54">
        <f t="shared" si="30"/>
        <v>2912999110</v>
      </c>
      <c r="J1831" s="52">
        <v>0</v>
      </c>
      <c r="M1831" s="38" t="str">
        <f>IF([1]totrevprm!O1831="","",[1]totrevprm!O1831)</f>
        <v/>
      </c>
    </row>
    <row r="1832" spans="1:13">
      <c r="A1832" s="49" t="s">
        <v>75</v>
      </c>
      <c r="B1832" s="46" t="s">
        <v>822</v>
      </c>
      <c r="C1832" s="50" t="s">
        <v>742</v>
      </c>
      <c r="D1832" s="51">
        <v>1989</v>
      </c>
      <c r="E1832" s="53">
        <v>807137955</v>
      </c>
      <c r="F1832" s="53">
        <v>1210734505</v>
      </c>
      <c r="G1832" s="53">
        <v>640054085</v>
      </c>
      <c r="H1832" s="53">
        <v>488580358</v>
      </c>
      <c r="I1832" s="54">
        <f t="shared" si="30"/>
        <v>3146506903</v>
      </c>
      <c r="J1832" s="52">
        <v>0</v>
      </c>
      <c r="M1832" s="38" t="str">
        <f>IF([1]totrevprm!O1832="","",[1]totrevprm!O1832)</f>
        <v/>
      </c>
    </row>
    <row r="1833" spans="1:13">
      <c r="A1833" s="49" t="s">
        <v>75</v>
      </c>
      <c r="B1833" s="46" t="s">
        <v>822</v>
      </c>
      <c r="C1833" s="50" t="s">
        <v>743</v>
      </c>
      <c r="D1833" s="51">
        <v>1990</v>
      </c>
      <c r="E1833" s="53">
        <v>894491367</v>
      </c>
      <c r="F1833" s="53">
        <v>1237761805.3199999</v>
      </c>
      <c r="G1833" s="53">
        <v>698740449</v>
      </c>
      <c r="H1833" s="53">
        <v>521619599</v>
      </c>
      <c r="I1833" s="54">
        <f t="shared" si="30"/>
        <v>3352613220.3199997</v>
      </c>
      <c r="J1833" s="52">
        <v>0</v>
      </c>
      <c r="M1833" s="38" t="str">
        <f>IF([1]totrevprm!O1833="","",[1]totrevprm!O1833)</f>
        <v/>
      </c>
    </row>
    <row r="1834" spans="1:13">
      <c r="A1834" s="49" t="s">
        <v>75</v>
      </c>
      <c r="B1834" s="46" t="s">
        <v>822</v>
      </c>
      <c r="C1834" s="50" t="s">
        <v>732</v>
      </c>
      <c r="D1834" s="51">
        <v>1991</v>
      </c>
      <c r="E1834" s="53">
        <v>942705118</v>
      </c>
      <c r="F1834" s="53">
        <v>1153819584</v>
      </c>
      <c r="G1834" s="53">
        <v>779175455</v>
      </c>
      <c r="H1834" s="53">
        <v>668575581</v>
      </c>
      <c r="I1834" s="54">
        <f t="shared" si="30"/>
        <v>3544275738</v>
      </c>
      <c r="J1834" s="52">
        <v>0</v>
      </c>
      <c r="M1834" s="38" t="str">
        <f>IF([1]totrevprm!O1834="","",[1]totrevprm!O1834)</f>
        <v/>
      </c>
    </row>
    <row r="1835" spans="1:13">
      <c r="A1835" s="49" t="s">
        <v>75</v>
      </c>
      <c r="B1835" s="46" t="s">
        <v>822</v>
      </c>
      <c r="C1835" s="50" t="s">
        <v>732</v>
      </c>
      <c r="D1835" s="51">
        <v>1992</v>
      </c>
      <c r="E1835" s="53">
        <v>978983875</v>
      </c>
      <c r="F1835" s="53">
        <v>1242921039.6400001</v>
      </c>
      <c r="G1835" s="53">
        <v>794668027</v>
      </c>
      <c r="H1835" s="53">
        <v>622392323</v>
      </c>
      <c r="I1835" s="54">
        <f t="shared" si="30"/>
        <v>3638965264.6400003</v>
      </c>
      <c r="J1835" s="52">
        <v>0</v>
      </c>
      <c r="M1835" s="38" t="str">
        <f>IF([1]totrevprm!O1835="","",[1]totrevprm!O1835)</f>
        <v/>
      </c>
    </row>
    <row r="1836" spans="1:13">
      <c r="A1836" s="49" t="s">
        <v>75</v>
      </c>
      <c r="B1836" s="46" t="s">
        <v>822</v>
      </c>
      <c r="C1836" s="50" t="s">
        <v>732</v>
      </c>
      <c r="D1836" s="51">
        <v>1993</v>
      </c>
      <c r="E1836" s="53">
        <v>1043427820</v>
      </c>
      <c r="F1836" s="53">
        <v>1103729433</v>
      </c>
      <c r="G1836" s="53">
        <v>858202022</v>
      </c>
      <c r="H1836" s="53">
        <v>691524499</v>
      </c>
      <c r="I1836" s="54">
        <f t="shared" si="30"/>
        <v>3696883774</v>
      </c>
      <c r="J1836" s="52">
        <v>0</v>
      </c>
      <c r="M1836" s="38" t="str">
        <f>IF([1]totrevprm!O1836="","",[1]totrevprm!O1836)</f>
        <v/>
      </c>
    </row>
    <row r="1837" spans="1:13">
      <c r="A1837" s="49" t="s">
        <v>75</v>
      </c>
      <c r="B1837" s="46" t="s">
        <v>822</v>
      </c>
      <c r="C1837" s="50" t="s">
        <v>732</v>
      </c>
      <c r="D1837" s="51">
        <v>1994</v>
      </c>
      <c r="E1837" s="53">
        <v>1124669859</v>
      </c>
      <c r="F1837" s="53">
        <v>1422941443</v>
      </c>
      <c r="G1837" s="53">
        <v>902566719</v>
      </c>
      <c r="H1837" s="53">
        <v>459774576</v>
      </c>
      <c r="I1837" s="54">
        <f t="shared" si="30"/>
        <v>3909952597</v>
      </c>
      <c r="J1837" s="52">
        <v>0</v>
      </c>
      <c r="M1837" s="38" t="str">
        <f>IF([1]totrevprm!O1837="","",[1]totrevprm!O1837)</f>
        <v/>
      </c>
    </row>
    <row r="1838" spans="1:13">
      <c r="A1838" s="49" t="s">
        <v>75</v>
      </c>
      <c r="B1838" s="46" t="s">
        <v>822</v>
      </c>
      <c r="C1838" s="50" t="s">
        <v>732</v>
      </c>
      <c r="D1838" s="51">
        <v>1995</v>
      </c>
      <c r="E1838" s="53">
        <v>1162485889</v>
      </c>
      <c r="F1838" s="53">
        <v>1463600440</v>
      </c>
      <c r="G1838" s="53">
        <v>864885764</v>
      </c>
      <c r="H1838" s="53">
        <v>493225941</v>
      </c>
      <c r="I1838" s="54">
        <f t="shared" si="30"/>
        <v>3984198034</v>
      </c>
      <c r="J1838" s="52">
        <v>0</v>
      </c>
      <c r="M1838" s="38" t="str">
        <f>IF([1]totrevprm!O1838="","",[1]totrevprm!O1838)</f>
        <v/>
      </c>
    </row>
    <row r="1839" spans="1:13">
      <c r="A1839" s="49" t="s">
        <v>75</v>
      </c>
      <c r="B1839" s="46" t="s">
        <v>822</v>
      </c>
      <c r="C1839" s="50" t="s">
        <v>732</v>
      </c>
      <c r="D1839" s="51">
        <v>1996</v>
      </c>
      <c r="E1839" s="53">
        <v>1236711432</v>
      </c>
      <c r="F1839" s="53">
        <v>1266424365</v>
      </c>
      <c r="G1839" s="53">
        <v>905247281</v>
      </c>
      <c r="H1839" s="53">
        <v>369674707</v>
      </c>
      <c r="I1839" s="54">
        <f t="shared" si="30"/>
        <v>3778057785</v>
      </c>
      <c r="J1839" s="52">
        <v>0</v>
      </c>
      <c r="M1839" s="38" t="str">
        <f>IF([1]totrevprm!O1839="","",[1]totrevprm!O1839)</f>
        <v/>
      </c>
    </row>
    <row r="1840" spans="1:13">
      <c r="A1840" s="49" t="s">
        <v>75</v>
      </c>
      <c r="B1840" s="46" t="s">
        <v>822</v>
      </c>
      <c r="C1840" s="50" t="s">
        <v>732</v>
      </c>
      <c r="D1840" s="51">
        <v>1997</v>
      </c>
      <c r="E1840" s="53">
        <v>1242837207</v>
      </c>
      <c r="F1840" s="53">
        <v>1251259432</v>
      </c>
      <c r="G1840" s="53">
        <v>909853333</v>
      </c>
      <c r="H1840" s="53">
        <v>605162364</v>
      </c>
      <c r="I1840" s="54">
        <f t="shared" si="30"/>
        <v>4009112336</v>
      </c>
      <c r="J1840" s="52">
        <v>0</v>
      </c>
      <c r="M1840" s="38" t="str">
        <f>IF([1]totrevprm!O1840="","",[1]totrevprm!O1840)</f>
        <v/>
      </c>
    </row>
    <row r="1841" spans="1:13">
      <c r="A1841" s="49" t="s">
        <v>75</v>
      </c>
      <c r="B1841" s="46" t="s">
        <v>822</v>
      </c>
      <c r="C1841" s="50" t="s">
        <v>732</v>
      </c>
      <c r="D1841" s="51">
        <v>1998</v>
      </c>
      <c r="E1841" s="53">
        <v>1232207831</v>
      </c>
      <c r="F1841" s="53">
        <v>1363392378</v>
      </c>
      <c r="G1841" s="53">
        <v>958797014</v>
      </c>
      <c r="H1841" s="53">
        <v>527811650</v>
      </c>
      <c r="I1841" s="54">
        <f t="shared" si="30"/>
        <v>4082208873</v>
      </c>
      <c r="J1841" s="52">
        <v>0</v>
      </c>
      <c r="M1841" s="38" t="str">
        <f>IF([1]totrevprm!O1841="","",[1]totrevprm!O1841)</f>
        <v/>
      </c>
    </row>
    <row r="1842" spans="1:13">
      <c r="A1842" s="49" t="s">
        <v>75</v>
      </c>
      <c r="B1842" s="46" t="s">
        <v>822</v>
      </c>
      <c r="C1842" s="50" t="s">
        <v>732</v>
      </c>
      <c r="D1842" s="51">
        <v>1999</v>
      </c>
      <c r="E1842" s="53">
        <v>1271654835</v>
      </c>
      <c r="F1842" s="53">
        <v>2316038643</v>
      </c>
      <c r="G1842" s="53">
        <v>1100946533</v>
      </c>
      <c r="H1842" s="53">
        <v>455794281</v>
      </c>
      <c r="I1842" s="54">
        <f t="shared" si="30"/>
        <v>5144434292</v>
      </c>
      <c r="J1842" s="52">
        <v>0</v>
      </c>
      <c r="M1842" s="38" t="str">
        <f>IF([1]totrevprm!O1842="","",[1]totrevprm!O1842)</f>
        <v/>
      </c>
    </row>
    <row r="1843" spans="1:13">
      <c r="A1843" s="49" t="s">
        <v>75</v>
      </c>
      <c r="B1843" s="46" t="s">
        <v>822</v>
      </c>
      <c r="C1843" s="50" t="s">
        <v>732</v>
      </c>
      <c r="D1843" s="51">
        <v>2000</v>
      </c>
      <c r="E1843" s="53">
        <v>1399369958</v>
      </c>
      <c r="F1843" s="53">
        <v>1872146199</v>
      </c>
      <c r="G1843" s="53">
        <v>1106871192</v>
      </c>
      <c r="H1843" s="53">
        <v>395949555</v>
      </c>
      <c r="I1843" s="54">
        <f t="shared" si="30"/>
        <v>4774336904</v>
      </c>
      <c r="J1843" s="52">
        <v>0</v>
      </c>
      <c r="M1843" s="38" t="str">
        <f>IF([1]totrevprm!O1843="","",[1]totrevprm!O1843)</f>
        <v/>
      </c>
    </row>
    <row r="1844" spans="1:13">
      <c r="A1844" s="49" t="s">
        <v>75</v>
      </c>
      <c r="B1844" s="46" t="s">
        <v>822</v>
      </c>
      <c r="C1844" s="50" t="s">
        <v>819</v>
      </c>
      <c r="D1844" s="51">
        <v>2001</v>
      </c>
      <c r="E1844" s="53">
        <v>1371867485</v>
      </c>
      <c r="F1844" s="73">
        <v>2318848681</v>
      </c>
      <c r="G1844" s="53">
        <v>1215145558</v>
      </c>
      <c r="H1844" s="53">
        <v>246709902</v>
      </c>
      <c r="I1844" s="54">
        <f t="shared" si="30"/>
        <v>5152571626</v>
      </c>
      <c r="J1844" s="37">
        <v>23723945</v>
      </c>
      <c r="K1844" s="60" t="s">
        <v>736</v>
      </c>
      <c r="L1844" t="s">
        <v>720</v>
      </c>
      <c r="M1844" s="38" t="str">
        <f>IF([1]totrevprm!O1844="","",[1]totrevprm!O1844)</f>
        <v/>
      </c>
    </row>
    <row r="1845" spans="1:13">
      <c r="A1845" s="49" t="s">
        <v>75</v>
      </c>
      <c r="B1845" s="46" t="s">
        <v>822</v>
      </c>
      <c r="C1845" s="50" t="s">
        <v>732</v>
      </c>
      <c r="D1845" s="51">
        <v>2002</v>
      </c>
      <c r="E1845" s="53">
        <v>1527129090</v>
      </c>
      <c r="F1845" s="53">
        <v>3062591423</v>
      </c>
      <c r="G1845" s="53">
        <v>1289837101</v>
      </c>
      <c r="H1845" s="53">
        <v>134508901</v>
      </c>
      <c r="I1845" s="54">
        <f t="shared" si="30"/>
        <v>6014066515</v>
      </c>
      <c r="J1845" s="37">
        <v>30730343</v>
      </c>
      <c r="K1845" s="60" t="s">
        <v>736</v>
      </c>
      <c r="L1845" t="s">
        <v>720</v>
      </c>
      <c r="M1845" s="38" t="str">
        <f>IF([1]totrevprm!O1845="","",[1]totrevprm!O1845)</f>
        <v/>
      </c>
    </row>
    <row r="1846" spans="1:13">
      <c r="A1846" s="49" t="s">
        <v>75</v>
      </c>
      <c r="B1846" s="46" t="s">
        <v>822</v>
      </c>
      <c r="C1846" s="50" t="s">
        <v>732</v>
      </c>
      <c r="D1846" s="51">
        <v>2003</v>
      </c>
      <c r="E1846" s="55">
        <v>1539818330</v>
      </c>
      <c r="F1846" s="55">
        <v>2657266249</v>
      </c>
      <c r="G1846" s="55">
        <v>1474547040</v>
      </c>
      <c r="H1846" s="55">
        <v>107950133</v>
      </c>
      <c r="I1846" s="54">
        <f t="shared" si="30"/>
        <v>5779581752</v>
      </c>
      <c r="J1846" s="52">
        <v>30046356</v>
      </c>
      <c r="K1846" s="60" t="s">
        <v>736</v>
      </c>
      <c r="L1846" t="s">
        <v>720</v>
      </c>
      <c r="M1846" s="38" t="str">
        <f>IF([1]totrevprm!O1846="","",[1]totrevprm!O1846)</f>
        <v/>
      </c>
    </row>
    <row r="1847" spans="1:13">
      <c r="A1847" s="49" t="s">
        <v>75</v>
      </c>
      <c r="B1847" s="46" t="s">
        <v>822</v>
      </c>
      <c r="C1847" s="50" t="s">
        <v>732</v>
      </c>
      <c r="D1847" s="51">
        <v>2004</v>
      </c>
      <c r="E1847" s="55">
        <v>1543364705</v>
      </c>
      <c r="F1847" s="55">
        <v>2441411809</v>
      </c>
      <c r="G1847" s="55">
        <v>1636749017</v>
      </c>
      <c r="H1847" s="55">
        <v>86959788</v>
      </c>
      <c r="I1847" s="54">
        <f t="shared" si="30"/>
        <v>5708485319</v>
      </c>
      <c r="J1847" s="52">
        <v>199140577</v>
      </c>
      <c r="K1847" s="60" t="s">
        <v>736</v>
      </c>
      <c r="L1847" t="s">
        <v>720</v>
      </c>
      <c r="M1847" s="38" t="str">
        <f>IF([1]totrevprm!O1847="","",[1]totrevprm!O1847)</f>
        <v/>
      </c>
    </row>
    <row r="1848" spans="1:13">
      <c r="A1848" s="49" t="s">
        <v>75</v>
      </c>
      <c r="B1848" s="46" t="s">
        <v>822</v>
      </c>
      <c r="C1848" s="50"/>
      <c r="D1848" s="51">
        <v>2005</v>
      </c>
      <c r="E1848" s="55">
        <v>1658829760</v>
      </c>
      <c r="F1848" s="55">
        <v>1799373465</v>
      </c>
      <c r="G1848" s="55">
        <v>1796449633</v>
      </c>
      <c r="H1848" s="55">
        <v>113316782</v>
      </c>
      <c r="I1848" s="54">
        <f t="shared" si="30"/>
        <v>5367969640</v>
      </c>
      <c r="J1848" s="52">
        <v>13305202</v>
      </c>
      <c r="K1848" s="60" t="s">
        <v>736</v>
      </c>
      <c r="L1848" t="s">
        <v>720</v>
      </c>
      <c r="M1848" s="38" t="str">
        <f>IF([1]totrevprm!O1848="","",[1]totrevprm!O1848)</f>
        <v/>
      </c>
    </row>
    <row r="1849" spans="1:13">
      <c r="A1849" s="49" t="s">
        <v>75</v>
      </c>
      <c r="B1849" s="46" t="s">
        <v>822</v>
      </c>
      <c r="C1849" s="50"/>
      <c r="D1849" s="51">
        <v>2006</v>
      </c>
      <c r="E1849" s="56">
        <v>1674325987</v>
      </c>
      <c r="F1849" s="56">
        <v>1929963560</v>
      </c>
      <c r="G1849" s="56">
        <v>2094078881</v>
      </c>
      <c r="H1849" s="56">
        <v>70571900</v>
      </c>
      <c r="I1849" s="54">
        <f t="shared" si="30"/>
        <v>5768940328</v>
      </c>
      <c r="J1849" s="52">
        <v>51596854</v>
      </c>
      <c r="K1849" s="60" t="s">
        <v>736</v>
      </c>
      <c r="L1849" t="s">
        <v>720</v>
      </c>
      <c r="M1849" s="38" t="str">
        <f>IF([1]totrevprm!O1849="","",[1]totrevprm!O1849)</f>
        <v/>
      </c>
    </row>
    <row r="1850" spans="1:13">
      <c r="A1850" s="49" t="s">
        <v>75</v>
      </c>
      <c r="B1850" s="46" t="s">
        <v>822</v>
      </c>
      <c r="C1850" s="50"/>
      <c r="D1850" s="51">
        <v>2007</v>
      </c>
      <c r="E1850" s="56">
        <v>1692386178</v>
      </c>
      <c r="F1850" s="56">
        <v>2266111280</v>
      </c>
      <c r="G1850" s="56">
        <v>2433202435</v>
      </c>
      <c r="H1850" s="56">
        <v>95548221</v>
      </c>
      <c r="I1850" s="54">
        <f t="shared" si="30"/>
        <v>6487248114</v>
      </c>
      <c r="J1850" s="52">
        <v>109611907</v>
      </c>
      <c r="K1850" s="60" t="s">
        <v>736</v>
      </c>
      <c r="L1850" t="s">
        <v>720</v>
      </c>
      <c r="M1850" s="38" t="str">
        <f>IF([1]totrevprm!O1850="","",[1]totrevprm!O1850)</f>
        <v/>
      </c>
    </row>
    <row r="1851" spans="1:13">
      <c r="A1851" s="49" t="s">
        <v>75</v>
      </c>
      <c r="B1851" s="46" t="s">
        <v>822</v>
      </c>
      <c r="C1851" s="50"/>
      <c r="D1851" s="51">
        <v>2008</v>
      </c>
      <c r="E1851" s="56">
        <v>1731890072</v>
      </c>
      <c r="F1851" s="56">
        <v>2950403754</v>
      </c>
      <c r="G1851" s="56">
        <v>2668272497</v>
      </c>
      <c r="H1851" s="56">
        <v>79422446</v>
      </c>
      <c r="I1851" s="54">
        <f t="shared" si="30"/>
        <v>7429988769</v>
      </c>
      <c r="J1851" s="52">
        <v>54436032</v>
      </c>
      <c r="K1851" s="60" t="s">
        <v>736</v>
      </c>
      <c r="L1851" t="s">
        <v>720</v>
      </c>
      <c r="M1851" s="38" t="str">
        <f>IF([1]totrevprm!O1851="","",[1]totrevprm!O1851)</f>
        <v/>
      </c>
    </row>
    <row r="1852" spans="1:13">
      <c r="A1852" s="49" t="s">
        <v>75</v>
      </c>
      <c r="B1852" s="46" t="s">
        <v>822</v>
      </c>
      <c r="C1852" s="50"/>
      <c r="D1852" s="51">
        <v>2009</v>
      </c>
      <c r="E1852" s="56">
        <v>1864454247</v>
      </c>
      <c r="F1852" s="56">
        <v>2978714074</v>
      </c>
      <c r="G1852" s="56">
        <v>2765847273</v>
      </c>
      <c r="H1852" s="56">
        <v>91135205</v>
      </c>
      <c r="I1852" s="54">
        <f t="shared" si="30"/>
        <v>7700150799</v>
      </c>
      <c r="J1852" s="52">
        <v>62422429</v>
      </c>
      <c r="K1852" s="60" t="s">
        <v>736</v>
      </c>
      <c r="L1852" t="s">
        <v>720</v>
      </c>
      <c r="M1852" s="38" t="str">
        <f>IF([1]totrevprm!O1852="","",[1]totrevprm!O1852)</f>
        <v/>
      </c>
    </row>
    <row r="1853" spans="1:13">
      <c r="A1853" s="49" t="s">
        <v>75</v>
      </c>
      <c r="B1853" s="46" t="s">
        <v>822</v>
      </c>
      <c r="C1853" s="50"/>
      <c r="D1853" s="51">
        <v>2010</v>
      </c>
      <c r="E1853" s="56">
        <v>1954403996</v>
      </c>
      <c r="F1853" s="52">
        <v>2823129275</v>
      </c>
      <c r="G1853" s="52">
        <v>2902109855</v>
      </c>
      <c r="H1853" s="52">
        <v>59491573</v>
      </c>
      <c r="I1853" s="54">
        <f t="shared" si="30"/>
        <v>7739134699</v>
      </c>
      <c r="J1853" s="52">
        <v>64086928</v>
      </c>
      <c r="K1853" s="60" t="s">
        <v>736</v>
      </c>
      <c r="L1853" t="s">
        <v>720</v>
      </c>
      <c r="M1853" s="38" t="str">
        <f>IF([1]totrevprm!O1853="","",[1]totrevprm!O1853)</f>
        <v/>
      </c>
    </row>
    <row r="1854" spans="1:13">
      <c r="A1854" s="49" t="s">
        <v>75</v>
      </c>
      <c r="B1854" s="46" t="s">
        <v>822</v>
      </c>
      <c r="C1854" s="50"/>
      <c r="D1854" s="51">
        <v>2011</v>
      </c>
      <c r="E1854" s="56">
        <v>2019440686</v>
      </c>
      <c r="F1854" s="52">
        <v>2628272514</v>
      </c>
      <c r="G1854" s="52">
        <v>3747407935</v>
      </c>
      <c r="H1854" s="52">
        <v>135034467</v>
      </c>
      <c r="I1854" s="54">
        <f t="shared" si="30"/>
        <v>8530155602</v>
      </c>
      <c r="J1854" s="52">
        <v>43211320</v>
      </c>
      <c r="K1854" s="60" t="s">
        <v>736</v>
      </c>
      <c r="L1854" t="s">
        <v>720</v>
      </c>
      <c r="M1854" s="38" t="str">
        <f>IF([1]totrevprm!O1854="","",[1]totrevprm!O1854)</f>
        <v/>
      </c>
    </row>
    <row r="1855" spans="1:13">
      <c r="A1855" s="49" t="s">
        <v>75</v>
      </c>
      <c r="B1855" s="46" t="s">
        <v>822</v>
      </c>
      <c r="C1855" s="50"/>
      <c r="D1855" s="51">
        <v>2012</v>
      </c>
      <c r="E1855" s="56">
        <v>2220767201</v>
      </c>
      <c r="F1855" s="52">
        <v>2613119780</v>
      </c>
      <c r="G1855" s="52">
        <v>2688872525</v>
      </c>
      <c r="H1855" s="52">
        <v>68544498</v>
      </c>
      <c r="I1855" s="54">
        <f t="shared" si="30"/>
        <v>7591304004</v>
      </c>
      <c r="J1855" s="52">
        <v>60246443</v>
      </c>
      <c r="K1855" s="60" t="s">
        <v>736</v>
      </c>
      <c r="L1855" t="s">
        <v>720</v>
      </c>
      <c r="M1855" s="38" t="str">
        <f>IF([1]totrevprm!O1855="","",[1]totrevprm!O1855)</f>
        <v/>
      </c>
    </row>
    <row r="1856" spans="1:13">
      <c r="A1856" s="49" t="s">
        <v>75</v>
      </c>
      <c r="B1856" s="46" t="s">
        <v>822</v>
      </c>
      <c r="C1856" s="50"/>
      <c r="D1856" s="51">
        <v>2013</v>
      </c>
      <c r="E1856" s="56">
        <v>2266307486</v>
      </c>
      <c r="F1856" s="52">
        <v>2646323064</v>
      </c>
      <c r="G1856" s="52">
        <v>2922487381</v>
      </c>
      <c r="H1856" s="52">
        <v>108203293</v>
      </c>
      <c r="I1856" s="54">
        <f t="shared" si="30"/>
        <v>7943321224</v>
      </c>
      <c r="J1856" s="52">
        <v>57026441</v>
      </c>
      <c r="K1856" s="60" t="s">
        <v>736</v>
      </c>
      <c r="L1856" t="s">
        <v>720</v>
      </c>
      <c r="M1856" s="38" t="str">
        <f>IF([1]totrevprm!O1856="","",[1]totrevprm!O1856)</f>
        <v/>
      </c>
    </row>
    <row r="1857" spans="1:13">
      <c r="A1857" s="49" t="s">
        <v>75</v>
      </c>
      <c r="B1857" s="46" t="s">
        <v>822</v>
      </c>
      <c r="C1857" s="50"/>
      <c r="D1857" s="51">
        <v>2014</v>
      </c>
      <c r="E1857" s="56">
        <v>2280689379</v>
      </c>
      <c r="F1857" s="56">
        <v>3012984185</v>
      </c>
      <c r="G1857" s="56">
        <v>3067648111</v>
      </c>
      <c r="H1857" s="56">
        <v>97981020</v>
      </c>
      <c r="I1857" s="54">
        <f t="shared" si="30"/>
        <v>8459302695</v>
      </c>
      <c r="J1857" s="52">
        <v>181265388</v>
      </c>
      <c r="K1857" s="60" t="s">
        <v>736</v>
      </c>
      <c r="L1857" t="s">
        <v>720</v>
      </c>
      <c r="M1857" s="38" t="str">
        <f>IF([1]totrevprm!O1857="","",[1]totrevprm!O1857)</f>
        <v/>
      </c>
    </row>
    <row r="1858" spans="1:13">
      <c r="A1858" s="49" t="s">
        <v>75</v>
      </c>
      <c r="B1858" s="46" t="s">
        <v>822</v>
      </c>
      <c r="C1858" s="50"/>
      <c r="D1858" s="51">
        <v>2015</v>
      </c>
      <c r="E1858" s="56">
        <v>2363664860</v>
      </c>
      <c r="F1858" s="56">
        <v>3304830007</v>
      </c>
      <c r="G1858" s="56">
        <v>3534528722</v>
      </c>
      <c r="H1858" s="56">
        <v>156309311</v>
      </c>
      <c r="I1858" s="54">
        <f t="shared" si="30"/>
        <v>9359332900</v>
      </c>
      <c r="J1858" s="52">
        <v>156891266</v>
      </c>
      <c r="K1858" s="60" t="s">
        <v>736</v>
      </c>
      <c r="L1858" t="s">
        <v>720</v>
      </c>
      <c r="M1858" s="38" t="str">
        <f>IF([1]totrevprm!O1858="","",[1]totrevprm!O1858)</f>
        <v/>
      </c>
    </row>
    <row r="1859" spans="1:13">
      <c r="A1859" s="49" t="s">
        <v>75</v>
      </c>
      <c r="B1859" s="46" t="s">
        <v>822</v>
      </c>
      <c r="C1859" s="50"/>
      <c r="D1859" s="51">
        <v>2016</v>
      </c>
      <c r="E1859" s="56">
        <v>2521207207</v>
      </c>
      <c r="F1859" s="56">
        <v>3574971552</v>
      </c>
      <c r="G1859" s="56">
        <v>3109214306</v>
      </c>
      <c r="H1859" s="56">
        <v>157124370</v>
      </c>
      <c r="I1859" s="54">
        <f t="shared" si="30"/>
        <v>9362517435</v>
      </c>
      <c r="J1859" s="52">
        <v>266478545</v>
      </c>
      <c r="K1859" s="60" t="s">
        <v>736</v>
      </c>
      <c r="L1859" t="s">
        <v>720</v>
      </c>
      <c r="M1859" s="38" t="str">
        <f>IF([1]totrevprm!O1859="","",[1]totrevprm!O1859)</f>
        <v/>
      </c>
    </row>
    <row r="1860" spans="1:13">
      <c r="A1860" s="49" t="s">
        <v>75</v>
      </c>
      <c r="B1860" s="46" t="s">
        <v>822</v>
      </c>
      <c r="C1860" s="50"/>
      <c r="D1860" s="51">
        <v>2017</v>
      </c>
      <c r="E1860" s="56">
        <v>2560571203</v>
      </c>
      <c r="F1860" s="56">
        <v>3696175706</v>
      </c>
      <c r="G1860" s="56">
        <v>2574635733</v>
      </c>
      <c r="H1860" s="56">
        <v>191655840</v>
      </c>
      <c r="I1860" s="54">
        <f t="shared" si="30"/>
        <v>9023038482</v>
      </c>
      <c r="J1860" s="56">
        <v>205307690</v>
      </c>
      <c r="K1860" s="60" t="s">
        <v>736</v>
      </c>
      <c r="L1860" t="s">
        <v>720</v>
      </c>
      <c r="M1860" s="38" t="str">
        <f>IF([1]totrevprm!O1860="","",[1]totrevprm!O1860)</f>
        <v/>
      </c>
    </row>
    <row r="1861" spans="1:13">
      <c r="A1861" s="49" t="s">
        <v>75</v>
      </c>
      <c r="B1861" s="46" t="s">
        <v>822</v>
      </c>
      <c r="C1861" s="50"/>
      <c r="D1861" s="51">
        <v>2018</v>
      </c>
      <c r="E1861" s="56">
        <v>2646136359</v>
      </c>
      <c r="F1861" s="56">
        <v>4163485045</v>
      </c>
      <c r="G1861" s="56">
        <v>2820521067.29</v>
      </c>
      <c r="H1861" s="56">
        <v>144011203</v>
      </c>
      <c r="I1861" s="54">
        <f t="shared" si="30"/>
        <v>9774153674.2900009</v>
      </c>
      <c r="J1861" s="56">
        <v>111461799</v>
      </c>
      <c r="K1861" s="60" t="s">
        <v>736</v>
      </c>
      <c r="L1861" t="s">
        <v>720</v>
      </c>
      <c r="M1861" s="38" t="str">
        <f>IF([1]totrevprm!O1861="","",[1]totrevprm!O1861)</f>
        <v/>
      </c>
    </row>
    <row r="1862" spans="1:13">
      <c r="A1862" s="49" t="s">
        <v>75</v>
      </c>
      <c r="B1862" s="46" t="s">
        <v>822</v>
      </c>
      <c r="C1862" s="50"/>
      <c r="D1862" s="51">
        <v>2019</v>
      </c>
      <c r="E1862" s="56">
        <v>2760717548</v>
      </c>
      <c r="F1862" s="56">
        <v>4681629869</v>
      </c>
      <c r="G1862" s="56">
        <v>2925472238.5100002</v>
      </c>
      <c r="H1862" s="56">
        <v>142414388</v>
      </c>
      <c r="I1862" s="54">
        <f t="shared" si="30"/>
        <v>10510234043.51</v>
      </c>
      <c r="J1862" s="56">
        <v>113437641</v>
      </c>
      <c r="K1862" s="60" t="s">
        <v>736</v>
      </c>
      <c r="L1862" t="s">
        <v>720</v>
      </c>
      <c r="M1862" s="38" t="str">
        <f>IF([1]totrevprm!O1862="","",[1]totrevprm!O1862)</f>
        <v/>
      </c>
    </row>
    <row r="1863" spans="1:13">
      <c r="A1863" s="49" t="s">
        <v>75</v>
      </c>
      <c r="B1863" s="46" t="s">
        <v>822</v>
      </c>
      <c r="C1863" s="50"/>
      <c r="D1863" s="51">
        <v>2020</v>
      </c>
      <c r="E1863" s="56">
        <v>2828570311</v>
      </c>
      <c r="F1863" s="56">
        <v>4551921834</v>
      </c>
      <c r="G1863" s="56">
        <v>2610716661</v>
      </c>
      <c r="H1863" s="56">
        <v>191024688</v>
      </c>
      <c r="I1863" s="54">
        <f t="shared" si="30"/>
        <v>10182233494</v>
      </c>
      <c r="J1863" s="56">
        <v>166310230</v>
      </c>
      <c r="K1863" s="60" t="s">
        <v>736</v>
      </c>
      <c r="L1863" t="s">
        <v>720</v>
      </c>
      <c r="M1863" s="38" t="str">
        <f>IF([1]totrevprm!O1863="","",[1]totrevprm!O1863)</f>
        <v/>
      </c>
    </row>
    <row r="1864" spans="1:13">
      <c r="A1864" s="49" t="s">
        <v>75</v>
      </c>
      <c r="B1864" s="46" t="s">
        <v>822</v>
      </c>
      <c r="C1864" s="50"/>
      <c r="D1864" s="51">
        <v>2021</v>
      </c>
      <c r="E1864" s="56">
        <v>3228981610</v>
      </c>
      <c r="F1864" s="56">
        <v>5047390874</v>
      </c>
      <c r="G1864" s="56">
        <v>2703622188</v>
      </c>
      <c r="H1864" s="56">
        <v>95140771</v>
      </c>
      <c r="I1864" s="54">
        <f t="shared" si="30"/>
        <v>11075135443</v>
      </c>
      <c r="J1864" s="53">
        <v>0</v>
      </c>
      <c r="K1864" s="60"/>
      <c r="L1864" t="s">
        <v>720</v>
      </c>
      <c r="M1864" s="38"/>
    </row>
    <row r="1865" spans="1:13">
      <c r="A1865" s="49" t="s">
        <v>75</v>
      </c>
      <c r="B1865" s="46" t="s">
        <v>822</v>
      </c>
      <c r="C1865" s="50"/>
      <c r="D1865" s="51">
        <v>2022</v>
      </c>
      <c r="E1865" s="56">
        <v>3373833334</v>
      </c>
      <c r="F1865" s="56">
        <v>5367284999</v>
      </c>
      <c r="G1865" s="56">
        <v>8714152236</v>
      </c>
      <c r="H1865" s="56">
        <v>123495626</v>
      </c>
      <c r="I1865" s="54">
        <f t="shared" si="30"/>
        <v>17578766195</v>
      </c>
      <c r="J1865" s="53">
        <v>0</v>
      </c>
      <c r="K1865" s="60" t="s">
        <v>739</v>
      </c>
      <c r="M1865" s="38" t="str">
        <f>IF([1]totrevprm!O1868="","",[1]totrevprm!O1868)</f>
        <v/>
      </c>
    </row>
    <row r="1866" spans="1:13">
      <c r="A1866" s="49" t="s">
        <v>75</v>
      </c>
      <c r="B1866" s="46" t="s">
        <v>822</v>
      </c>
      <c r="C1866" s="50"/>
      <c r="D1866" s="51">
        <v>2023</v>
      </c>
      <c r="E1866" s="56">
        <v>3426624568</v>
      </c>
      <c r="F1866" s="56">
        <v>6727200846.309</v>
      </c>
      <c r="G1866" s="56">
        <v>11650004898.58</v>
      </c>
      <c r="H1866" s="56">
        <v>174112398</v>
      </c>
      <c r="I1866" s="54">
        <f t="shared" si="30"/>
        <v>21977942710.889</v>
      </c>
      <c r="J1866" s="52">
        <v>0</v>
      </c>
      <c r="K1866" s="60" t="s">
        <v>739</v>
      </c>
      <c r="M1866" s="38"/>
    </row>
    <row r="1867" spans="1:13">
      <c r="A1867" s="49" t="s">
        <v>75</v>
      </c>
      <c r="B1867" s="46" t="s">
        <v>822</v>
      </c>
      <c r="C1867" s="50"/>
      <c r="D1867" s="57">
        <v>2024</v>
      </c>
      <c r="E1867" s="52">
        <v>3531149843.8000002</v>
      </c>
      <c r="F1867" s="52">
        <v>8511562303.5100002</v>
      </c>
      <c r="G1867" s="52">
        <v>12290680600.74</v>
      </c>
      <c r="H1867" s="52">
        <v>111586340.51000001</v>
      </c>
      <c r="I1867" s="54">
        <f t="shared" si="30"/>
        <v>24444979088.560001</v>
      </c>
      <c r="J1867" s="56">
        <v>0</v>
      </c>
      <c r="K1867" s="60" t="s">
        <v>739</v>
      </c>
      <c r="M1867" s="38"/>
    </row>
    <row r="1868" spans="1:13">
      <c r="A1868" s="49"/>
      <c r="B1868" s="50"/>
      <c r="C1868" s="50"/>
      <c r="E1868" s="53"/>
      <c r="F1868" s="53"/>
      <c r="G1868" s="53"/>
      <c r="H1868" s="53"/>
      <c r="I1868" s="54"/>
      <c r="J1868" s="52"/>
      <c r="M1868" s="38"/>
    </row>
    <row r="1869" spans="1:13">
      <c r="A1869" s="49" t="s">
        <v>76</v>
      </c>
      <c r="B1869" s="46" t="s">
        <v>493</v>
      </c>
      <c r="C1869" s="50" t="s">
        <v>731</v>
      </c>
      <c r="D1869" s="51">
        <v>1988</v>
      </c>
      <c r="E1869" s="53">
        <v>319827097</v>
      </c>
      <c r="F1869" s="53">
        <v>211836963</v>
      </c>
      <c r="G1869" s="53">
        <v>350969222</v>
      </c>
      <c r="H1869" s="53">
        <v>0</v>
      </c>
      <c r="I1869" s="54">
        <f t="shared" si="30"/>
        <v>882633282</v>
      </c>
      <c r="J1869" s="52">
        <v>0</v>
      </c>
      <c r="M1869" s="38" t="str">
        <f>IF([1]totrevprm!O1869="","",[1]totrevprm!O1869)</f>
        <v/>
      </c>
    </row>
    <row r="1870" spans="1:13">
      <c r="A1870" s="49" t="s">
        <v>76</v>
      </c>
      <c r="B1870" s="46" t="s">
        <v>493</v>
      </c>
      <c r="C1870" s="50" t="s">
        <v>732</v>
      </c>
      <c r="D1870" s="51">
        <v>1989</v>
      </c>
      <c r="E1870" s="53">
        <v>321654307</v>
      </c>
      <c r="F1870" s="53">
        <v>219131663</v>
      </c>
      <c r="G1870" s="53">
        <v>371883149</v>
      </c>
      <c r="H1870" s="53">
        <v>0</v>
      </c>
      <c r="I1870" s="54">
        <f t="shared" si="30"/>
        <v>912669119</v>
      </c>
      <c r="J1870" s="52">
        <v>0</v>
      </c>
      <c r="M1870" s="38" t="str">
        <f>IF([1]totrevprm!O1870="","",[1]totrevprm!O1870)</f>
        <v/>
      </c>
    </row>
    <row r="1871" spans="1:13">
      <c r="A1871" s="49" t="s">
        <v>76</v>
      </c>
      <c r="B1871" s="46" t="s">
        <v>493</v>
      </c>
      <c r="C1871" s="50" t="s">
        <v>732</v>
      </c>
      <c r="D1871" s="51">
        <v>1990</v>
      </c>
      <c r="E1871" s="53">
        <v>325388423</v>
      </c>
      <c r="F1871" s="53">
        <v>219521543.72</v>
      </c>
      <c r="G1871" s="53">
        <v>456136849</v>
      </c>
      <c r="H1871" s="53">
        <v>0</v>
      </c>
      <c r="I1871" s="54">
        <f t="shared" si="30"/>
        <v>1001046815.72</v>
      </c>
      <c r="J1871" s="52">
        <v>0</v>
      </c>
      <c r="M1871" s="38" t="str">
        <f>IF([1]totrevprm!O1871="","",[1]totrevprm!O1871)</f>
        <v/>
      </c>
    </row>
    <row r="1872" spans="1:13">
      <c r="A1872" s="49" t="s">
        <v>76</v>
      </c>
      <c r="B1872" s="46" t="s">
        <v>493</v>
      </c>
      <c r="C1872" s="50" t="s">
        <v>732</v>
      </c>
      <c r="D1872" s="51">
        <v>1991</v>
      </c>
      <c r="E1872" s="53">
        <v>368245037</v>
      </c>
      <c r="F1872" s="53">
        <v>210735750</v>
      </c>
      <c r="G1872" s="53">
        <v>502025018</v>
      </c>
      <c r="H1872" s="53">
        <v>0</v>
      </c>
      <c r="I1872" s="54">
        <f t="shared" si="30"/>
        <v>1081005805</v>
      </c>
      <c r="J1872" s="52">
        <v>0</v>
      </c>
      <c r="M1872" s="38" t="str">
        <f>IF([1]totrevprm!O1872="","",[1]totrevprm!O1872)</f>
        <v/>
      </c>
    </row>
    <row r="1873" spans="1:13">
      <c r="A1873" s="49" t="s">
        <v>76</v>
      </c>
      <c r="B1873" s="46" t="s">
        <v>493</v>
      </c>
      <c r="C1873" s="50" t="s">
        <v>732</v>
      </c>
      <c r="D1873" s="51">
        <v>1992</v>
      </c>
      <c r="E1873" s="53">
        <v>376679927</v>
      </c>
      <c r="F1873" s="53">
        <v>242273021.44</v>
      </c>
      <c r="G1873" s="53">
        <v>512768938</v>
      </c>
      <c r="H1873" s="53">
        <v>0</v>
      </c>
      <c r="I1873" s="54">
        <f t="shared" ref="I1873:I1937" si="31">SUM(E1873:H1873)</f>
        <v>1131721886.4400001</v>
      </c>
      <c r="J1873" s="52">
        <v>0</v>
      </c>
      <c r="M1873" s="38" t="str">
        <f>IF([1]totrevprm!O1873="","",[1]totrevprm!O1873)</f>
        <v/>
      </c>
    </row>
    <row r="1874" spans="1:13">
      <c r="A1874" s="49" t="s">
        <v>76</v>
      </c>
      <c r="B1874" s="46" t="s">
        <v>493</v>
      </c>
      <c r="C1874" s="50" t="s">
        <v>754</v>
      </c>
      <c r="D1874" s="51">
        <v>1993</v>
      </c>
      <c r="E1874" s="53">
        <v>385572008</v>
      </c>
      <c r="F1874" s="53">
        <v>213513375</v>
      </c>
      <c r="G1874" s="53">
        <v>532791316</v>
      </c>
      <c r="H1874" s="53">
        <v>37437552</v>
      </c>
      <c r="I1874" s="54">
        <f t="shared" si="31"/>
        <v>1169314251</v>
      </c>
      <c r="J1874" s="52">
        <v>0</v>
      </c>
      <c r="M1874" s="38" t="str">
        <f>IF([1]totrevprm!O1874="","",[1]totrevprm!O1874)</f>
        <v/>
      </c>
    </row>
    <row r="1875" spans="1:13">
      <c r="A1875" s="49" t="s">
        <v>76</v>
      </c>
      <c r="B1875" s="46" t="s">
        <v>493</v>
      </c>
      <c r="C1875" s="50" t="s">
        <v>755</v>
      </c>
      <c r="D1875" s="51">
        <v>1994</v>
      </c>
      <c r="E1875" s="53">
        <v>401468979</v>
      </c>
      <c r="F1875" s="53">
        <v>296839571</v>
      </c>
      <c r="G1875" s="53">
        <v>536393798</v>
      </c>
      <c r="H1875" s="53">
        <v>7407963</v>
      </c>
      <c r="I1875" s="54">
        <f t="shared" si="31"/>
        <v>1242110311</v>
      </c>
      <c r="J1875" s="52">
        <v>0</v>
      </c>
      <c r="M1875" s="38" t="str">
        <f>IF([1]totrevprm!O1875="","",[1]totrevprm!O1875)</f>
        <v/>
      </c>
    </row>
    <row r="1876" spans="1:13">
      <c r="A1876" s="49" t="s">
        <v>76</v>
      </c>
      <c r="B1876" s="46" t="s">
        <v>493</v>
      </c>
      <c r="C1876" s="50" t="s">
        <v>732</v>
      </c>
      <c r="D1876" s="51">
        <v>1995</v>
      </c>
      <c r="E1876" s="53">
        <v>432912350</v>
      </c>
      <c r="F1876" s="53">
        <v>336766379</v>
      </c>
      <c r="G1876" s="53">
        <v>534013201</v>
      </c>
      <c r="H1876" s="53">
        <v>47207038</v>
      </c>
      <c r="I1876" s="54">
        <f t="shared" si="31"/>
        <v>1350898968</v>
      </c>
      <c r="J1876" s="52">
        <v>0</v>
      </c>
      <c r="M1876" s="38" t="str">
        <f>IF([1]totrevprm!O1876="","",[1]totrevprm!O1876)</f>
        <v/>
      </c>
    </row>
    <row r="1877" spans="1:13">
      <c r="A1877" s="49" t="s">
        <v>76</v>
      </c>
      <c r="B1877" s="46" t="s">
        <v>493</v>
      </c>
      <c r="C1877" s="50" t="s">
        <v>732</v>
      </c>
      <c r="D1877" s="51">
        <v>1996</v>
      </c>
      <c r="E1877" s="53">
        <v>406121463</v>
      </c>
      <c r="F1877" s="53">
        <v>268629892</v>
      </c>
      <c r="G1877" s="53">
        <v>565547539</v>
      </c>
      <c r="H1877" s="53">
        <v>24256408</v>
      </c>
      <c r="I1877" s="54">
        <f t="shared" si="31"/>
        <v>1264555302</v>
      </c>
      <c r="J1877" s="52">
        <v>0</v>
      </c>
      <c r="M1877" s="38" t="str">
        <f>IF([1]totrevprm!O1877="","",[1]totrevprm!O1877)</f>
        <v/>
      </c>
    </row>
    <row r="1878" spans="1:13">
      <c r="A1878" s="49" t="s">
        <v>76</v>
      </c>
      <c r="B1878" s="46" t="s">
        <v>493</v>
      </c>
      <c r="C1878" s="50" t="s">
        <v>732</v>
      </c>
      <c r="D1878" s="51">
        <v>1997</v>
      </c>
      <c r="E1878" s="53">
        <v>450394807</v>
      </c>
      <c r="F1878" s="53">
        <v>247316630</v>
      </c>
      <c r="G1878" s="53">
        <v>574590966</v>
      </c>
      <c r="H1878" s="53">
        <v>24959051</v>
      </c>
      <c r="I1878" s="54">
        <f t="shared" si="31"/>
        <v>1297261454</v>
      </c>
      <c r="J1878" s="52">
        <v>0</v>
      </c>
      <c r="M1878" s="38" t="str">
        <f>IF([1]totrevprm!O1878="","",[1]totrevprm!O1878)</f>
        <v/>
      </c>
    </row>
    <row r="1879" spans="1:13">
      <c r="A1879" s="49" t="s">
        <v>76</v>
      </c>
      <c r="B1879" s="46" t="s">
        <v>493</v>
      </c>
      <c r="C1879" s="50" t="s">
        <v>732</v>
      </c>
      <c r="D1879" s="51">
        <v>1998</v>
      </c>
      <c r="E1879" s="53">
        <v>425880377</v>
      </c>
      <c r="F1879" s="53">
        <v>234904435</v>
      </c>
      <c r="G1879" s="53">
        <v>598353464</v>
      </c>
      <c r="H1879" s="53">
        <v>39620560</v>
      </c>
      <c r="I1879" s="54">
        <f t="shared" si="31"/>
        <v>1298758836</v>
      </c>
      <c r="J1879" s="52">
        <v>0</v>
      </c>
      <c r="M1879" s="38" t="str">
        <f>IF([1]totrevprm!O1879="","",[1]totrevprm!O1879)</f>
        <v/>
      </c>
    </row>
    <row r="1880" spans="1:13">
      <c r="A1880" s="49" t="s">
        <v>76</v>
      </c>
      <c r="B1880" s="46" t="s">
        <v>493</v>
      </c>
      <c r="C1880" s="50" t="s">
        <v>732</v>
      </c>
      <c r="D1880" s="51">
        <v>1999</v>
      </c>
      <c r="E1880" s="53">
        <v>439607030</v>
      </c>
      <c r="F1880" s="53">
        <v>358157424</v>
      </c>
      <c r="G1880" s="53">
        <v>632570244</v>
      </c>
      <c r="H1880" s="53">
        <v>24780900</v>
      </c>
      <c r="I1880" s="54">
        <f t="shared" si="31"/>
        <v>1455115598</v>
      </c>
      <c r="J1880" s="52">
        <v>0</v>
      </c>
      <c r="M1880" s="38" t="str">
        <f>IF([1]totrevprm!O1880="","",[1]totrevprm!O1880)</f>
        <v/>
      </c>
    </row>
    <row r="1881" spans="1:13">
      <c r="A1881" s="49" t="s">
        <v>76</v>
      </c>
      <c r="B1881" s="46" t="s">
        <v>493</v>
      </c>
      <c r="C1881" s="50" t="s">
        <v>732</v>
      </c>
      <c r="D1881" s="51">
        <v>2000</v>
      </c>
      <c r="E1881" s="53">
        <v>421738324</v>
      </c>
      <c r="F1881" s="53">
        <v>465418152</v>
      </c>
      <c r="G1881" s="53">
        <v>769156991</v>
      </c>
      <c r="H1881" s="53">
        <v>48703323</v>
      </c>
      <c r="I1881" s="54">
        <f t="shared" si="31"/>
        <v>1705016790</v>
      </c>
      <c r="J1881" s="52">
        <v>0</v>
      </c>
      <c r="M1881" s="38" t="str">
        <f>IF([1]totrevprm!O1881="","",[1]totrevprm!O1881)</f>
        <v/>
      </c>
    </row>
    <row r="1882" spans="1:13">
      <c r="A1882" s="49" t="s">
        <v>76</v>
      </c>
      <c r="B1882" s="46" t="s">
        <v>493</v>
      </c>
      <c r="C1882" s="50" t="s">
        <v>732</v>
      </c>
      <c r="D1882" s="51">
        <v>2001</v>
      </c>
      <c r="E1882" s="53">
        <v>443160277</v>
      </c>
      <c r="F1882" s="53">
        <v>551473481</v>
      </c>
      <c r="G1882" s="53">
        <v>715831125</v>
      </c>
      <c r="H1882" s="53">
        <v>37221022</v>
      </c>
      <c r="I1882" s="54">
        <f t="shared" si="31"/>
        <v>1747685905</v>
      </c>
      <c r="J1882" s="52">
        <v>0</v>
      </c>
      <c r="M1882" s="38" t="str">
        <f>IF([1]totrevprm!O1882="","",[1]totrevprm!O1882)</f>
        <v/>
      </c>
    </row>
    <row r="1883" spans="1:13">
      <c r="A1883" s="49" t="s">
        <v>76</v>
      </c>
      <c r="B1883" s="46" t="s">
        <v>493</v>
      </c>
      <c r="C1883" s="50" t="s">
        <v>732</v>
      </c>
      <c r="D1883" s="51">
        <v>2002</v>
      </c>
      <c r="E1883" s="53">
        <v>457602656</v>
      </c>
      <c r="F1883" s="53">
        <v>736784338</v>
      </c>
      <c r="G1883" s="53">
        <v>747998515</v>
      </c>
      <c r="H1883" s="53">
        <v>50596014</v>
      </c>
      <c r="I1883" s="54">
        <f t="shared" si="31"/>
        <v>1992981523</v>
      </c>
      <c r="J1883" s="52">
        <v>0</v>
      </c>
      <c r="M1883" s="38" t="str">
        <f>IF([1]totrevprm!O1883="","",[1]totrevprm!O1883)</f>
        <v/>
      </c>
    </row>
    <row r="1884" spans="1:13">
      <c r="A1884" s="49" t="s">
        <v>76</v>
      </c>
      <c r="B1884" s="46" t="s">
        <v>493</v>
      </c>
      <c r="C1884" s="50" t="s">
        <v>732</v>
      </c>
      <c r="D1884" s="51">
        <v>2003</v>
      </c>
      <c r="E1884" s="55">
        <v>525934077</v>
      </c>
      <c r="F1884" s="55">
        <v>674311246</v>
      </c>
      <c r="G1884" s="55">
        <v>807594236</v>
      </c>
      <c r="H1884" s="55">
        <v>46897551</v>
      </c>
      <c r="I1884" s="54">
        <f t="shared" si="31"/>
        <v>2054737110</v>
      </c>
      <c r="J1884" s="52">
        <v>0</v>
      </c>
      <c r="M1884" s="38" t="str">
        <f>IF([1]totrevprm!O1884="","",[1]totrevprm!O1884)</f>
        <v/>
      </c>
    </row>
    <row r="1885" spans="1:13">
      <c r="A1885" s="49" t="s">
        <v>76</v>
      </c>
      <c r="B1885" s="46" t="s">
        <v>493</v>
      </c>
      <c r="C1885" s="50" t="s">
        <v>732</v>
      </c>
      <c r="D1885" s="51">
        <v>2004</v>
      </c>
      <c r="E1885" s="55">
        <v>476263138</v>
      </c>
      <c r="F1885" s="55">
        <v>666732372</v>
      </c>
      <c r="G1885" s="55">
        <v>892259815</v>
      </c>
      <c r="H1885" s="55">
        <v>45922666</v>
      </c>
      <c r="I1885" s="54">
        <f t="shared" si="31"/>
        <v>2081177991</v>
      </c>
      <c r="J1885" s="52">
        <v>0</v>
      </c>
      <c r="M1885" s="38" t="str">
        <f>IF([1]totrevprm!O1885="","",[1]totrevprm!O1885)</f>
        <v/>
      </c>
    </row>
    <row r="1886" spans="1:13">
      <c r="A1886" s="49" t="s">
        <v>76</v>
      </c>
      <c r="B1886" s="46" t="s">
        <v>493</v>
      </c>
      <c r="C1886" s="50"/>
      <c r="D1886" s="51">
        <v>2005</v>
      </c>
      <c r="E1886" s="55">
        <v>470023326</v>
      </c>
      <c r="F1886" s="55">
        <v>647375811</v>
      </c>
      <c r="G1886" s="55">
        <v>923470263.58999896</v>
      </c>
      <c r="H1886" s="55">
        <v>21479212</v>
      </c>
      <c r="I1886" s="54">
        <f t="shared" si="31"/>
        <v>2062348612.589999</v>
      </c>
      <c r="J1886" s="52">
        <v>0</v>
      </c>
      <c r="M1886" s="38" t="str">
        <f>IF([1]totrevprm!O1886="","",[1]totrevprm!O1886)</f>
        <v/>
      </c>
    </row>
    <row r="1887" spans="1:13">
      <c r="A1887" s="49" t="s">
        <v>76</v>
      </c>
      <c r="B1887" s="46" t="s">
        <v>493</v>
      </c>
      <c r="C1887" s="50"/>
      <c r="D1887" s="51">
        <v>2006</v>
      </c>
      <c r="E1887" s="56">
        <v>479336054</v>
      </c>
      <c r="F1887" s="56">
        <v>678944503</v>
      </c>
      <c r="G1887" s="56">
        <v>1087344005</v>
      </c>
      <c r="H1887" s="56">
        <v>24705628</v>
      </c>
      <c r="I1887" s="54">
        <f t="shared" si="31"/>
        <v>2270330190</v>
      </c>
      <c r="J1887" s="52">
        <v>0</v>
      </c>
      <c r="M1887" s="38" t="str">
        <f>IF([1]totrevprm!O1887="","",[1]totrevprm!O1887)</f>
        <v/>
      </c>
    </row>
    <row r="1888" spans="1:13">
      <c r="A1888" s="49" t="s">
        <v>76</v>
      </c>
      <c r="B1888" s="46" t="s">
        <v>493</v>
      </c>
      <c r="C1888" s="50"/>
      <c r="D1888" s="51">
        <v>2007</v>
      </c>
      <c r="E1888" s="56">
        <v>520140818</v>
      </c>
      <c r="F1888" s="56">
        <v>701143273</v>
      </c>
      <c r="G1888" s="56">
        <v>1559329552</v>
      </c>
      <c r="H1888" s="56">
        <v>57378516</v>
      </c>
      <c r="I1888" s="54">
        <f t="shared" si="31"/>
        <v>2837992159</v>
      </c>
      <c r="J1888" s="52">
        <v>0</v>
      </c>
      <c r="M1888" s="38" t="str">
        <f>IF([1]totrevprm!O1888="","",[1]totrevprm!O1888)</f>
        <v/>
      </c>
    </row>
    <row r="1889" spans="1:13">
      <c r="A1889" s="49" t="s">
        <v>76</v>
      </c>
      <c r="B1889" s="46" t="s">
        <v>493</v>
      </c>
      <c r="C1889" s="50"/>
      <c r="D1889" s="51">
        <v>2008</v>
      </c>
      <c r="E1889" s="56">
        <v>548503131</v>
      </c>
      <c r="F1889" s="56">
        <v>960924016</v>
      </c>
      <c r="G1889" s="56">
        <v>1846642203</v>
      </c>
      <c r="H1889" s="56">
        <v>19611140</v>
      </c>
      <c r="I1889" s="54">
        <f t="shared" si="31"/>
        <v>3375680490</v>
      </c>
      <c r="J1889" s="52">
        <v>0</v>
      </c>
      <c r="M1889" s="38" t="str">
        <f>IF([1]totrevprm!O1889="","",[1]totrevprm!O1889)</f>
        <v/>
      </c>
    </row>
    <row r="1890" spans="1:13">
      <c r="A1890" s="49" t="s">
        <v>76</v>
      </c>
      <c r="B1890" s="46" t="s">
        <v>493</v>
      </c>
      <c r="C1890" s="50"/>
      <c r="D1890" s="51">
        <v>2009</v>
      </c>
      <c r="E1890" s="56">
        <v>581361665</v>
      </c>
      <c r="F1890" s="56">
        <v>940916116</v>
      </c>
      <c r="G1890" s="56">
        <v>2023840771</v>
      </c>
      <c r="H1890" s="56">
        <v>23047060</v>
      </c>
      <c r="I1890" s="54">
        <f t="shared" si="31"/>
        <v>3569165612</v>
      </c>
      <c r="J1890" s="52">
        <v>0</v>
      </c>
      <c r="M1890" s="38" t="str">
        <f>IF([1]totrevprm!O1890="","",[1]totrevprm!O1890)</f>
        <v/>
      </c>
    </row>
    <row r="1891" spans="1:13">
      <c r="A1891" s="49" t="s">
        <v>76</v>
      </c>
      <c r="B1891" s="46" t="s">
        <v>493</v>
      </c>
      <c r="C1891" s="50"/>
      <c r="D1891" s="51">
        <v>2010</v>
      </c>
      <c r="E1891" s="56">
        <v>606575632</v>
      </c>
      <c r="F1891" s="56">
        <v>792995584</v>
      </c>
      <c r="G1891" s="56">
        <v>1602643704</v>
      </c>
      <c r="H1891" s="56">
        <v>15715445</v>
      </c>
      <c r="I1891" s="54">
        <f t="shared" si="31"/>
        <v>3017930365</v>
      </c>
      <c r="J1891" s="52">
        <v>0</v>
      </c>
      <c r="M1891" s="38" t="str">
        <f>IF([1]totrevprm!O1891="","",[1]totrevprm!O1891)</f>
        <v/>
      </c>
    </row>
    <row r="1892" spans="1:13">
      <c r="A1892" s="49" t="s">
        <v>76</v>
      </c>
      <c r="B1892" s="46" t="s">
        <v>493</v>
      </c>
      <c r="C1892" s="50"/>
      <c r="D1892" s="51">
        <v>2011</v>
      </c>
      <c r="E1892" s="56">
        <v>628744324</v>
      </c>
      <c r="F1892" s="56">
        <v>824314782</v>
      </c>
      <c r="G1892" s="56">
        <v>1254826753</v>
      </c>
      <c r="H1892" s="56">
        <v>24984765</v>
      </c>
      <c r="I1892" s="54">
        <f t="shared" si="31"/>
        <v>2732870624</v>
      </c>
      <c r="J1892" s="52">
        <v>3632716</v>
      </c>
      <c r="K1892" s="60" t="s">
        <v>736</v>
      </c>
      <c r="L1892" t="s">
        <v>720</v>
      </c>
      <c r="M1892" s="38" t="str">
        <f>IF([1]totrevprm!O1892="","",[1]totrevprm!O1892)</f>
        <v/>
      </c>
    </row>
    <row r="1893" spans="1:13">
      <c r="A1893" s="49" t="s">
        <v>76</v>
      </c>
      <c r="B1893" s="46" t="s">
        <v>493</v>
      </c>
      <c r="C1893" s="50"/>
      <c r="D1893" s="51">
        <v>2012</v>
      </c>
      <c r="E1893" s="56">
        <v>626118704</v>
      </c>
      <c r="F1893" s="56">
        <v>898080117</v>
      </c>
      <c r="G1893" s="56">
        <v>1393808305</v>
      </c>
      <c r="H1893" s="56">
        <v>33949473</v>
      </c>
      <c r="I1893" s="54">
        <f t="shared" si="31"/>
        <v>2951956599</v>
      </c>
      <c r="J1893" s="52">
        <v>2750453</v>
      </c>
      <c r="K1893" s="60" t="s">
        <v>736</v>
      </c>
      <c r="L1893" t="s">
        <v>720</v>
      </c>
      <c r="M1893" s="38" t="str">
        <f>IF([1]totrevprm!O1893="","",[1]totrevprm!O1893)</f>
        <v/>
      </c>
    </row>
    <row r="1894" spans="1:13">
      <c r="A1894" s="49" t="s">
        <v>76</v>
      </c>
      <c r="B1894" s="46" t="s">
        <v>493</v>
      </c>
      <c r="C1894" s="50"/>
      <c r="D1894" s="51">
        <v>2013</v>
      </c>
      <c r="E1894" s="56">
        <v>632457585</v>
      </c>
      <c r="F1894" s="56">
        <v>751590817</v>
      </c>
      <c r="G1894" s="56">
        <v>1266820246</v>
      </c>
      <c r="H1894" s="56">
        <v>59664335</v>
      </c>
      <c r="I1894" s="54">
        <f t="shared" si="31"/>
        <v>2710532983</v>
      </c>
      <c r="J1894" s="52">
        <v>2913488</v>
      </c>
      <c r="K1894" s="60" t="s">
        <v>736</v>
      </c>
      <c r="L1894" t="s">
        <v>720</v>
      </c>
      <c r="M1894" s="38" t="str">
        <f>IF([1]totrevprm!O1894="","",[1]totrevprm!O1894)</f>
        <v/>
      </c>
    </row>
    <row r="1895" spans="1:13">
      <c r="A1895" s="49" t="s">
        <v>76</v>
      </c>
      <c r="B1895" s="46" t="s">
        <v>493</v>
      </c>
      <c r="C1895" s="50"/>
      <c r="D1895" s="51">
        <v>2014</v>
      </c>
      <c r="E1895" s="56">
        <v>621385857</v>
      </c>
      <c r="F1895" s="56">
        <v>871970824</v>
      </c>
      <c r="G1895" s="56">
        <v>1321618288</v>
      </c>
      <c r="H1895" s="56">
        <v>27821019</v>
      </c>
      <c r="I1895" s="54">
        <f t="shared" si="31"/>
        <v>2842795988</v>
      </c>
      <c r="J1895" s="52">
        <v>39812615</v>
      </c>
      <c r="K1895" s="60" t="s">
        <v>736</v>
      </c>
      <c r="L1895" t="s">
        <v>720</v>
      </c>
      <c r="M1895" s="38" t="str">
        <f>IF([1]totrevprm!O1895="","",[1]totrevprm!O1895)</f>
        <v/>
      </c>
    </row>
    <row r="1896" spans="1:13">
      <c r="A1896" s="49" t="s">
        <v>76</v>
      </c>
      <c r="B1896" s="46" t="s">
        <v>493</v>
      </c>
      <c r="C1896" s="50"/>
      <c r="D1896" s="51">
        <v>2015</v>
      </c>
      <c r="E1896" s="56">
        <v>647884105</v>
      </c>
      <c r="F1896" s="56">
        <v>928364711</v>
      </c>
      <c r="G1896" s="56">
        <v>1358830261</v>
      </c>
      <c r="H1896" s="56">
        <v>26525285</v>
      </c>
      <c r="I1896" s="54">
        <f t="shared" si="31"/>
        <v>2961604362</v>
      </c>
      <c r="J1896" s="52">
        <v>22554247</v>
      </c>
      <c r="K1896" s="60" t="s">
        <v>736</v>
      </c>
      <c r="L1896" t="s">
        <v>720</v>
      </c>
      <c r="M1896" s="38" t="str">
        <f>IF([1]totrevprm!O1896="","",[1]totrevprm!O1896)</f>
        <v/>
      </c>
    </row>
    <row r="1897" spans="1:13">
      <c r="A1897" s="49" t="s">
        <v>76</v>
      </c>
      <c r="B1897" s="46" t="s">
        <v>493</v>
      </c>
      <c r="C1897" s="50"/>
      <c r="D1897" s="51">
        <v>2016</v>
      </c>
      <c r="E1897" s="56">
        <v>620869620</v>
      </c>
      <c r="F1897" s="56">
        <v>1145015602</v>
      </c>
      <c r="G1897" s="56">
        <v>1437658314</v>
      </c>
      <c r="H1897" s="56">
        <v>34588604</v>
      </c>
      <c r="I1897" s="54">
        <f t="shared" si="31"/>
        <v>3238132140</v>
      </c>
      <c r="J1897" s="52">
        <v>14624609</v>
      </c>
      <c r="K1897" s="60" t="s">
        <v>736</v>
      </c>
      <c r="L1897" t="s">
        <v>720</v>
      </c>
      <c r="M1897" s="38" t="str">
        <f>IF([1]totrevprm!O1897="","",[1]totrevprm!O1897)</f>
        <v/>
      </c>
    </row>
    <row r="1898" spans="1:13">
      <c r="A1898" s="49" t="s">
        <v>76</v>
      </c>
      <c r="B1898" s="46" t="s">
        <v>493</v>
      </c>
      <c r="C1898" s="50"/>
      <c r="D1898" s="51">
        <v>2017</v>
      </c>
      <c r="E1898" s="56">
        <v>652582690</v>
      </c>
      <c r="F1898" s="56">
        <v>917032089</v>
      </c>
      <c r="G1898" s="56">
        <v>1457337254</v>
      </c>
      <c r="H1898" s="56">
        <v>7490369</v>
      </c>
      <c r="I1898" s="54">
        <f t="shared" si="31"/>
        <v>3034442402</v>
      </c>
      <c r="J1898" s="56">
        <v>7713882</v>
      </c>
      <c r="K1898" s="60" t="s">
        <v>736</v>
      </c>
      <c r="L1898" t="s">
        <v>720</v>
      </c>
      <c r="M1898" s="38" t="str">
        <f>IF([1]totrevprm!O1898="","",[1]totrevprm!O1898)</f>
        <v/>
      </c>
    </row>
    <row r="1899" spans="1:13">
      <c r="A1899" s="49" t="s">
        <v>76</v>
      </c>
      <c r="B1899" s="46" t="s">
        <v>493</v>
      </c>
      <c r="C1899" s="50"/>
      <c r="D1899" s="51">
        <v>2018</v>
      </c>
      <c r="E1899" s="56">
        <v>655563565</v>
      </c>
      <c r="F1899" s="56">
        <v>1052164060</v>
      </c>
      <c r="G1899" s="56">
        <v>1623204148.28</v>
      </c>
      <c r="H1899" s="56">
        <v>12205993</v>
      </c>
      <c r="I1899" s="54">
        <f t="shared" si="31"/>
        <v>3343137766.2799997</v>
      </c>
      <c r="J1899" s="56">
        <v>11501863</v>
      </c>
      <c r="K1899" s="61" t="s">
        <v>737</v>
      </c>
      <c r="L1899" t="s">
        <v>720</v>
      </c>
      <c r="M1899" s="38" t="str">
        <f>IF([1]totrevprm!O1899="","",[1]totrevprm!O1899)</f>
        <v>Yes</v>
      </c>
    </row>
    <row r="1900" spans="1:13">
      <c r="A1900" s="49" t="s">
        <v>76</v>
      </c>
      <c r="B1900" s="46" t="s">
        <v>493</v>
      </c>
      <c r="C1900" s="50"/>
      <c r="D1900" s="51">
        <v>2019</v>
      </c>
      <c r="E1900" s="56">
        <v>660901675</v>
      </c>
      <c r="F1900" s="56">
        <v>1075409692</v>
      </c>
      <c r="G1900" s="56">
        <v>1636226769.4137001</v>
      </c>
      <c r="H1900" s="56">
        <v>24046746</v>
      </c>
      <c r="I1900" s="54">
        <f t="shared" si="31"/>
        <v>3396584882.4137001</v>
      </c>
      <c r="J1900" s="56">
        <v>11622861</v>
      </c>
      <c r="K1900" s="61" t="s">
        <v>738</v>
      </c>
      <c r="L1900" t="s">
        <v>720</v>
      </c>
      <c r="M1900" s="38" t="str">
        <f>IF([1]totrevprm!O1900="","",[1]totrevprm!O1900)</f>
        <v/>
      </c>
    </row>
    <row r="1901" spans="1:13">
      <c r="A1901" s="49" t="s">
        <v>76</v>
      </c>
      <c r="B1901" s="46" t="s">
        <v>493</v>
      </c>
      <c r="C1901" s="50"/>
      <c r="D1901" s="51">
        <v>2020</v>
      </c>
      <c r="E1901" s="56">
        <v>666454550</v>
      </c>
      <c r="F1901" s="56">
        <v>1091644294</v>
      </c>
      <c r="G1901" s="56">
        <v>1641809453</v>
      </c>
      <c r="H1901" s="56">
        <v>34578815</v>
      </c>
      <c r="I1901" s="54">
        <f t="shared" si="31"/>
        <v>3434487112</v>
      </c>
      <c r="J1901" s="56">
        <v>20394331</v>
      </c>
      <c r="K1901" s="61" t="s">
        <v>738</v>
      </c>
      <c r="L1901" t="s">
        <v>720</v>
      </c>
      <c r="M1901" s="38" t="str">
        <f>IF([1]totrevprm!O1901="","",[1]totrevprm!O1901)</f>
        <v/>
      </c>
    </row>
    <row r="1902" spans="1:13">
      <c r="A1902" s="49" t="s">
        <v>76</v>
      </c>
      <c r="B1902" s="46" t="s">
        <v>493</v>
      </c>
      <c r="C1902" s="50"/>
      <c r="D1902" s="51">
        <v>2021</v>
      </c>
      <c r="E1902" s="56">
        <v>728334287</v>
      </c>
      <c r="F1902" s="56">
        <v>1173668958</v>
      </c>
      <c r="G1902" s="56">
        <v>1603862547.77</v>
      </c>
      <c r="H1902" s="56">
        <v>21123367</v>
      </c>
      <c r="I1902" s="54">
        <f t="shared" si="31"/>
        <v>3526989159.77</v>
      </c>
      <c r="J1902" s="53">
        <v>0</v>
      </c>
      <c r="K1902" s="61" t="s">
        <v>739</v>
      </c>
      <c r="L1902" t="s">
        <v>720</v>
      </c>
      <c r="M1902" s="38"/>
    </row>
    <row r="1903" spans="1:13">
      <c r="A1903" s="49" t="s">
        <v>76</v>
      </c>
      <c r="B1903" s="46" t="s">
        <v>493</v>
      </c>
      <c r="C1903" s="50"/>
      <c r="D1903" s="51">
        <v>2022</v>
      </c>
      <c r="E1903" s="56">
        <v>712335863</v>
      </c>
      <c r="F1903" s="56">
        <v>1511886658</v>
      </c>
      <c r="G1903" s="56">
        <v>1747666912</v>
      </c>
      <c r="H1903" s="56">
        <v>18229791</v>
      </c>
      <c r="I1903" s="54">
        <f t="shared" si="31"/>
        <v>3990119224</v>
      </c>
      <c r="J1903" s="53">
        <v>0</v>
      </c>
      <c r="K1903" s="61" t="s">
        <v>739</v>
      </c>
      <c r="L1903" t="s">
        <v>720</v>
      </c>
      <c r="M1903" s="38" t="str">
        <f>IF([1]totrevprm!O1906="","",[1]totrevprm!O1906)</f>
        <v/>
      </c>
    </row>
    <row r="1904" spans="1:13">
      <c r="A1904" s="49" t="s">
        <v>76</v>
      </c>
      <c r="B1904" s="46" t="s">
        <v>493</v>
      </c>
      <c r="C1904" s="50"/>
      <c r="D1904" s="51">
        <v>2023</v>
      </c>
      <c r="E1904" s="56">
        <v>717130233</v>
      </c>
      <c r="F1904" s="56">
        <v>1929921155.5896001</v>
      </c>
      <c r="G1904" s="56">
        <v>1894622934.7207</v>
      </c>
      <c r="H1904" s="56">
        <v>16774530</v>
      </c>
      <c r="I1904" s="54">
        <f t="shared" si="31"/>
        <v>4558448853.3102999</v>
      </c>
      <c r="J1904" s="52">
        <v>0</v>
      </c>
      <c r="K1904" s="61" t="s">
        <v>739</v>
      </c>
      <c r="M1904" s="38"/>
    </row>
    <row r="1905" spans="1:13">
      <c r="A1905" s="49" t="s">
        <v>76</v>
      </c>
      <c r="B1905" s="46" t="s">
        <v>493</v>
      </c>
      <c r="C1905" s="50"/>
      <c r="D1905" s="57">
        <v>2024</v>
      </c>
      <c r="E1905" s="52">
        <v>723467778.52999997</v>
      </c>
      <c r="F1905" s="52">
        <v>2150490477.5100002</v>
      </c>
      <c r="G1905" s="52">
        <v>2226732981.2867002</v>
      </c>
      <c r="H1905" s="52">
        <v>14590207.43</v>
      </c>
      <c r="I1905" s="54">
        <f t="shared" si="31"/>
        <v>5115281444.7567005</v>
      </c>
      <c r="J1905" s="56">
        <v>0</v>
      </c>
      <c r="K1905" s="61" t="s">
        <v>739</v>
      </c>
      <c r="M1905" s="38"/>
    </row>
    <row r="1906" spans="1:13">
      <c r="A1906" s="49"/>
      <c r="B1906" s="50"/>
      <c r="C1906" s="50"/>
      <c r="E1906" s="53"/>
      <c r="F1906" s="53"/>
      <c r="G1906" s="53"/>
      <c r="H1906" s="53"/>
      <c r="I1906" s="54"/>
      <c r="J1906" s="53"/>
      <c r="M1906" s="38"/>
    </row>
    <row r="1907" spans="1:13">
      <c r="A1907" s="49" t="s">
        <v>77</v>
      </c>
      <c r="B1907" s="46" t="s">
        <v>320</v>
      </c>
      <c r="C1907" s="50" t="s">
        <v>731</v>
      </c>
      <c r="D1907" s="51">
        <v>1988</v>
      </c>
      <c r="E1907" s="53">
        <v>983454251</v>
      </c>
      <c r="F1907" s="53">
        <v>1187279276</v>
      </c>
      <c r="G1907" s="53">
        <v>1120812622</v>
      </c>
      <c r="H1907" s="53">
        <v>0</v>
      </c>
      <c r="I1907" s="54">
        <f t="shared" si="31"/>
        <v>3291546149</v>
      </c>
      <c r="J1907" s="52">
        <v>0</v>
      </c>
      <c r="M1907" s="38" t="str">
        <f>IF([1]totrevprm!O1907="","",[1]totrevprm!O1907)</f>
        <v/>
      </c>
    </row>
    <row r="1908" spans="1:13">
      <c r="A1908" s="49" t="s">
        <v>77</v>
      </c>
      <c r="B1908" s="46" t="s">
        <v>320</v>
      </c>
      <c r="C1908" s="50" t="s">
        <v>732</v>
      </c>
      <c r="D1908" s="51">
        <v>1989</v>
      </c>
      <c r="E1908" s="53">
        <v>939877756</v>
      </c>
      <c r="F1908" s="53">
        <v>1340779418</v>
      </c>
      <c r="G1908" s="53">
        <v>1246550050</v>
      </c>
      <c r="H1908" s="53">
        <v>0</v>
      </c>
      <c r="I1908" s="54">
        <f t="shared" si="31"/>
        <v>3527207224</v>
      </c>
      <c r="J1908" s="52">
        <v>0</v>
      </c>
      <c r="M1908" s="38" t="str">
        <f>IF([1]totrevprm!O1908="","",[1]totrevprm!O1908)</f>
        <v/>
      </c>
    </row>
    <row r="1909" spans="1:13">
      <c r="A1909" s="49" t="s">
        <v>77</v>
      </c>
      <c r="B1909" s="46" t="s">
        <v>320</v>
      </c>
      <c r="C1909" s="50" t="s">
        <v>732</v>
      </c>
      <c r="D1909" s="51">
        <v>1990</v>
      </c>
      <c r="E1909" s="53">
        <v>982868253</v>
      </c>
      <c r="F1909" s="53">
        <v>1455954371.1600001</v>
      </c>
      <c r="G1909" s="53">
        <v>1381928234</v>
      </c>
      <c r="H1909" s="53">
        <v>0</v>
      </c>
      <c r="I1909" s="54">
        <f t="shared" si="31"/>
        <v>3820750858.1599998</v>
      </c>
      <c r="J1909" s="52">
        <v>0</v>
      </c>
      <c r="M1909" s="38" t="str">
        <f>IF([1]totrevprm!O1909="","",[1]totrevprm!O1909)</f>
        <v/>
      </c>
    </row>
    <row r="1910" spans="1:13">
      <c r="A1910" s="49" t="s">
        <v>77</v>
      </c>
      <c r="B1910" s="46" t="s">
        <v>320</v>
      </c>
      <c r="C1910" s="50" t="s">
        <v>732</v>
      </c>
      <c r="D1910" s="51">
        <v>1991</v>
      </c>
      <c r="E1910" s="53">
        <v>1076399245</v>
      </c>
      <c r="F1910" s="53">
        <v>1357274758</v>
      </c>
      <c r="G1910" s="53">
        <v>1469942227</v>
      </c>
      <c r="H1910" s="53">
        <v>0</v>
      </c>
      <c r="I1910" s="54">
        <f t="shared" si="31"/>
        <v>3903616230</v>
      </c>
      <c r="J1910" s="52">
        <v>0</v>
      </c>
      <c r="M1910" s="38" t="str">
        <f>IF([1]totrevprm!O1910="","",[1]totrevprm!O1910)</f>
        <v/>
      </c>
    </row>
    <row r="1911" spans="1:13">
      <c r="A1911" s="49" t="s">
        <v>77</v>
      </c>
      <c r="B1911" s="46" t="s">
        <v>320</v>
      </c>
      <c r="C1911" s="50" t="s">
        <v>732</v>
      </c>
      <c r="D1911" s="51">
        <v>1992</v>
      </c>
      <c r="E1911" s="53">
        <v>1135747271</v>
      </c>
      <c r="F1911" s="53">
        <v>1301215746.5599999</v>
      </c>
      <c r="G1911" s="53">
        <v>1571640097</v>
      </c>
      <c r="H1911" s="53">
        <v>0</v>
      </c>
      <c r="I1911" s="54">
        <f t="shared" si="31"/>
        <v>4008603114.5599999</v>
      </c>
      <c r="J1911" s="52">
        <v>0</v>
      </c>
      <c r="M1911" s="38" t="str">
        <f>IF([1]totrevprm!O1911="","",[1]totrevprm!O1911)</f>
        <v/>
      </c>
    </row>
    <row r="1912" spans="1:13">
      <c r="A1912" s="49" t="s">
        <v>77</v>
      </c>
      <c r="B1912" s="46" t="s">
        <v>320</v>
      </c>
      <c r="C1912" s="50" t="s">
        <v>732</v>
      </c>
      <c r="D1912" s="51">
        <v>1993</v>
      </c>
      <c r="E1912" s="53">
        <v>1202592049</v>
      </c>
      <c r="F1912" s="53">
        <v>1112059894</v>
      </c>
      <c r="G1912" s="53">
        <v>1686502690</v>
      </c>
      <c r="H1912" s="53">
        <v>0</v>
      </c>
      <c r="I1912" s="54">
        <f t="shared" si="31"/>
        <v>4001154633</v>
      </c>
      <c r="J1912" s="52">
        <v>0</v>
      </c>
      <c r="M1912" s="38" t="str">
        <f>IF([1]totrevprm!O1912="","",[1]totrevprm!O1912)</f>
        <v/>
      </c>
    </row>
    <row r="1913" spans="1:13">
      <c r="A1913" s="49" t="s">
        <v>77</v>
      </c>
      <c r="B1913" s="46" t="s">
        <v>320</v>
      </c>
      <c r="C1913" s="50" t="s">
        <v>732</v>
      </c>
      <c r="D1913" s="51">
        <v>1994</v>
      </c>
      <c r="E1913" s="53">
        <v>1268795868</v>
      </c>
      <c r="F1913" s="53">
        <v>1319815450</v>
      </c>
      <c r="G1913" s="53">
        <v>1745011167</v>
      </c>
      <c r="H1913" s="53">
        <v>0</v>
      </c>
      <c r="I1913" s="54">
        <f t="shared" si="31"/>
        <v>4333622485</v>
      </c>
      <c r="J1913" s="52">
        <v>0</v>
      </c>
      <c r="M1913" s="38" t="str">
        <f>IF([1]totrevprm!O1913="","",[1]totrevprm!O1913)</f>
        <v/>
      </c>
    </row>
    <row r="1914" spans="1:13">
      <c r="A1914" s="49" t="s">
        <v>77</v>
      </c>
      <c r="B1914" s="46" t="s">
        <v>320</v>
      </c>
      <c r="C1914" s="50" t="s">
        <v>732</v>
      </c>
      <c r="D1914" s="51">
        <v>1995</v>
      </c>
      <c r="E1914" s="53">
        <v>1377155879</v>
      </c>
      <c r="F1914" s="53">
        <v>1530405980</v>
      </c>
      <c r="G1914" s="53">
        <v>1767044880</v>
      </c>
      <c r="H1914" s="53">
        <v>0</v>
      </c>
      <c r="I1914" s="54">
        <f t="shared" si="31"/>
        <v>4674606739</v>
      </c>
      <c r="J1914" s="52">
        <v>0</v>
      </c>
      <c r="M1914" s="38" t="str">
        <f>IF([1]totrevprm!O1914="","",[1]totrevprm!O1914)</f>
        <v/>
      </c>
    </row>
    <row r="1915" spans="1:13">
      <c r="A1915" s="49" t="s">
        <v>77</v>
      </c>
      <c r="B1915" s="46" t="s">
        <v>320</v>
      </c>
      <c r="C1915" s="50" t="s">
        <v>732</v>
      </c>
      <c r="D1915" s="51">
        <v>1996</v>
      </c>
      <c r="E1915" s="53">
        <v>1388187363</v>
      </c>
      <c r="F1915" s="53">
        <v>1123817700</v>
      </c>
      <c r="G1915" s="53">
        <v>2117462093</v>
      </c>
      <c r="H1915" s="53">
        <v>0</v>
      </c>
      <c r="I1915" s="54">
        <f t="shared" si="31"/>
        <v>4629467156</v>
      </c>
      <c r="J1915" s="52">
        <v>0</v>
      </c>
      <c r="M1915" s="38" t="str">
        <f>IF([1]totrevprm!O1915="","",[1]totrevprm!O1915)</f>
        <v/>
      </c>
    </row>
    <row r="1916" spans="1:13">
      <c r="A1916" s="49" t="s">
        <v>77</v>
      </c>
      <c r="B1916" s="46" t="s">
        <v>320</v>
      </c>
      <c r="C1916" s="50" t="s">
        <v>732</v>
      </c>
      <c r="D1916" s="51">
        <v>1997</v>
      </c>
      <c r="E1916" s="53">
        <v>1330673454</v>
      </c>
      <c r="F1916" s="53">
        <v>1296128142</v>
      </c>
      <c r="G1916" s="53">
        <v>1966606840</v>
      </c>
      <c r="H1916" s="53">
        <v>0</v>
      </c>
      <c r="I1916" s="54">
        <f t="shared" si="31"/>
        <v>4593408436</v>
      </c>
      <c r="J1916" s="52">
        <v>0</v>
      </c>
      <c r="M1916" s="38" t="str">
        <f>IF([1]totrevprm!O1916="","",[1]totrevprm!O1916)</f>
        <v/>
      </c>
    </row>
    <row r="1917" spans="1:13">
      <c r="A1917" s="49" t="s">
        <v>77</v>
      </c>
      <c r="B1917" s="46" t="s">
        <v>320</v>
      </c>
      <c r="C1917" s="50" t="s">
        <v>732</v>
      </c>
      <c r="D1917" s="51">
        <v>1998</v>
      </c>
      <c r="E1917" s="53">
        <v>1666545855</v>
      </c>
      <c r="F1917" s="53">
        <v>1359800366</v>
      </c>
      <c r="G1917" s="53">
        <v>2701101642</v>
      </c>
      <c r="H1917" s="53">
        <v>0</v>
      </c>
      <c r="I1917" s="54">
        <f t="shared" si="31"/>
        <v>5727447863</v>
      </c>
      <c r="J1917" s="52">
        <v>0</v>
      </c>
      <c r="M1917" s="38" t="str">
        <f>IF([1]totrevprm!O1917="","",[1]totrevprm!O1917)</f>
        <v/>
      </c>
    </row>
    <row r="1918" spans="1:13">
      <c r="A1918" s="49" t="s">
        <v>77</v>
      </c>
      <c r="B1918" s="46" t="s">
        <v>320</v>
      </c>
      <c r="C1918" s="50" t="s">
        <v>732</v>
      </c>
      <c r="D1918" s="51">
        <v>1999</v>
      </c>
      <c r="E1918" s="53">
        <v>1487871383</v>
      </c>
      <c r="F1918" s="53">
        <v>1571644120</v>
      </c>
      <c r="G1918" s="53">
        <v>2914712068</v>
      </c>
      <c r="H1918" s="53">
        <v>0</v>
      </c>
      <c r="I1918" s="54">
        <f t="shared" si="31"/>
        <v>5974227571</v>
      </c>
      <c r="J1918" s="52">
        <v>0</v>
      </c>
      <c r="M1918" s="38" t="str">
        <f>IF([1]totrevprm!O1918="","",[1]totrevprm!O1918)</f>
        <v/>
      </c>
    </row>
    <row r="1919" spans="1:13">
      <c r="A1919" s="49" t="s">
        <v>77</v>
      </c>
      <c r="B1919" s="46" t="s">
        <v>320</v>
      </c>
      <c r="C1919" s="50" t="s">
        <v>732</v>
      </c>
      <c r="D1919" s="51">
        <v>2000</v>
      </c>
      <c r="E1919" s="53">
        <v>1430064071</v>
      </c>
      <c r="F1919" s="53">
        <v>1770580874</v>
      </c>
      <c r="G1919" s="53">
        <v>3222048692</v>
      </c>
      <c r="H1919" s="53">
        <v>0</v>
      </c>
      <c r="I1919" s="54">
        <f t="shared" si="31"/>
        <v>6422693637</v>
      </c>
      <c r="J1919" s="52">
        <v>0</v>
      </c>
      <c r="M1919" s="38" t="str">
        <f>IF([1]totrevprm!O1919="","",[1]totrevprm!O1919)</f>
        <v/>
      </c>
    </row>
    <row r="1920" spans="1:13">
      <c r="A1920" s="49" t="s">
        <v>77</v>
      </c>
      <c r="B1920" s="46" t="s">
        <v>320</v>
      </c>
      <c r="C1920" s="50" t="s">
        <v>732</v>
      </c>
      <c r="D1920" s="51">
        <v>2001</v>
      </c>
      <c r="E1920" s="53">
        <v>1501528707</v>
      </c>
      <c r="F1920" s="53">
        <v>2279654961</v>
      </c>
      <c r="G1920" s="53">
        <v>3549289750</v>
      </c>
      <c r="H1920" s="53">
        <v>0</v>
      </c>
      <c r="I1920" s="54">
        <f t="shared" si="31"/>
        <v>7330473418</v>
      </c>
      <c r="J1920" s="52">
        <v>0</v>
      </c>
      <c r="M1920" s="38" t="str">
        <f>IF([1]totrevprm!O1920="","",[1]totrevprm!O1920)</f>
        <v/>
      </c>
    </row>
    <row r="1921" spans="1:13">
      <c r="A1921" s="49" t="s">
        <v>77</v>
      </c>
      <c r="B1921" s="46" t="s">
        <v>320</v>
      </c>
      <c r="C1921" s="50" t="s">
        <v>732</v>
      </c>
      <c r="D1921" s="51">
        <v>2002</v>
      </c>
      <c r="E1921" s="53">
        <v>1444948195</v>
      </c>
      <c r="F1921" s="53">
        <v>3123055348</v>
      </c>
      <c r="G1921" s="53">
        <v>3713329481</v>
      </c>
      <c r="H1921" s="53">
        <v>0</v>
      </c>
      <c r="I1921" s="54">
        <f t="shared" si="31"/>
        <v>8281333024</v>
      </c>
      <c r="J1921" s="52">
        <v>0</v>
      </c>
      <c r="M1921" s="38" t="str">
        <f>IF([1]totrevprm!O1921="","",[1]totrevprm!O1921)</f>
        <v/>
      </c>
    </row>
    <row r="1922" spans="1:13">
      <c r="A1922" s="49" t="s">
        <v>77</v>
      </c>
      <c r="B1922" s="46" t="s">
        <v>320</v>
      </c>
      <c r="C1922" s="50" t="s">
        <v>732</v>
      </c>
      <c r="D1922" s="51">
        <v>2003</v>
      </c>
      <c r="E1922" s="55">
        <v>1655657032</v>
      </c>
      <c r="F1922" s="55">
        <v>2605889350</v>
      </c>
      <c r="G1922" s="55">
        <v>3932606069</v>
      </c>
      <c r="H1922" s="53">
        <v>0</v>
      </c>
      <c r="I1922" s="54">
        <f t="shared" si="31"/>
        <v>8194152451</v>
      </c>
      <c r="J1922" s="52">
        <v>0</v>
      </c>
      <c r="M1922" s="38" t="str">
        <f>IF([1]totrevprm!O1922="","",[1]totrevprm!O1922)</f>
        <v/>
      </c>
    </row>
    <row r="1923" spans="1:13">
      <c r="A1923" s="49" t="s">
        <v>77</v>
      </c>
      <c r="B1923" s="46" t="s">
        <v>320</v>
      </c>
      <c r="C1923" s="50" t="s">
        <v>823</v>
      </c>
      <c r="D1923" s="51">
        <v>2004</v>
      </c>
      <c r="E1923" s="55">
        <v>1730265571</v>
      </c>
      <c r="F1923" s="55">
        <v>2325831748</v>
      </c>
      <c r="G1923" s="55">
        <v>4064383321</v>
      </c>
      <c r="H1923" s="53">
        <v>0</v>
      </c>
      <c r="I1923" s="54">
        <f t="shared" si="31"/>
        <v>8120480640</v>
      </c>
      <c r="J1923" s="52">
        <v>0</v>
      </c>
      <c r="M1923" s="38" t="str">
        <f>IF([1]totrevprm!O1923="","",[1]totrevprm!O1923)</f>
        <v/>
      </c>
    </row>
    <row r="1924" spans="1:13">
      <c r="A1924" s="49" t="s">
        <v>77</v>
      </c>
      <c r="B1924" s="46" t="s">
        <v>320</v>
      </c>
      <c r="C1924" s="50"/>
      <c r="D1924" s="51">
        <v>2005</v>
      </c>
      <c r="E1924" s="55">
        <v>1765205723</v>
      </c>
      <c r="F1924" s="55">
        <v>1755752897</v>
      </c>
      <c r="G1924" s="55">
        <v>4591263222.8699903</v>
      </c>
      <c r="H1924" s="53">
        <v>0</v>
      </c>
      <c r="I1924" s="54">
        <f t="shared" si="31"/>
        <v>8112221842.8699903</v>
      </c>
      <c r="J1924" s="52">
        <v>0</v>
      </c>
      <c r="M1924" s="38" t="str">
        <f>IF([1]totrevprm!O1924="","",[1]totrevprm!O1924)</f>
        <v/>
      </c>
    </row>
    <row r="1925" spans="1:13">
      <c r="A1925" s="49" t="s">
        <v>77</v>
      </c>
      <c r="B1925" s="46" t="s">
        <v>320</v>
      </c>
      <c r="C1925" s="50"/>
      <c r="D1925" s="51">
        <v>2006</v>
      </c>
      <c r="E1925" s="56">
        <v>1861350986</v>
      </c>
      <c r="F1925" s="56">
        <v>2269001472</v>
      </c>
      <c r="G1925" s="56">
        <v>4529139294</v>
      </c>
      <c r="H1925" s="56">
        <v>0</v>
      </c>
      <c r="I1925" s="54">
        <f t="shared" si="31"/>
        <v>8659491752</v>
      </c>
      <c r="J1925" s="52">
        <v>0</v>
      </c>
      <c r="M1925" s="38" t="str">
        <f>IF([1]totrevprm!O1925="","",[1]totrevprm!O1925)</f>
        <v/>
      </c>
    </row>
    <row r="1926" spans="1:13">
      <c r="A1926" s="49" t="s">
        <v>77</v>
      </c>
      <c r="B1926" s="46" t="s">
        <v>320</v>
      </c>
      <c r="C1926" s="50"/>
      <c r="D1926" s="51">
        <v>2007</v>
      </c>
      <c r="E1926" s="56">
        <v>1998754287</v>
      </c>
      <c r="F1926" s="56">
        <v>2440261232</v>
      </c>
      <c r="G1926" s="56">
        <v>5259106045</v>
      </c>
      <c r="H1926" s="56">
        <v>0</v>
      </c>
      <c r="I1926" s="54">
        <f t="shared" si="31"/>
        <v>9698121564</v>
      </c>
      <c r="J1926" s="52">
        <v>0</v>
      </c>
      <c r="M1926" s="38" t="str">
        <f>IF([1]totrevprm!O1926="","",[1]totrevprm!O1926)</f>
        <v/>
      </c>
    </row>
    <row r="1927" spans="1:13">
      <c r="A1927" s="49" t="s">
        <v>77</v>
      </c>
      <c r="B1927" s="46" t="s">
        <v>320</v>
      </c>
      <c r="C1927" s="50"/>
      <c r="D1927" s="51">
        <v>2008</v>
      </c>
      <c r="E1927" s="56">
        <v>1979623601</v>
      </c>
      <c r="F1927" s="56">
        <v>3356157996</v>
      </c>
      <c r="G1927" s="56">
        <v>5451118842</v>
      </c>
      <c r="H1927" s="56">
        <v>0</v>
      </c>
      <c r="I1927" s="54">
        <f t="shared" si="31"/>
        <v>10786900439</v>
      </c>
      <c r="J1927" s="52">
        <v>0</v>
      </c>
      <c r="M1927" s="38" t="str">
        <f>IF([1]totrevprm!O1927="","",[1]totrevprm!O1927)</f>
        <v/>
      </c>
    </row>
    <row r="1928" spans="1:13">
      <c r="A1928" s="49" t="s">
        <v>77</v>
      </c>
      <c r="B1928" s="46" t="s">
        <v>320</v>
      </c>
      <c r="C1928" s="50"/>
      <c r="D1928" s="51">
        <v>2009</v>
      </c>
      <c r="E1928" s="56">
        <v>2073784687</v>
      </c>
      <c r="F1928" s="56">
        <v>3182730359</v>
      </c>
      <c r="G1928" s="56">
        <v>5500132259</v>
      </c>
      <c r="H1928" s="56">
        <v>0</v>
      </c>
      <c r="I1928" s="54">
        <f t="shared" si="31"/>
        <v>10756647305</v>
      </c>
      <c r="J1928" s="52">
        <v>0</v>
      </c>
      <c r="M1928" s="38" t="str">
        <f>IF([1]totrevprm!O1928="","",[1]totrevprm!O1928)</f>
        <v/>
      </c>
    </row>
    <row r="1929" spans="1:13">
      <c r="A1929" s="49" t="s">
        <v>77</v>
      </c>
      <c r="B1929" s="46" t="s">
        <v>320</v>
      </c>
      <c r="C1929" s="50"/>
      <c r="D1929" s="51">
        <v>2010</v>
      </c>
      <c r="E1929" s="56">
        <v>2111985056</v>
      </c>
      <c r="F1929" s="56">
        <v>2753671184</v>
      </c>
      <c r="G1929" s="56">
        <v>5049423119</v>
      </c>
      <c r="H1929" s="56">
        <v>0</v>
      </c>
      <c r="I1929" s="54">
        <f t="shared" si="31"/>
        <v>9915079359</v>
      </c>
      <c r="J1929" s="52">
        <v>0</v>
      </c>
      <c r="M1929" s="38" t="str">
        <f>IF([1]totrevprm!O1929="","",[1]totrevprm!O1929)</f>
        <v/>
      </c>
    </row>
    <row r="1930" spans="1:13">
      <c r="A1930" s="49" t="s">
        <v>77</v>
      </c>
      <c r="B1930" s="46" t="s">
        <v>320</v>
      </c>
      <c r="C1930" s="50"/>
      <c r="D1930" s="51">
        <v>2011</v>
      </c>
      <c r="E1930" s="56">
        <v>2210764960</v>
      </c>
      <c r="F1930" s="56">
        <v>2693037933</v>
      </c>
      <c r="G1930" s="56">
        <v>4983060377</v>
      </c>
      <c r="H1930" s="56">
        <v>0</v>
      </c>
      <c r="I1930" s="54">
        <f t="shared" si="31"/>
        <v>9886863270</v>
      </c>
      <c r="J1930" s="52">
        <v>0</v>
      </c>
      <c r="M1930" s="38" t="str">
        <f>IF([1]totrevprm!O1930="","",[1]totrevprm!O1930)</f>
        <v/>
      </c>
    </row>
    <row r="1931" spans="1:13">
      <c r="A1931" s="49" t="s">
        <v>77</v>
      </c>
      <c r="B1931" s="46" t="s">
        <v>320</v>
      </c>
      <c r="C1931" s="50"/>
      <c r="D1931" s="51">
        <v>2012</v>
      </c>
      <c r="E1931" s="56">
        <v>2277685879</v>
      </c>
      <c r="F1931" s="56">
        <v>3080368151</v>
      </c>
      <c r="G1931" s="56">
        <v>4784544073</v>
      </c>
      <c r="H1931" s="56">
        <v>0</v>
      </c>
      <c r="I1931" s="54">
        <f t="shared" si="31"/>
        <v>10142598103</v>
      </c>
      <c r="J1931" s="52">
        <v>0</v>
      </c>
      <c r="M1931" s="38" t="str">
        <f>IF([1]totrevprm!O1931="","",[1]totrevprm!O1931)</f>
        <v/>
      </c>
    </row>
    <row r="1932" spans="1:13">
      <c r="A1932" s="49" t="s">
        <v>77</v>
      </c>
      <c r="B1932" s="46" t="s">
        <v>320</v>
      </c>
      <c r="C1932" s="50"/>
      <c r="D1932" s="51">
        <v>2013</v>
      </c>
      <c r="E1932" s="56">
        <v>2351477080</v>
      </c>
      <c r="F1932" s="56">
        <v>2719503365</v>
      </c>
      <c r="G1932" s="56">
        <v>4311104753</v>
      </c>
      <c r="H1932" s="56">
        <v>0</v>
      </c>
      <c r="I1932" s="54">
        <f t="shared" si="31"/>
        <v>9382085198</v>
      </c>
      <c r="J1932" s="52">
        <v>0</v>
      </c>
      <c r="M1932" s="38" t="str">
        <f>IF([1]totrevprm!O1932="","",[1]totrevprm!O1932)</f>
        <v/>
      </c>
    </row>
    <row r="1933" spans="1:13">
      <c r="A1933" s="49" t="s">
        <v>77</v>
      </c>
      <c r="B1933" s="46" t="s">
        <v>320</v>
      </c>
      <c r="C1933" s="50"/>
      <c r="D1933" s="51">
        <v>2014</v>
      </c>
      <c r="E1933" s="56">
        <v>2314671468</v>
      </c>
      <c r="F1933" s="56">
        <v>2867068449</v>
      </c>
      <c r="G1933" s="52">
        <v>3175460935</v>
      </c>
      <c r="H1933" s="56">
        <v>0</v>
      </c>
      <c r="I1933" s="54">
        <f t="shared" si="31"/>
        <v>8357200852</v>
      </c>
      <c r="J1933" s="52">
        <v>0</v>
      </c>
      <c r="K1933" s="70" t="s">
        <v>824</v>
      </c>
      <c r="L1933" t="s">
        <v>720</v>
      </c>
      <c r="M1933" s="38" t="str">
        <f>IF([1]totrevprm!O1933="","",[1]totrevprm!O1933)</f>
        <v/>
      </c>
    </row>
    <row r="1934" spans="1:13">
      <c r="A1934" s="49" t="s">
        <v>77</v>
      </c>
      <c r="B1934" s="46" t="s">
        <v>320</v>
      </c>
      <c r="C1934" s="50"/>
      <c r="D1934" s="51">
        <v>2015</v>
      </c>
      <c r="E1934" s="56">
        <v>2348832828</v>
      </c>
      <c r="F1934" s="56">
        <v>3916091296</v>
      </c>
      <c r="G1934" s="52">
        <v>7730697467</v>
      </c>
      <c r="H1934" s="56">
        <v>0</v>
      </c>
      <c r="I1934" s="54">
        <f t="shared" si="31"/>
        <v>13995621591</v>
      </c>
      <c r="J1934" s="52">
        <v>0</v>
      </c>
      <c r="K1934" s="70" t="s">
        <v>824</v>
      </c>
      <c r="L1934" t="s">
        <v>720</v>
      </c>
      <c r="M1934" s="38" t="str">
        <f>IF([1]totrevprm!O1934="","",[1]totrevprm!O1934)</f>
        <v/>
      </c>
    </row>
    <row r="1935" spans="1:13">
      <c r="A1935" s="49" t="s">
        <v>77</v>
      </c>
      <c r="B1935" s="46" t="s">
        <v>320</v>
      </c>
      <c r="C1935" s="50"/>
      <c r="D1935" s="51">
        <v>2016</v>
      </c>
      <c r="E1935" s="56">
        <v>2439177902</v>
      </c>
      <c r="F1935" s="56">
        <v>3577889735</v>
      </c>
      <c r="G1935" s="52">
        <v>5049548561</v>
      </c>
      <c r="H1935" s="56">
        <v>0</v>
      </c>
      <c r="I1935" s="54">
        <f t="shared" si="31"/>
        <v>11066616198</v>
      </c>
      <c r="J1935" s="52">
        <v>0</v>
      </c>
      <c r="K1935" s="70" t="s">
        <v>824</v>
      </c>
      <c r="L1935" t="s">
        <v>720</v>
      </c>
      <c r="M1935" s="38" t="str">
        <f>IF([1]totrevprm!O1935="","",[1]totrevprm!O1935)</f>
        <v/>
      </c>
    </row>
    <row r="1936" spans="1:13">
      <c r="A1936" s="49" t="s">
        <v>77</v>
      </c>
      <c r="B1936" s="46" t="s">
        <v>320</v>
      </c>
      <c r="C1936" s="50"/>
      <c r="D1936" s="51">
        <v>2017</v>
      </c>
      <c r="E1936" s="56">
        <v>2536943637</v>
      </c>
      <c r="F1936" s="56">
        <v>3699829614</v>
      </c>
      <c r="G1936" s="52">
        <v>6688923429.6700001</v>
      </c>
      <c r="H1936" s="56">
        <v>0</v>
      </c>
      <c r="I1936" s="54">
        <f t="shared" si="31"/>
        <v>12925696680.67</v>
      </c>
      <c r="J1936" s="52">
        <v>0</v>
      </c>
      <c r="K1936" s="70" t="s">
        <v>824</v>
      </c>
      <c r="L1936" t="s">
        <v>720</v>
      </c>
      <c r="M1936" s="38" t="str">
        <f>IF([1]totrevprm!O1936="","",[1]totrevprm!O1936)</f>
        <v/>
      </c>
    </row>
    <row r="1937" spans="1:13">
      <c r="A1937" s="49" t="s">
        <v>77</v>
      </c>
      <c r="B1937" s="46" t="s">
        <v>320</v>
      </c>
      <c r="C1937" s="50"/>
      <c r="D1937" s="51">
        <v>2018</v>
      </c>
      <c r="E1937" s="56">
        <v>2514449460</v>
      </c>
      <c r="F1937" s="56">
        <v>4140826136</v>
      </c>
      <c r="G1937" s="52">
        <v>5762298042</v>
      </c>
      <c r="H1937" s="56">
        <v>0</v>
      </c>
      <c r="I1937" s="54">
        <f t="shared" si="31"/>
        <v>12417573638</v>
      </c>
      <c r="J1937" s="52">
        <v>0</v>
      </c>
      <c r="K1937" s="70" t="s">
        <v>824</v>
      </c>
      <c r="L1937" t="s">
        <v>720</v>
      </c>
      <c r="M1937" s="38" t="str">
        <f>IF([1]totrevprm!O1937="","",[1]totrevprm!O1937)</f>
        <v/>
      </c>
    </row>
    <row r="1938" spans="1:13">
      <c r="A1938" s="49" t="s">
        <v>77</v>
      </c>
      <c r="B1938" s="46" t="s">
        <v>320</v>
      </c>
      <c r="C1938" s="50"/>
      <c r="D1938" s="51">
        <v>2019</v>
      </c>
      <c r="E1938" s="56">
        <v>2710277413</v>
      </c>
      <c r="F1938" s="56">
        <v>4581105908</v>
      </c>
      <c r="G1938" s="52">
        <v>5862638762</v>
      </c>
      <c r="H1938" s="56">
        <v>0</v>
      </c>
      <c r="I1938" s="54">
        <f t="shared" ref="I1938:I1981" si="32">SUM(E1938:H1938)</f>
        <v>13154022083</v>
      </c>
      <c r="J1938" s="52">
        <v>0</v>
      </c>
      <c r="K1938" s="70" t="s">
        <v>824</v>
      </c>
      <c r="L1938" t="s">
        <v>720</v>
      </c>
      <c r="M1938" s="38" t="str">
        <f>IF([1]totrevprm!O1938="","",[1]totrevprm!O1938)</f>
        <v/>
      </c>
    </row>
    <row r="1939" spans="1:13">
      <c r="A1939" s="49" t="s">
        <v>77</v>
      </c>
      <c r="B1939" s="46" t="s">
        <v>320</v>
      </c>
      <c r="C1939" s="50"/>
      <c r="D1939" s="51">
        <v>2020</v>
      </c>
      <c r="E1939" s="56">
        <v>2626443638</v>
      </c>
      <c r="F1939" s="56">
        <v>5055839175</v>
      </c>
      <c r="G1939" s="52">
        <v>5751275409</v>
      </c>
      <c r="H1939" s="56">
        <v>0</v>
      </c>
      <c r="I1939" s="54">
        <f t="shared" si="32"/>
        <v>13433558222</v>
      </c>
      <c r="J1939" s="52">
        <v>0</v>
      </c>
      <c r="K1939" s="70" t="s">
        <v>824</v>
      </c>
      <c r="L1939" t="s">
        <v>720</v>
      </c>
      <c r="M1939" s="38" t="str">
        <f>IF([1]totrevprm!O1939="","",[1]totrevprm!O1939)</f>
        <v/>
      </c>
    </row>
    <row r="1940" spans="1:13">
      <c r="A1940" s="49" t="s">
        <v>77</v>
      </c>
      <c r="B1940" s="46" t="s">
        <v>320</v>
      </c>
      <c r="C1940" s="50"/>
      <c r="D1940" s="51">
        <v>2021</v>
      </c>
      <c r="E1940" s="56">
        <v>2803902340</v>
      </c>
      <c r="F1940" s="56">
        <v>4305149044</v>
      </c>
      <c r="G1940" s="52">
        <v>5666697517</v>
      </c>
      <c r="H1940" s="56">
        <v>0</v>
      </c>
      <c r="I1940" s="54">
        <f t="shared" si="32"/>
        <v>12775748901</v>
      </c>
      <c r="J1940" s="52">
        <v>0</v>
      </c>
      <c r="K1940" s="70" t="s">
        <v>824</v>
      </c>
      <c r="L1940" t="s">
        <v>720</v>
      </c>
      <c r="M1940" s="38"/>
    </row>
    <row r="1941" spans="1:13">
      <c r="A1941" s="49" t="s">
        <v>77</v>
      </c>
      <c r="B1941" s="46" t="s">
        <v>320</v>
      </c>
      <c r="C1941" s="50"/>
      <c r="D1941" s="51">
        <v>2022</v>
      </c>
      <c r="E1941" s="56">
        <v>2833586454</v>
      </c>
      <c r="F1941" s="56">
        <v>5988742968</v>
      </c>
      <c r="G1941" s="52">
        <v>5863483418</v>
      </c>
      <c r="H1941" s="56">
        <v>0</v>
      </c>
      <c r="I1941" s="54">
        <f t="shared" si="32"/>
        <v>14685812840</v>
      </c>
      <c r="J1941" s="52">
        <v>0</v>
      </c>
      <c r="K1941" s="70" t="s">
        <v>824</v>
      </c>
      <c r="L1941" t="s">
        <v>720</v>
      </c>
      <c r="M1941" s="38" t="str">
        <f>IF([1]totrevprm!O1944="","",[1]totrevprm!O1944)</f>
        <v/>
      </c>
    </row>
    <row r="1942" spans="1:13">
      <c r="A1942" s="49" t="s">
        <v>77</v>
      </c>
      <c r="B1942" s="46" t="s">
        <v>320</v>
      </c>
      <c r="C1942" s="50"/>
      <c r="D1942" s="51">
        <v>2023</v>
      </c>
      <c r="E1942" s="56">
        <v>2785223184</v>
      </c>
      <c r="F1942" s="56">
        <v>7007345377.3227997</v>
      </c>
      <c r="G1942" s="52">
        <v>5769270783</v>
      </c>
      <c r="H1942" s="56">
        <v>0</v>
      </c>
      <c r="I1942" s="54">
        <f t="shared" si="32"/>
        <v>15561839344.3228</v>
      </c>
      <c r="J1942" s="52">
        <v>0</v>
      </c>
      <c r="K1942" s="70" t="s">
        <v>824</v>
      </c>
      <c r="M1942" s="38"/>
    </row>
    <row r="1943" spans="1:13">
      <c r="A1943" s="49" t="s">
        <v>77</v>
      </c>
      <c r="B1943" s="46" t="s">
        <v>320</v>
      </c>
      <c r="C1943" s="50"/>
      <c r="D1943" s="57">
        <v>2024</v>
      </c>
      <c r="E1943" s="52">
        <v>3017365933.5300002</v>
      </c>
      <c r="F1943" s="52">
        <v>8369274072.3800001</v>
      </c>
      <c r="G1943" s="52">
        <v>5997205596.6142998</v>
      </c>
      <c r="H1943" s="52">
        <v>0</v>
      </c>
      <c r="I1943" s="54">
        <f t="shared" si="32"/>
        <v>17383845602.5243</v>
      </c>
      <c r="J1943" s="56">
        <v>0</v>
      </c>
      <c r="K1943" s="70" t="s">
        <v>824</v>
      </c>
      <c r="M1943" s="38"/>
    </row>
    <row r="1944" spans="1:13">
      <c r="A1944" s="49"/>
      <c r="B1944" s="50"/>
      <c r="C1944" s="50"/>
      <c r="E1944" s="53"/>
      <c r="F1944" s="53"/>
      <c r="G1944" s="53"/>
      <c r="H1944" s="53"/>
      <c r="I1944" s="54"/>
      <c r="J1944" s="52"/>
      <c r="M1944" s="38"/>
    </row>
    <row r="1945" spans="1:13">
      <c r="A1945" s="49" t="s">
        <v>78</v>
      </c>
      <c r="B1945" s="46" t="s">
        <v>608</v>
      </c>
      <c r="C1945" s="50" t="s">
        <v>731</v>
      </c>
      <c r="D1945" s="51">
        <v>1988</v>
      </c>
      <c r="E1945" s="53">
        <v>97626321</v>
      </c>
      <c r="F1945" s="53">
        <v>94368976</v>
      </c>
      <c r="G1945" s="53">
        <v>85482029</v>
      </c>
      <c r="H1945" s="53">
        <v>0</v>
      </c>
      <c r="I1945" s="54">
        <f t="shared" si="32"/>
        <v>277477326</v>
      </c>
      <c r="J1945" s="52">
        <v>0</v>
      </c>
      <c r="M1945" s="38" t="str">
        <f>IF([1]totrevprm!O1945="","",[1]totrevprm!O1945)</f>
        <v/>
      </c>
    </row>
    <row r="1946" spans="1:13">
      <c r="A1946" s="49" t="s">
        <v>78</v>
      </c>
      <c r="B1946" s="46" t="s">
        <v>608</v>
      </c>
      <c r="C1946" s="50" t="s">
        <v>732</v>
      </c>
      <c r="D1946" s="51">
        <v>1989</v>
      </c>
      <c r="E1946" s="53">
        <v>90923902</v>
      </c>
      <c r="F1946" s="53">
        <v>84285866</v>
      </c>
      <c r="G1946" s="53">
        <v>90453608</v>
      </c>
      <c r="H1946" s="53">
        <v>0</v>
      </c>
      <c r="I1946" s="54">
        <f t="shared" si="32"/>
        <v>265663376</v>
      </c>
      <c r="J1946" s="52">
        <v>0</v>
      </c>
      <c r="M1946" s="38" t="str">
        <f>IF([1]totrevprm!O1946="","",[1]totrevprm!O1946)</f>
        <v/>
      </c>
    </row>
    <row r="1947" spans="1:13">
      <c r="A1947" s="49" t="s">
        <v>78</v>
      </c>
      <c r="B1947" s="46" t="s">
        <v>608</v>
      </c>
      <c r="C1947" s="50" t="s">
        <v>732</v>
      </c>
      <c r="D1947" s="51">
        <v>1990</v>
      </c>
      <c r="E1947" s="53">
        <v>90058438</v>
      </c>
      <c r="F1947" s="53">
        <v>93698388.680000007</v>
      </c>
      <c r="G1947" s="53">
        <v>97798492</v>
      </c>
      <c r="H1947" s="53">
        <v>0</v>
      </c>
      <c r="I1947" s="54">
        <f t="shared" si="32"/>
        <v>281555318.68000001</v>
      </c>
      <c r="J1947" s="52">
        <v>0</v>
      </c>
      <c r="M1947" s="38" t="str">
        <f>IF([1]totrevprm!O1947="","",[1]totrevprm!O1947)</f>
        <v/>
      </c>
    </row>
    <row r="1948" spans="1:13">
      <c r="A1948" s="49" t="s">
        <v>78</v>
      </c>
      <c r="B1948" s="46" t="s">
        <v>608</v>
      </c>
      <c r="C1948" s="50" t="s">
        <v>732</v>
      </c>
      <c r="D1948" s="51">
        <v>1991</v>
      </c>
      <c r="E1948" s="53">
        <v>96951799</v>
      </c>
      <c r="F1948" s="53">
        <v>81766219</v>
      </c>
      <c r="G1948" s="53">
        <v>99883708</v>
      </c>
      <c r="H1948" s="53">
        <v>0</v>
      </c>
      <c r="I1948" s="54">
        <f t="shared" si="32"/>
        <v>278601726</v>
      </c>
      <c r="J1948" s="52">
        <v>0</v>
      </c>
      <c r="M1948" s="38" t="str">
        <f>IF([1]totrevprm!O1948="","",[1]totrevprm!O1948)</f>
        <v/>
      </c>
    </row>
    <row r="1949" spans="1:13">
      <c r="A1949" s="49" t="s">
        <v>78</v>
      </c>
      <c r="B1949" s="46" t="s">
        <v>608</v>
      </c>
      <c r="C1949" s="50" t="s">
        <v>732</v>
      </c>
      <c r="D1949" s="51">
        <v>1992</v>
      </c>
      <c r="E1949" s="53">
        <v>105896069</v>
      </c>
      <c r="F1949" s="53">
        <v>82392605.079999998</v>
      </c>
      <c r="G1949" s="53">
        <v>112094162</v>
      </c>
      <c r="H1949" s="53">
        <v>0</v>
      </c>
      <c r="I1949" s="54">
        <f t="shared" si="32"/>
        <v>300382836.07999998</v>
      </c>
      <c r="J1949" s="52">
        <v>0</v>
      </c>
      <c r="M1949" s="38" t="str">
        <f>IF([1]totrevprm!O1949="","",[1]totrevprm!O1949)</f>
        <v/>
      </c>
    </row>
    <row r="1950" spans="1:13">
      <c r="A1950" s="49" t="s">
        <v>78</v>
      </c>
      <c r="B1950" s="46" t="s">
        <v>608</v>
      </c>
      <c r="C1950" s="50" t="s">
        <v>732</v>
      </c>
      <c r="D1950" s="51">
        <v>1993</v>
      </c>
      <c r="E1950" s="53">
        <v>110151591</v>
      </c>
      <c r="F1950" s="53">
        <v>66544761</v>
      </c>
      <c r="G1950" s="53">
        <v>123196590</v>
      </c>
      <c r="H1950" s="53">
        <v>0</v>
      </c>
      <c r="I1950" s="54">
        <f t="shared" si="32"/>
        <v>299892942</v>
      </c>
      <c r="J1950" s="52">
        <v>0</v>
      </c>
      <c r="M1950" s="38" t="str">
        <f>IF([1]totrevprm!O1950="","",[1]totrevprm!O1950)</f>
        <v/>
      </c>
    </row>
    <row r="1951" spans="1:13">
      <c r="A1951" s="49" t="s">
        <v>78</v>
      </c>
      <c r="B1951" s="46" t="s">
        <v>608</v>
      </c>
      <c r="C1951" s="50" t="s">
        <v>732</v>
      </c>
      <c r="D1951" s="51">
        <v>1994</v>
      </c>
      <c r="E1951" s="53">
        <v>120563305</v>
      </c>
      <c r="F1951" s="53">
        <v>82776199</v>
      </c>
      <c r="G1951" s="53">
        <v>127681818</v>
      </c>
      <c r="H1951" s="53">
        <v>0</v>
      </c>
      <c r="I1951" s="54">
        <f t="shared" si="32"/>
        <v>331021322</v>
      </c>
      <c r="J1951" s="52">
        <v>0</v>
      </c>
      <c r="M1951" s="38" t="str">
        <f>IF([1]totrevprm!O1951="","",[1]totrevprm!O1951)</f>
        <v/>
      </c>
    </row>
    <row r="1952" spans="1:13">
      <c r="A1952" s="49" t="s">
        <v>78</v>
      </c>
      <c r="B1952" s="46" t="s">
        <v>608</v>
      </c>
      <c r="C1952" s="50" t="s">
        <v>732</v>
      </c>
      <c r="D1952" s="51">
        <v>1995</v>
      </c>
      <c r="E1952" s="53">
        <v>128258372</v>
      </c>
      <c r="F1952" s="53">
        <v>91755805</v>
      </c>
      <c r="G1952" s="53">
        <v>125844578</v>
      </c>
      <c r="H1952" s="53">
        <v>0</v>
      </c>
      <c r="I1952" s="54">
        <f t="shared" si="32"/>
        <v>345858755</v>
      </c>
      <c r="J1952" s="52">
        <v>0</v>
      </c>
      <c r="M1952" s="38" t="str">
        <f>IF([1]totrevprm!O1952="","",[1]totrevprm!O1952)</f>
        <v/>
      </c>
    </row>
    <row r="1953" spans="1:13">
      <c r="A1953" s="49" t="s">
        <v>78</v>
      </c>
      <c r="B1953" s="46" t="s">
        <v>608</v>
      </c>
      <c r="C1953" s="50" t="s">
        <v>732</v>
      </c>
      <c r="D1953" s="51">
        <v>1996</v>
      </c>
      <c r="E1953" s="53">
        <v>144853471</v>
      </c>
      <c r="F1953" s="53">
        <v>64293629</v>
      </c>
      <c r="G1953" s="53">
        <v>139762212</v>
      </c>
      <c r="H1953" s="53">
        <v>0</v>
      </c>
      <c r="I1953" s="54">
        <f t="shared" si="32"/>
        <v>348909312</v>
      </c>
      <c r="J1953" s="52">
        <v>0</v>
      </c>
      <c r="M1953" s="38" t="str">
        <f>IF([1]totrevprm!O1953="","",[1]totrevprm!O1953)</f>
        <v/>
      </c>
    </row>
    <row r="1954" spans="1:13">
      <c r="A1954" s="49" t="s">
        <v>78</v>
      </c>
      <c r="B1954" s="46" t="s">
        <v>608</v>
      </c>
      <c r="C1954" s="50" t="s">
        <v>732</v>
      </c>
      <c r="D1954" s="51">
        <v>1997</v>
      </c>
      <c r="E1954" s="53">
        <v>132336804</v>
      </c>
      <c r="F1954" s="53">
        <v>73610903</v>
      </c>
      <c r="G1954" s="53">
        <v>137395545</v>
      </c>
      <c r="H1954" s="53">
        <v>0</v>
      </c>
      <c r="I1954" s="54">
        <f t="shared" si="32"/>
        <v>343343252</v>
      </c>
      <c r="J1954" s="52">
        <v>0</v>
      </c>
      <c r="M1954" s="38" t="str">
        <f>IF([1]totrevprm!O1954="","",[1]totrevprm!O1954)</f>
        <v/>
      </c>
    </row>
    <row r="1955" spans="1:13">
      <c r="A1955" s="49" t="s">
        <v>78</v>
      </c>
      <c r="B1955" s="46" t="s">
        <v>608</v>
      </c>
      <c r="C1955" s="50" t="s">
        <v>732</v>
      </c>
      <c r="D1955" s="51">
        <v>1998</v>
      </c>
      <c r="E1955" s="53">
        <v>133370742</v>
      </c>
      <c r="F1955" s="53">
        <v>65128698</v>
      </c>
      <c r="G1955" s="53">
        <v>147217331</v>
      </c>
      <c r="H1955" s="53">
        <v>0</v>
      </c>
      <c r="I1955" s="54">
        <f t="shared" si="32"/>
        <v>345716771</v>
      </c>
      <c r="J1955" s="52">
        <v>0</v>
      </c>
      <c r="M1955" s="38" t="str">
        <f>IF([1]totrevprm!O1955="","",[1]totrevprm!O1955)</f>
        <v/>
      </c>
    </row>
    <row r="1956" spans="1:13">
      <c r="A1956" s="49" t="s">
        <v>78</v>
      </c>
      <c r="B1956" s="46" t="s">
        <v>608</v>
      </c>
      <c r="C1956" s="50" t="s">
        <v>732</v>
      </c>
      <c r="D1956" s="51">
        <v>1999</v>
      </c>
      <c r="E1956" s="53">
        <v>132820331</v>
      </c>
      <c r="F1956" s="53">
        <v>84199803</v>
      </c>
      <c r="G1956" s="53">
        <v>164599319</v>
      </c>
      <c r="H1956" s="53">
        <v>0</v>
      </c>
      <c r="I1956" s="54">
        <f t="shared" si="32"/>
        <v>381619453</v>
      </c>
      <c r="J1956" s="52">
        <v>0</v>
      </c>
      <c r="M1956" s="38" t="str">
        <f>IF([1]totrevprm!O1956="","",[1]totrevprm!O1956)</f>
        <v/>
      </c>
    </row>
    <row r="1957" spans="1:13">
      <c r="A1957" s="49" t="s">
        <v>78</v>
      </c>
      <c r="B1957" s="46" t="s">
        <v>608</v>
      </c>
      <c r="C1957" s="50" t="s">
        <v>732</v>
      </c>
      <c r="D1957" s="51">
        <v>2000</v>
      </c>
      <c r="E1957" s="53">
        <v>134954407</v>
      </c>
      <c r="F1957" s="53">
        <v>36964454</v>
      </c>
      <c r="G1957" s="53">
        <v>279127327</v>
      </c>
      <c r="H1957" s="53">
        <v>0</v>
      </c>
      <c r="I1957" s="54">
        <f t="shared" si="32"/>
        <v>451046188</v>
      </c>
      <c r="J1957" s="52">
        <v>0</v>
      </c>
      <c r="M1957" s="38" t="str">
        <f>IF([1]totrevprm!O1957="","",[1]totrevprm!O1957)</f>
        <v/>
      </c>
    </row>
    <row r="1958" spans="1:13">
      <c r="A1958" s="49" t="s">
        <v>78</v>
      </c>
      <c r="B1958" s="46" t="s">
        <v>608</v>
      </c>
      <c r="C1958" s="50" t="s">
        <v>732</v>
      </c>
      <c r="D1958" s="51">
        <v>2001</v>
      </c>
      <c r="E1958" s="53">
        <v>140089330</v>
      </c>
      <c r="F1958" s="53">
        <v>119654633</v>
      </c>
      <c r="G1958" s="53">
        <v>307424423</v>
      </c>
      <c r="H1958" s="53">
        <v>0</v>
      </c>
      <c r="I1958" s="54">
        <f t="shared" si="32"/>
        <v>567168386</v>
      </c>
      <c r="J1958" s="52">
        <v>0</v>
      </c>
      <c r="M1958" s="38" t="str">
        <f>IF([1]totrevprm!O1958="","",[1]totrevprm!O1958)</f>
        <v/>
      </c>
    </row>
    <row r="1959" spans="1:13">
      <c r="A1959" s="49" t="s">
        <v>78</v>
      </c>
      <c r="B1959" s="46" t="s">
        <v>608</v>
      </c>
      <c r="C1959" s="50" t="s">
        <v>732</v>
      </c>
      <c r="D1959" s="51">
        <v>2002</v>
      </c>
      <c r="E1959" s="53">
        <v>161370610</v>
      </c>
      <c r="F1959" s="53">
        <v>177390092</v>
      </c>
      <c r="G1959" s="53">
        <v>328364747</v>
      </c>
      <c r="H1959" s="53">
        <v>0</v>
      </c>
      <c r="I1959" s="54">
        <f t="shared" si="32"/>
        <v>667125449</v>
      </c>
      <c r="J1959" s="52">
        <v>0</v>
      </c>
      <c r="M1959" s="38" t="str">
        <f>IF([1]totrevprm!O1959="","",[1]totrevprm!O1959)</f>
        <v/>
      </c>
    </row>
    <row r="1960" spans="1:13">
      <c r="A1960" s="49" t="s">
        <v>78</v>
      </c>
      <c r="B1960" s="46" t="s">
        <v>608</v>
      </c>
      <c r="C1960" s="50" t="s">
        <v>732</v>
      </c>
      <c r="D1960" s="51">
        <v>2003</v>
      </c>
      <c r="E1960" s="55">
        <v>158450513</v>
      </c>
      <c r="F1960" s="55">
        <v>160053167</v>
      </c>
      <c r="G1960" s="55">
        <v>358083018</v>
      </c>
      <c r="H1960" s="53">
        <v>0</v>
      </c>
      <c r="I1960" s="54">
        <f t="shared" si="32"/>
        <v>676586698</v>
      </c>
      <c r="J1960" s="52">
        <v>0</v>
      </c>
      <c r="M1960" s="38" t="str">
        <f>IF([1]totrevprm!O1960="","",[1]totrevprm!O1960)</f>
        <v/>
      </c>
    </row>
    <row r="1961" spans="1:13">
      <c r="A1961" s="49" t="s">
        <v>78</v>
      </c>
      <c r="B1961" s="46" t="s">
        <v>608</v>
      </c>
      <c r="C1961" s="50" t="s">
        <v>732</v>
      </c>
      <c r="D1961" s="51">
        <v>2004</v>
      </c>
      <c r="E1961" s="55">
        <v>159012531</v>
      </c>
      <c r="F1961" s="55">
        <v>134792266</v>
      </c>
      <c r="G1961" s="55">
        <v>387015674</v>
      </c>
      <c r="H1961" s="53">
        <v>0</v>
      </c>
      <c r="I1961" s="54">
        <f t="shared" si="32"/>
        <v>680820471</v>
      </c>
      <c r="J1961" s="52">
        <v>0</v>
      </c>
      <c r="M1961" s="38" t="str">
        <f>IF([1]totrevprm!O1961="","",[1]totrevprm!O1961)</f>
        <v/>
      </c>
    </row>
    <row r="1962" spans="1:13">
      <c r="A1962" s="49" t="s">
        <v>78</v>
      </c>
      <c r="B1962" s="46" t="s">
        <v>608</v>
      </c>
      <c r="C1962" s="50"/>
      <c r="D1962" s="51">
        <v>2005</v>
      </c>
      <c r="E1962" s="55">
        <v>167391676</v>
      </c>
      <c r="F1962" s="55">
        <v>145690563</v>
      </c>
      <c r="G1962" s="55">
        <v>427144070.98000002</v>
      </c>
      <c r="H1962" s="53">
        <v>0</v>
      </c>
      <c r="I1962" s="54">
        <f t="shared" si="32"/>
        <v>740226309.98000002</v>
      </c>
      <c r="J1962" s="52">
        <v>0</v>
      </c>
      <c r="M1962" s="38" t="str">
        <f>IF([1]totrevprm!O1962="","",[1]totrevprm!O1962)</f>
        <v/>
      </c>
    </row>
    <row r="1963" spans="1:13">
      <c r="A1963" s="49" t="s">
        <v>78</v>
      </c>
      <c r="B1963" s="46" t="s">
        <v>608</v>
      </c>
      <c r="C1963" s="50"/>
      <c r="D1963" s="51">
        <v>2006</v>
      </c>
      <c r="E1963" s="56">
        <v>182910524</v>
      </c>
      <c r="F1963" s="56">
        <v>153648989</v>
      </c>
      <c r="G1963" s="56">
        <v>418980204</v>
      </c>
      <c r="H1963" s="56">
        <v>0</v>
      </c>
      <c r="I1963" s="54">
        <f t="shared" si="32"/>
        <v>755539717</v>
      </c>
      <c r="J1963" s="52">
        <v>0</v>
      </c>
      <c r="M1963" s="38" t="str">
        <f>IF([1]totrevprm!O1963="","",[1]totrevprm!O1963)</f>
        <v/>
      </c>
    </row>
    <row r="1964" spans="1:13">
      <c r="A1964" s="49" t="s">
        <v>78</v>
      </c>
      <c r="B1964" s="46" t="s">
        <v>608</v>
      </c>
      <c r="C1964" s="50"/>
      <c r="D1964" s="51">
        <v>2007</v>
      </c>
      <c r="E1964" s="56">
        <v>180717209</v>
      </c>
      <c r="F1964" s="56">
        <v>149039649</v>
      </c>
      <c r="G1964" s="56">
        <v>462168616</v>
      </c>
      <c r="H1964" s="56">
        <v>0</v>
      </c>
      <c r="I1964" s="54">
        <f t="shared" si="32"/>
        <v>791925474</v>
      </c>
      <c r="J1964" s="52">
        <v>0</v>
      </c>
      <c r="M1964" s="38" t="str">
        <f>IF([1]totrevprm!O1964="","",[1]totrevprm!O1964)</f>
        <v/>
      </c>
    </row>
    <row r="1965" spans="1:13">
      <c r="A1965" s="49" t="s">
        <v>78</v>
      </c>
      <c r="B1965" s="46" t="s">
        <v>608</v>
      </c>
      <c r="C1965" s="50"/>
      <c r="D1965" s="51">
        <v>2008</v>
      </c>
      <c r="E1965" s="56">
        <v>191747893</v>
      </c>
      <c r="F1965" s="56">
        <v>224541275</v>
      </c>
      <c r="G1965" s="56">
        <v>499628794</v>
      </c>
      <c r="H1965" s="56">
        <v>0</v>
      </c>
      <c r="I1965" s="54">
        <f t="shared" si="32"/>
        <v>915917962</v>
      </c>
      <c r="J1965" s="52">
        <v>0</v>
      </c>
      <c r="M1965" s="38" t="str">
        <f>IF([1]totrevprm!O1965="","",[1]totrevprm!O1965)</f>
        <v/>
      </c>
    </row>
    <row r="1966" spans="1:13">
      <c r="A1966" s="49" t="s">
        <v>78</v>
      </c>
      <c r="B1966" s="46" t="s">
        <v>608</v>
      </c>
      <c r="C1966" s="50"/>
      <c r="D1966" s="51">
        <v>2009</v>
      </c>
      <c r="E1966" s="56">
        <v>223997448</v>
      </c>
      <c r="F1966" s="56">
        <v>215799870</v>
      </c>
      <c r="G1966" s="56">
        <v>566909036</v>
      </c>
      <c r="H1966" s="56">
        <v>0</v>
      </c>
      <c r="I1966" s="54">
        <f t="shared" si="32"/>
        <v>1006706354</v>
      </c>
      <c r="J1966" s="52">
        <v>0</v>
      </c>
      <c r="M1966" s="38" t="str">
        <f>IF([1]totrevprm!O1966="","",[1]totrevprm!O1966)</f>
        <v/>
      </c>
    </row>
    <row r="1967" spans="1:13">
      <c r="A1967" s="49" t="s">
        <v>78</v>
      </c>
      <c r="B1967" s="46" t="s">
        <v>608</v>
      </c>
      <c r="C1967" s="50"/>
      <c r="D1967" s="51">
        <v>2010</v>
      </c>
      <c r="E1967" s="56">
        <v>231475665</v>
      </c>
      <c r="F1967" s="56">
        <v>177900568</v>
      </c>
      <c r="G1967" s="56">
        <v>539615942</v>
      </c>
      <c r="H1967" s="56">
        <v>0</v>
      </c>
      <c r="I1967" s="54">
        <f t="shared" si="32"/>
        <v>948992175</v>
      </c>
      <c r="J1967" s="52">
        <v>0</v>
      </c>
      <c r="M1967" s="38" t="str">
        <f>IF([1]totrevprm!O1967="","",[1]totrevprm!O1967)</f>
        <v/>
      </c>
    </row>
    <row r="1968" spans="1:13">
      <c r="A1968" s="49" t="s">
        <v>78</v>
      </c>
      <c r="B1968" s="46" t="s">
        <v>608</v>
      </c>
      <c r="C1968" s="50"/>
      <c r="D1968" s="51">
        <v>2011</v>
      </c>
      <c r="E1968" s="56">
        <v>236765939</v>
      </c>
      <c r="F1968" s="56">
        <v>204037972</v>
      </c>
      <c r="G1968" s="56">
        <v>653704898</v>
      </c>
      <c r="H1968" s="56">
        <v>0</v>
      </c>
      <c r="I1968" s="54">
        <f t="shared" si="32"/>
        <v>1094508809</v>
      </c>
      <c r="J1968" s="52">
        <v>0</v>
      </c>
      <c r="M1968" s="38" t="str">
        <f>IF([1]totrevprm!O1968="","",[1]totrevprm!O1968)</f>
        <v/>
      </c>
    </row>
    <row r="1969" spans="1:13">
      <c r="A1969" s="49" t="s">
        <v>78</v>
      </c>
      <c r="B1969" s="46" t="s">
        <v>608</v>
      </c>
      <c r="C1969" s="50"/>
      <c r="D1969" s="51">
        <v>2012</v>
      </c>
      <c r="E1969" s="56">
        <v>263181234</v>
      </c>
      <c r="F1969" s="56">
        <v>217793921</v>
      </c>
      <c r="G1969" s="56">
        <v>581654370</v>
      </c>
      <c r="H1969" s="56">
        <v>0</v>
      </c>
      <c r="I1969" s="54">
        <f t="shared" si="32"/>
        <v>1062629525</v>
      </c>
      <c r="J1969" s="52">
        <v>0</v>
      </c>
      <c r="M1969" s="38" t="str">
        <f>IF([1]totrevprm!O1969="","",[1]totrevprm!O1969)</f>
        <v/>
      </c>
    </row>
    <row r="1970" spans="1:13">
      <c r="A1970" s="49" t="s">
        <v>78</v>
      </c>
      <c r="B1970" s="46" t="s">
        <v>608</v>
      </c>
      <c r="C1970" s="50"/>
      <c r="D1970" s="51">
        <v>2013</v>
      </c>
      <c r="E1970" s="56">
        <v>273349813</v>
      </c>
      <c r="F1970" s="56">
        <v>234916620</v>
      </c>
      <c r="G1970" s="56">
        <v>597008797</v>
      </c>
      <c r="H1970" s="56">
        <v>0</v>
      </c>
      <c r="I1970" s="54">
        <f t="shared" si="32"/>
        <v>1105275230</v>
      </c>
      <c r="J1970" s="52">
        <v>0</v>
      </c>
      <c r="M1970" s="38" t="str">
        <f>IF([1]totrevprm!O1970="","",[1]totrevprm!O1970)</f>
        <v/>
      </c>
    </row>
    <row r="1971" spans="1:13">
      <c r="A1971" s="49" t="s">
        <v>78</v>
      </c>
      <c r="B1971" s="46" t="s">
        <v>608</v>
      </c>
      <c r="C1971" s="50"/>
      <c r="D1971" s="51">
        <v>2014</v>
      </c>
      <c r="E1971" s="56">
        <v>275521224</v>
      </c>
      <c r="F1971" s="56">
        <v>252162533</v>
      </c>
      <c r="G1971" s="56">
        <v>630904451.29999995</v>
      </c>
      <c r="H1971" s="56">
        <v>0</v>
      </c>
      <c r="I1971" s="54">
        <f t="shared" si="32"/>
        <v>1158588208.3</v>
      </c>
      <c r="J1971" s="52">
        <v>0</v>
      </c>
      <c r="M1971" s="38" t="str">
        <f>IF([1]totrevprm!O1971="","",[1]totrevprm!O1971)</f>
        <v/>
      </c>
    </row>
    <row r="1972" spans="1:13">
      <c r="A1972" s="49" t="s">
        <v>78</v>
      </c>
      <c r="B1972" s="46" t="s">
        <v>608</v>
      </c>
      <c r="C1972" s="50"/>
      <c r="D1972" s="51">
        <v>2015</v>
      </c>
      <c r="E1972" s="56">
        <v>282207367</v>
      </c>
      <c r="F1972" s="56">
        <v>283440612</v>
      </c>
      <c r="G1972" s="56">
        <v>638288764.23099995</v>
      </c>
      <c r="H1972" s="56">
        <v>0</v>
      </c>
      <c r="I1972" s="54">
        <f t="shared" si="32"/>
        <v>1203936743.2309999</v>
      </c>
      <c r="J1972" s="52">
        <v>0</v>
      </c>
      <c r="M1972" s="38" t="str">
        <f>IF([1]totrevprm!O1972="","",[1]totrevprm!O1972)</f>
        <v/>
      </c>
    </row>
    <row r="1973" spans="1:13">
      <c r="A1973" s="49" t="s">
        <v>78</v>
      </c>
      <c r="B1973" s="46" t="s">
        <v>608</v>
      </c>
      <c r="C1973" s="50"/>
      <c r="D1973" s="51">
        <v>2016</v>
      </c>
      <c r="E1973" s="56">
        <v>271521207</v>
      </c>
      <c r="F1973" s="56">
        <v>331677202</v>
      </c>
      <c r="G1973" s="56">
        <v>651623704</v>
      </c>
      <c r="H1973" s="56">
        <v>0</v>
      </c>
      <c r="I1973" s="54">
        <f t="shared" si="32"/>
        <v>1254822113</v>
      </c>
      <c r="J1973" s="52">
        <v>0</v>
      </c>
      <c r="M1973" s="38" t="str">
        <f>IF([1]totrevprm!O1973="","",[1]totrevprm!O1973)</f>
        <v/>
      </c>
    </row>
    <row r="1974" spans="1:13">
      <c r="A1974" s="49" t="s">
        <v>78</v>
      </c>
      <c r="B1974" s="46" t="s">
        <v>608</v>
      </c>
      <c r="C1974" s="50"/>
      <c r="D1974" s="51">
        <v>2017</v>
      </c>
      <c r="E1974" s="56">
        <v>281742494</v>
      </c>
      <c r="F1974" s="56">
        <v>271110416</v>
      </c>
      <c r="G1974" s="56">
        <v>677450298.93000007</v>
      </c>
      <c r="H1974" s="56">
        <v>0</v>
      </c>
      <c r="I1974" s="54">
        <f t="shared" si="32"/>
        <v>1230303208.9300001</v>
      </c>
      <c r="J1974" s="52">
        <v>0</v>
      </c>
      <c r="M1974" s="38" t="str">
        <f>IF([1]totrevprm!O1974="","",[1]totrevprm!O1974)</f>
        <v/>
      </c>
    </row>
    <row r="1975" spans="1:13">
      <c r="A1975" s="49" t="s">
        <v>78</v>
      </c>
      <c r="B1975" s="46" t="s">
        <v>608</v>
      </c>
      <c r="C1975" s="50"/>
      <c r="D1975" s="51">
        <v>2018</v>
      </c>
      <c r="E1975" s="56">
        <v>272882488</v>
      </c>
      <c r="F1975" s="56">
        <v>421435877</v>
      </c>
      <c r="G1975" s="56">
        <v>798791040.42000008</v>
      </c>
      <c r="H1975" s="56">
        <v>0</v>
      </c>
      <c r="I1975" s="54">
        <f t="shared" si="32"/>
        <v>1493109405.4200001</v>
      </c>
      <c r="J1975" s="56">
        <v>0</v>
      </c>
      <c r="M1975" s="38" t="str">
        <f>IF([1]totrevprm!O1975="","",[1]totrevprm!O1975)</f>
        <v/>
      </c>
    </row>
    <row r="1976" spans="1:13">
      <c r="A1976" s="49" t="s">
        <v>78</v>
      </c>
      <c r="B1976" s="46" t="s">
        <v>608</v>
      </c>
      <c r="C1976" s="50"/>
      <c r="D1976" s="51">
        <v>2019</v>
      </c>
      <c r="E1976" s="56">
        <v>375458402</v>
      </c>
      <c r="F1976" s="56">
        <v>316566250</v>
      </c>
      <c r="G1976" s="56">
        <v>794568555.39999998</v>
      </c>
      <c r="H1976" s="56">
        <v>0</v>
      </c>
      <c r="I1976" s="54">
        <f t="shared" si="32"/>
        <v>1486593207.4000001</v>
      </c>
      <c r="J1976" s="56">
        <v>0</v>
      </c>
      <c r="K1976" s="61" t="s">
        <v>772</v>
      </c>
      <c r="L1976" t="s">
        <v>720</v>
      </c>
      <c r="M1976" s="38" t="str">
        <f>IF([1]totrevprm!O1976="","",[1]totrevprm!O1976)</f>
        <v>Yes</v>
      </c>
    </row>
    <row r="1977" spans="1:13">
      <c r="A1977" s="49" t="s">
        <v>78</v>
      </c>
      <c r="B1977" s="46" t="s">
        <v>608</v>
      </c>
      <c r="C1977" s="50"/>
      <c r="D1977" s="51">
        <v>2020</v>
      </c>
      <c r="E1977" s="56">
        <v>291049094</v>
      </c>
      <c r="F1977" s="56">
        <v>248114154</v>
      </c>
      <c r="G1977" s="56">
        <v>799168038</v>
      </c>
      <c r="H1977" s="56">
        <v>0</v>
      </c>
      <c r="I1977" s="54">
        <f t="shared" si="32"/>
        <v>1338331286</v>
      </c>
      <c r="J1977" s="56">
        <v>0</v>
      </c>
      <c r="K1977" s="61" t="s">
        <v>739</v>
      </c>
      <c r="L1977" t="s">
        <v>720</v>
      </c>
      <c r="M1977" s="38" t="str">
        <f>IF([1]totrevprm!O1977="","",[1]totrevprm!O1977)</f>
        <v/>
      </c>
    </row>
    <row r="1978" spans="1:13">
      <c r="A1978" s="49" t="s">
        <v>78</v>
      </c>
      <c r="B1978" s="46" t="s">
        <v>608</v>
      </c>
      <c r="C1978" s="50"/>
      <c r="D1978" s="51">
        <v>2021</v>
      </c>
      <c r="E1978" s="56">
        <v>313216443</v>
      </c>
      <c r="F1978" s="56">
        <v>328101016</v>
      </c>
      <c r="G1978" s="56">
        <v>833741977</v>
      </c>
      <c r="H1978" s="56">
        <v>0</v>
      </c>
      <c r="I1978" s="54">
        <f t="shared" si="32"/>
        <v>1475059436</v>
      </c>
      <c r="J1978" s="56">
        <v>0</v>
      </c>
      <c r="K1978" s="61" t="s">
        <v>739</v>
      </c>
      <c r="L1978" t="s">
        <v>720</v>
      </c>
      <c r="M1978" s="38"/>
    </row>
    <row r="1979" spans="1:13">
      <c r="A1979" s="49" t="s">
        <v>78</v>
      </c>
      <c r="B1979" s="46" t="s">
        <v>608</v>
      </c>
      <c r="C1979" s="50"/>
      <c r="D1979" s="51">
        <v>2022</v>
      </c>
      <c r="E1979" s="56">
        <v>344129719</v>
      </c>
      <c r="F1979" s="56">
        <v>500854155</v>
      </c>
      <c r="G1979" s="56">
        <v>912329339</v>
      </c>
      <c r="H1979" s="56">
        <v>0</v>
      </c>
      <c r="I1979" s="54">
        <f t="shared" si="32"/>
        <v>1757313213</v>
      </c>
      <c r="J1979" s="56">
        <v>0</v>
      </c>
      <c r="K1979" s="61" t="s">
        <v>739</v>
      </c>
      <c r="L1979" t="s">
        <v>720</v>
      </c>
    </row>
    <row r="1980" spans="1:13">
      <c r="A1980" s="49" t="s">
        <v>78</v>
      </c>
      <c r="B1980" s="46" t="s">
        <v>608</v>
      </c>
      <c r="C1980" s="50"/>
      <c r="D1980" s="51">
        <v>2023</v>
      </c>
      <c r="E1980" s="56">
        <v>345875198</v>
      </c>
      <c r="F1980" s="56">
        <v>475541319.92500001</v>
      </c>
      <c r="G1980" s="56">
        <v>1009159751</v>
      </c>
      <c r="H1980" s="56">
        <v>0</v>
      </c>
      <c r="I1980" s="54">
        <f t="shared" si="32"/>
        <v>1830576268.925</v>
      </c>
      <c r="J1980" s="52">
        <v>0</v>
      </c>
      <c r="K1980" s="61" t="s">
        <v>739</v>
      </c>
    </row>
    <row r="1981" spans="1:13">
      <c r="A1981" s="49" t="s">
        <v>78</v>
      </c>
      <c r="B1981" s="46" t="s">
        <v>608</v>
      </c>
      <c r="C1981" s="50"/>
      <c r="D1981" s="57">
        <v>2024</v>
      </c>
      <c r="E1981" s="52">
        <v>372820433</v>
      </c>
      <c r="F1981" s="52">
        <v>597542547.56999993</v>
      </c>
      <c r="G1981" s="52">
        <v>1034958261.2048</v>
      </c>
      <c r="H1981" s="52">
        <v>0</v>
      </c>
      <c r="I1981" s="54">
        <f t="shared" si="32"/>
        <v>2005321241.7747998</v>
      </c>
      <c r="J1981" s="56">
        <v>0</v>
      </c>
      <c r="K1981" s="61" t="s">
        <v>739</v>
      </c>
      <c r="M1981" s="38"/>
    </row>
    <row r="1982" spans="1:13">
      <c r="A1982" s="49"/>
      <c r="B1982" s="50"/>
      <c r="C1982" s="50"/>
      <c r="E1982" s="53"/>
      <c r="F1982" s="53"/>
      <c r="G1982" s="53"/>
      <c r="H1982" s="53"/>
      <c r="I1982" s="58"/>
      <c r="J1982" s="52"/>
    </row>
    <row r="1983" spans="1:13">
      <c r="A1983" s="74" t="s">
        <v>825</v>
      </c>
      <c r="B1983" s="74" t="s">
        <v>825</v>
      </c>
      <c r="C1983" s="57"/>
      <c r="D1983" s="57">
        <v>1988</v>
      </c>
      <c r="E1983" s="53">
        <f>E7+E45+E83+E121+E159+E197+E235+E273+E311+E349+E387+E425+E463+E501+E539+E577+E615+E653+E691+E729+E767+E805+E843+E881+E919+E957+E995+E1033+E1071+E1109+E1147+E1185+E1223+E1261+E1299+E1337+E1375+E1413+E1451+E1489+E1527+E1565+E1603+E1641+E1679+E1717+E1755+E1793+E1831+E1869+E1907+E1945</f>
        <v>56388254348</v>
      </c>
      <c r="F1983" s="53">
        <f>F7+F45+F83+F121+F159+F197+F235+F273+F311+F349+F387+F425+F463+F501+F539+F577+F615+F653+F691+F729+F767+F805+F843+F881+F919+F957+F995+F1033+F1071+F1109+F1147+F1185+F1223+F1261+F1299+F1337+F1375+F1413+F1451+F1489+F1527+F1565+F1603+F1641+F1679+F1717+F1755+F1793+F1831+F1869+F1907+F1945</f>
        <v>47263267591</v>
      </c>
      <c r="G1983" s="53">
        <f>G7+G45+G83+G121+G159+G197+G235+G273+G311+G349+G387+G425+G463+G501+G539+G577+G615+G653+G691+G729+G767+G805+G843+G881+G919+G957+G995+G1033+G1071+G1109+G1147+G1185+G1223+G1261+G1299+G1337+G1375+G1413+G1451+G1489+G1527+G1565+G1603+G1641+G1679+G1717+G1755+G1793+G1831+G1869+G1907+G1945</f>
        <v>67909694904</v>
      </c>
      <c r="H1983" s="53">
        <f>H7+H45+H83+H121+H159+H197+H235+H273+H311+H349+H387+H425+H463+H501+H539+H577+H615+H653+H691+H729+H767+H805+H843+H881+H919+H957+H995+H1033+H1071+H1109+H1147+H1185+H1223+H1261+H1299+H1337+H1375+H1413+H1451+H1489+H1527+H1565+H1603+H1641+H1679+H1717+H1755+H1793+H1831+H1869+H1907+H1945</f>
        <v>13003786835</v>
      </c>
      <c r="I1983" s="54">
        <f>+I45+I7+I121+I83+I159+I197+I235+I273+I349+I387+I425+I577+I463+I501+I539+I615+I653+I691+I805+I767+I729+I843+I881+I957+I919+I995+I1261+I1299+I1033+I1109+I1147+I1185+I1071+I1223+I1337+I1375+I1413+I1451+I1489+I1527+I1565+I1603+I1641+I1679+I1717+I1793+I1755+I1831+I1907+I1869+I1945+I311</f>
        <v>184565003678</v>
      </c>
      <c r="J1983" s="52">
        <f>+J45+J7+J121+J83+J159+J197+J235+J273+J349+J387+J425+J577+J463+J501+J539+J615+J653+J691+J805+J767+J729+J843+J881+J957+J919+J995+J1261+J1299+J1033+J1109+J1147+J1185+J1071+J1223+J1337+J1375+J1413+J1451+J1489+J1527+J1565+J1603+J1641+J1679+J1717+J1793+J1755+J1831+J1907+J1869+J1945+J311</f>
        <v>65627302</v>
      </c>
    </row>
    <row r="1984" spans="1:13">
      <c r="A1984" s="74" t="s">
        <v>825</v>
      </c>
      <c r="B1984" s="74" t="s">
        <v>825</v>
      </c>
      <c r="C1984" s="38"/>
      <c r="D1984" s="57">
        <v>1989</v>
      </c>
      <c r="E1984" s="53">
        <f t="shared" ref="E1984:H1999" si="33">E8+E46+E84+E122+E160+E198+E236+E274+E312+E350+E388+E426+E464+E502+E540+E578+E616+E654+E692+E730+E768+E806+E844+E882+E920+E958+E996+E1034+E1072+E1110+E1148+E1186+E1224+E1262+E1300+E1338+E1376+E1414+E1452+E1490+E1528+E1566+E1604+E1642+E1680+E1718+E1756+E1794+E1832+E1870+E1908+E1946</f>
        <v>55236476397</v>
      </c>
      <c r="F1984" s="53">
        <f t="shared" si="33"/>
        <v>51478466586</v>
      </c>
      <c r="G1984" s="53">
        <f t="shared" si="33"/>
        <v>72068971823</v>
      </c>
      <c r="H1984" s="53">
        <f t="shared" si="33"/>
        <v>13398723461</v>
      </c>
      <c r="I1984" s="54">
        <f t="shared" ref="I1984:J1999" si="34">+I46+I8+I122+I84+I160+I198+I236+I274+I350+I388+I426+I578+I464+I502+I540+I616+I654+I692+I806+I768+I730+I844+I882+I958+I920+I996+I1262+I1300+I1034+I1110+I1148+I1186+I1072+I1224+I1338+I1376+I1414+I1452+I1490+I1528+I1566+I1604+I1642+I1680+I1718+I1794+I1756+I1832+I1908+I1870+I1946+I312</f>
        <v>192182638267</v>
      </c>
      <c r="J1984" s="52">
        <f t="shared" si="34"/>
        <v>83207030</v>
      </c>
    </row>
    <row r="1985" spans="1:10">
      <c r="A1985" s="74" t="s">
        <v>825</v>
      </c>
      <c r="B1985" s="74" t="s">
        <v>825</v>
      </c>
      <c r="C1985" s="38"/>
      <c r="D1985" s="57">
        <v>1990</v>
      </c>
      <c r="E1985" s="53">
        <f t="shared" si="33"/>
        <v>59745978030</v>
      </c>
      <c r="F1985" s="53">
        <f t="shared" si="33"/>
        <v>59210480857.200012</v>
      </c>
      <c r="G1985" s="53">
        <f t="shared" si="33"/>
        <v>76031191445</v>
      </c>
      <c r="H1985" s="53">
        <f t="shared" si="33"/>
        <v>13185715755</v>
      </c>
      <c r="I1985" s="54">
        <f t="shared" si="34"/>
        <v>208173366087.20001</v>
      </c>
      <c r="J1985" s="52">
        <f t="shared" si="34"/>
        <v>86486025</v>
      </c>
    </row>
    <row r="1986" spans="1:10">
      <c r="A1986" s="74" t="s">
        <v>825</v>
      </c>
      <c r="B1986" s="74" t="s">
        <v>825</v>
      </c>
      <c r="C1986" s="38"/>
      <c r="D1986" s="57">
        <v>1991</v>
      </c>
      <c r="E1986" s="53">
        <f t="shared" si="33"/>
        <v>63124415917</v>
      </c>
      <c r="F1986" s="53">
        <f t="shared" si="33"/>
        <v>54110160997</v>
      </c>
      <c r="G1986" s="53">
        <f t="shared" si="33"/>
        <v>77211223791</v>
      </c>
      <c r="H1986" s="53">
        <f t="shared" si="33"/>
        <v>15049158581</v>
      </c>
      <c r="I1986" s="54">
        <f t="shared" si="34"/>
        <v>209494959286</v>
      </c>
      <c r="J1986" s="52">
        <f t="shared" si="34"/>
        <v>101244119</v>
      </c>
    </row>
    <row r="1987" spans="1:10">
      <c r="A1987" s="74" t="s">
        <v>825</v>
      </c>
      <c r="B1987" s="74" t="s">
        <v>825</v>
      </c>
      <c r="C1987" s="38"/>
      <c r="D1987" s="57">
        <v>1992</v>
      </c>
      <c r="E1987" s="53">
        <f t="shared" si="33"/>
        <v>66782571580</v>
      </c>
      <c r="F1987" s="53">
        <f t="shared" si="33"/>
        <v>56703419958.799988</v>
      </c>
      <c r="G1987" s="53">
        <f t="shared" si="33"/>
        <v>79348307053</v>
      </c>
      <c r="H1987" s="53">
        <f t="shared" si="33"/>
        <v>12888318201</v>
      </c>
      <c r="I1987" s="54">
        <f t="shared" si="34"/>
        <v>215722616792.80002</v>
      </c>
      <c r="J1987" s="52">
        <f t="shared" si="34"/>
        <v>126323239</v>
      </c>
    </row>
    <row r="1988" spans="1:10">
      <c r="A1988" s="74" t="s">
        <v>825</v>
      </c>
      <c r="B1988" s="74" t="s">
        <v>825</v>
      </c>
      <c r="C1988" s="38"/>
      <c r="D1988" s="57">
        <v>1993</v>
      </c>
      <c r="E1988" s="53">
        <f t="shared" si="33"/>
        <v>71523564638</v>
      </c>
      <c r="F1988" s="53">
        <f t="shared" si="33"/>
        <v>48902588001</v>
      </c>
      <c r="G1988" s="53">
        <f t="shared" si="33"/>
        <v>82280654795</v>
      </c>
      <c r="H1988" s="53">
        <f t="shared" si="33"/>
        <v>12195899332</v>
      </c>
      <c r="I1988" s="54">
        <f t="shared" si="34"/>
        <v>214902706766</v>
      </c>
      <c r="J1988" s="52">
        <f t="shared" si="34"/>
        <v>116194692</v>
      </c>
    </row>
    <row r="1989" spans="1:10">
      <c r="A1989" s="74" t="s">
        <v>825</v>
      </c>
      <c r="B1989" s="74" t="s">
        <v>825</v>
      </c>
      <c r="C1989" s="38"/>
      <c r="D1989" s="57">
        <v>1994</v>
      </c>
      <c r="E1989" s="53">
        <f t="shared" si="33"/>
        <v>76465077072</v>
      </c>
      <c r="F1989" s="53">
        <f t="shared" si="33"/>
        <v>64056662631</v>
      </c>
      <c r="G1989" s="53">
        <f t="shared" si="33"/>
        <v>82657912116</v>
      </c>
      <c r="H1989" s="53">
        <f t="shared" si="33"/>
        <v>11394978331</v>
      </c>
      <c r="I1989" s="54">
        <f t="shared" si="34"/>
        <v>234574630150</v>
      </c>
      <c r="J1989" s="52">
        <f t="shared" si="34"/>
        <v>127716287</v>
      </c>
    </row>
    <row r="1990" spans="1:10">
      <c r="A1990" s="74" t="s">
        <v>825</v>
      </c>
      <c r="B1990" s="74" t="s">
        <v>825</v>
      </c>
      <c r="C1990" s="38"/>
      <c r="D1990" s="57">
        <v>1995</v>
      </c>
      <c r="E1990" s="53">
        <f t="shared" si="33"/>
        <v>81386026586</v>
      </c>
      <c r="F1990" s="53">
        <f t="shared" si="33"/>
        <v>65051449590</v>
      </c>
      <c r="G1990" s="53">
        <f t="shared" si="33"/>
        <v>88302485204</v>
      </c>
      <c r="H1990" s="53">
        <f t="shared" si="33"/>
        <v>10670395993</v>
      </c>
      <c r="I1990" s="54">
        <f t="shared" si="34"/>
        <v>245410357373</v>
      </c>
      <c r="J1990" s="52">
        <f t="shared" si="34"/>
        <v>147261114</v>
      </c>
    </row>
    <row r="1991" spans="1:10">
      <c r="A1991" s="74" t="s">
        <v>825</v>
      </c>
      <c r="B1991" s="74" t="s">
        <v>825</v>
      </c>
      <c r="C1991" s="38"/>
      <c r="D1991" s="57">
        <v>1996</v>
      </c>
      <c r="E1991" s="53">
        <f t="shared" si="33"/>
        <v>80118134719</v>
      </c>
      <c r="F1991" s="53">
        <f t="shared" si="33"/>
        <v>56008408418</v>
      </c>
      <c r="G1991" s="53">
        <f t="shared" si="33"/>
        <v>93955094633</v>
      </c>
      <c r="H1991" s="53">
        <f t="shared" si="33"/>
        <v>8691527510</v>
      </c>
      <c r="I1991" s="54">
        <f t="shared" si="34"/>
        <v>238773165280</v>
      </c>
      <c r="J1991" s="52">
        <f t="shared" si="34"/>
        <v>115973403</v>
      </c>
    </row>
    <row r="1992" spans="1:10">
      <c r="A1992" s="74" t="s">
        <v>825</v>
      </c>
      <c r="B1992" s="74" t="s">
        <v>825</v>
      </c>
      <c r="C1992" s="38"/>
      <c r="D1992" s="57">
        <v>1997</v>
      </c>
      <c r="E1992" s="53">
        <f t="shared" si="33"/>
        <v>81291968089</v>
      </c>
      <c r="F1992" s="53">
        <f t="shared" si="33"/>
        <v>60690697981</v>
      </c>
      <c r="G1992" s="53">
        <f t="shared" si="33"/>
        <v>95865833782</v>
      </c>
      <c r="H1992" s="53">
        <f t="shared" si="33"/>
        <v>9343241569</v>
      </c>
      <c r="I1992" s="54">
        <f t="shared" si="34"/>
        <v>247191741421</v>
      </c>
      <c r="J1992" s="52">
        <f t="shared" si="34"/>
        <v>131079061</v>
      </c>
    </row>
    <row r="1993" spans="1:10">
      <c r="A1993" s="74" t="s">
        <v>825</v>
      </c>
      <c r="B1993" s="74" t="s">
        <v>825</v>
      </c>
      <c r="C1993" s="38"/>
      <c r="D1993" s="57">
        <v>1998</v>
      </c>
      <c r="E1993" s="53">
        <f t="shared" si="33"/>
        <v>84536044451</v>
      </c>
      <c r="F1993" s="53">
        <f t="shared" si="33"/>
        <v>58426760693</v>
      </c>
      <c r="G1993" s="53">
        <f t="shared" si="33"/>
        <v>101781346921</v>
      </c>
      <c r="H1993" s="53">
        <f t="shared" si="33"/>
        <v>7868201364</v>
      </c>
      <c r="I1993" s="54">
        <f t="shared" si="34"/>
        <v>252612353429</v>
      </c>
      <c r="J1993" s="52">
        <f t="shared" si="34"/>
        <v>126213567</v>
      </c>
    </row>
    <row r="1994" spans="1:10">
      <c r="A1994" s="74" t="s">
        <v>825</v>
      </c>
      <c r="B1994" s="74" t="s">
        <v>825</v>
      </c>
      <c r="C1994" s="38"/>
      <c r="D1994" s="57">
        <v>1999</v>
      </c>
      <c r="E1994" s="53">
        <f t="shared" si="33"/>
        <v>83270387788</v>
      </c>
      <c r="F1994" s="53">
        <f t="shared" si="33"/>
        <v>78982290908</v>
      </c>
      <c r="G1994" s="53">
        <f t="shared" si="33"/>
        <v>110138309203</v>
      </c>
      <c r="H1994" s="53">
        <f t="shared" si="33"/>
        <v>10556342192</v>
      </c>
      <c r="I1994" s="54">
        <f t="shared" si="34"/>
        <v>282947330091</v>
      </c>
      <c r="J1994" s="52">
        <f t="shared" si="34"/>
        <v>156700755</v>
      </c>
    </row>
    <row r="1995" spans="1:10">
      <c r="A1995" s="74" t="s">
        <v>825</v>
      </c>
      <c r="B1995" s="74" t="s">
        <v>825</v>
      </c>
      <c r="C1995" s="38"/>
      <c r="D1995" s="57">
        <v>2000</v>
      </c>
      <c r="E1995" s="53">
        <f t="shared" si="33"/>
        <v>86513095925</v>
      </c>
      <c r="F1995" s="53">
        <f t="shared" si="33"/>
        <v>87438425121</v>
      </c>
      <c r="G1995" s="53">
        <f t="shared" si="33"/>
        <v>119747691202</v>
      </c>
      <c r="H1995" s="53">
        <f t="shared" si="33"/>
        <v>9908443089</v>
      </c>
      <c r="I1995" s="54">
        <f t="shared" si="34"/>
        <v>303607655337</v>
      </c>
      <c r="J1995" s="52">
        <f t="shared" si="34"/>
        <v>183293590</v>
      </c>
    </row>
    <row r="1996" spans="1:10">
      <c r="A1996" s="74" t="s">
        <v>825</v>
      </c>
      <c r="B1996" s="74" t="s">
        <v>825</v>
      </c>
      <c r="C1996" s="38"/>
      <c r="D1996" s="57">
        <v>2001</v>
      </c>
      <c r="E1996" s="53">
        <f t="shared" si="33"/>
        <v>86584179826</v>
      </c>
      <c r="F1996" s="53">
        <f t="shared" si="33"/>
        <v>119908161439.33998</v>
      </c>
      <c r="G1996" s="53">
        <f t="shared" si="33"/>
        <v>127080474825</v>
      </c>
      <c r="H1996" s="53">
        <f t="shared" si="33"/>
        <v>8805598828</v>
      </c>
      <c r="I1996" s="54">
        <f t="shared" si="34"/>
        <v>342378414918.34003</v>
      </c>
      <c r="J1996" s="52">
        <f t="shared" si="34"/>
        <v>209532372</v>
      </c>
    </row>
    <row r="1997" spans="1:10">
      <c r="A1997" s="74" t="s">
        <v>825</v>
      </c>
      <c r="B1997" s="74" t="s">
        <v>825</v>
      </c>
      <c r="C1997" s="38"/>
      <c r="D1997" s="57">
        <v>2002</v>
      </c>
      <c r="E1997" s="53">
        <f t="shared" si="33"/>
        <v>89188766523</v>
      </c>
      <c r="F1997" s="53">
        <f t="shared" si="33"/>
        <v>159868596257</v>
      </c>
      <c r="G1997" s="53">
        <f t="shared" si="33"/>
        <v>131848549131</v>
      </c>
      <c r="H1997" s="53">
        <f t="shared" si="33"/>
        <v>10010314823</v>
      </c>
      <c r="I1997" s="54">
        <f t="shared" si="34"/>
        <v>390916226734</v>
      </c>
      <c r="J1997" s="52">
        <f t="shared" si="34"/>
        <v>267549817</v>
      </c>
    </row>
    <row r="1998" spans="1:10">
      <c r="A1998" s="74" t="s">
        <v>825</v>
      </c>
      <c r="B1998" s="74" t="s">
        <v>825</v>
      </c>
      <c r="C1998" s="38"/>
      <c r="D1998" s="57">
        <v>2003</v>
      </c>
      <c r="E1998" s="53">
        <f t="shared" si="33"/>
        <v>93464790691</v>
      </c>
      <c r="F1998" s="53">
        <f t="shared" si="33"/>
        <v>144016510266</v>
      </c>
      <c r="G1998" s="53">
        <f t="shared" si="33"/>
        <v>141196916058</v>
      </c>
      <c r="H1998" s="53">
        <f t="shared" si="33"/>
        <v>9954299225</v>
      </c>
      <c r="I1998" s="54">
        <f t="shared" ref="I1998:I2017" si="35">SUM(E1998:H1998)</f>
        <v>388632516240</v>
      </c>
      <c r="J1998" s="52">
        <f t="shared" si="34"/>
        <v>353051201</v>
      </c>
    </row>
    <row r="1999" spans="1:10">
      <c r="A1999" s="74" t="s">
        <v>825</v>
      </c>
      <c r="B1999" s="74" t="s">
        <v>825</v>
      </c>
      <c r="C1999" s="38"/>
      <c r="D1999" s="57">
        <v>2004</v>
      </c>
      <c r="E1999" s="53">
        <f t="shared" si="33"/>
        <v>97758552855</v>
      </c>
      <c r="F1999" s="53">
        <f t="shared" si="33"/>
        <v>128661045820</v>
      </c>
      <c r="G1999" s="53">
        <f t="shared" si="33"/>
        <v>151688095291</v>
      </c>
      <c r="H1999" s="53">
        <f t="shared" si="33"/>
        <v>10309438230</v>
      </c>
      <c r="I1999" s="54">
        <f t="shared" si="35"/>
        <v>388417132196</v>
      </c>
      <c r="J1999" s="52">
        <f t="shared" si="34"/>
        <v>1194675812</v>
      </c>
    </row>
    <row r="2000" spans="1:10">
      <c r="A2000" s="74" t="s">
        <v>825</v>
      </c>
      <c r="B2000" s="74" t="s">
        <v>825</v>
      </c>
      <c r="C2000" s="38"/>
      <c r="D2000" s="57">
        <v>2005</v>
      </c>
      <c r="E2000" s="53">
        <f t="shared" ref="E2000:H2015" si="36">E24+E62+E100+E138+E176+E214+E252+E290+E328+E366+E404+E442+E480+E518+E556+E594+E632+E670+E708+E746+E784+E822+E860+E898+E936+E974+E1012+E1050+E1088+E1126+E1164+E1202+E1240+E1278+E1316+E1354+E1392+E1430+E1468+E1506+E1544+E1582+E1620+E1658+E1696+E1734+E1772+E1810+E1848+E1886+E1924+E1962</f>
        <v>99468894303</v>
      </c>
      <c r="F2000" s="53">
        <f t="shared" si="36"/>
        <v>115824241087</v>
      </c>
      <c r="G2000" s="53">
        <f t="shared" si="36"/>
        <v>169255920539.65988</v>
      </c>
      <c r="H2000" s="53">
        <f t="shared" si="36"/>
        <v>14193384899</v>
      </c>
      <c r="I2000" s="54">
        <f t="shared" si="35"/>
        <v>398742440828.65991</v>
      </c>
      <c r="J2000" s="52">
        <f t="shared" ref="J2000:J2019" si="37">+J62+J24+J138+J100+J176+J214+J252+J290+J366+J404+J442+J594+J480+J518+J556+J632+J670+J708+J822+J784+J746+J860+J898+J974+J936+J1012+J1278+J1316+J1050+J1126+J1164+J1202+J1088+J1240+J1354+J1392+J1430+J1468+J1506+J1544+J1582+J1620+J1658+J1696+J1734+J1810+J1772+J1848+J1924+J1886+J1962+J328</f>
        <v>462776297</v>
      </c>
    </row>
    <row r="2001" spans="1:10">
      <c r="A2001" s="74" t="s">
        <v>825</v>
      </c>
      <c r="B2001" s="74" t="s">
        <v>825</v>
      </c>
      <c r="C2001" s="38"/>
      <c r="D2001" s="57">
        <v>2006</v>
      </c>
      <c r="E2001" s="53">
        <f t="shared" si="36"/>
        <v>106816940970</v>
      </c>
      <c r="F2001" s="53">
        <f t="shared" si="36"/>
        <v>131414424724</v>
      </c>
      <c r="G2001" s="53">
        <f t="shared" si="36"/>
        <v>186537784151</v>
      </c>
      <c r="H2001" s="53">
        <f t="shared" si="36"/>
        <v>11170278020</v>
      </c>
      <c r="I2001" s="54">
        <f t="shared" si="35"/>
        <v>435939427865</v>
      </c>
      <c r="J2001" s="52">
        <f t="shared" si="37"/>
        <v>751654115</v>
      </c>
    </row>
    <row r="2002" spans="1:10">
      <c r="A2002" s="74" t="s">
        <v>825</v>
      </c>
      <c r="B2002" s="74" t="s">
        <v>825</v>
      </c>
      <c r="C2002" s="38"/>
      <c r="D2002" s="57">
        <v>2007</v>
      </c>
      <c r="E2002" s="53">
        <f t="shared" si="36"/>
        <v>111078083735</v>
      </c>
      <c r="F2002" s="53">
        <f t="shared" si="36"/>
        <v>131995573268</v>
      </c>
      <c r="G2002" s="53">
        <f t="shared" si="36"/>
        <v>222446629264</v>
      </c>
      <c r="H2002" s="53">
        <f t="shared" si="36"/>
        <v>10766647202</v>
      </c>
      <c r="I2002" s="54">
        <f t="shared" si="35"/>
        <v>476286933469</v>
      </c>
      <c r="J2002" s="52">
        <f t="shared" si="37"/>
        <v>763710560</v>
      </c>
    </row>
    <row r="2003" spans="1:10">
      <c r="A2003" s="74" t="s">
        <v>825</v>
      </c>
      <c r="B2003" s="74" t="s">
        <v>825</v>
      </c>
      <c r="C2003" s="38"/>
      <c r="D2003" s="57">
        <v>2008</v>
      </c>
      <c r="E2003" s="53">
        <f t="shared" si="36"/>
        <v>113872016914</v>
      </c>
      <c r="F2003" s="53">
        <f t="shared" si="36"/>
        <v>177517861674</v>
      </c>
      <c r="G2003" s="53">
        <f t="shared" si="36"/>
        <v>239512104752</v>
      </c>
      <c r="H2003" s="53">
        <f t="shared" si="36"/>
        <v>12900051392</v>
      </c>
      <c r="I2003" s="54">
        <f t="shared" si="35"/>
        <v>543802034732</v>
      </c>
      <c r="J2003" s="52">
        <f t="shared" si="37"/>
        <v>916292536</v>
      </c>
    </row>
    <row r="2004" spans="1:10">
      <c r="A2004" s="74" t="s">
        <v>825</v>
      </c>
      <c r="B2004" s="74" t="s">
        <v>825</v>
      </c>
      <c r="C2004" s="38"/>
      <c r="D2004" s="57">
        <v>2009</v>
      </c>
      <c r="E2004" s="53">
        <f t="shared" si="36"/>
        <v>119443043510</v>
      </c>
      <c r="F2004" s="53">
        <f t="shared" si="36"/>
        <v>170434394828</v>
      </c>
      <c r="G2004" s="53">
        <f t="shared" si="36"/>
        <v>248889171755</v>
      </c>
      <c r="H2004" s="53">
        <f t="shared" si="36"/>
        <v>9620869867</v>
      </c>
      <c r="I2004" s="54">
        <f t="shared" si="35"/>
        <v>548387479960</v>
      </c>
      <c r="J2004" s="52">
        <f t="shared" si="37"/>
        <v>657497112</v>
      </c>
    </row>
    <row r="2005" spans="1:10">
      <c r="A2005" s="74" t="s">
        <v>825</v>
      </c>
      <c r="B2005" s="74" t="s">
        <v>825</v>
      </c>
      <c r="C2005" s="38"/>
      <c r="D2005" s="57">
        <v>2010</v>
      </c>
      <c r="E2005" s="53">
        <f t="shared" si="36"/>
        <v>124505221626</v>
      </c>
      <c r="F2005" s="53">
        <f t="shared" si="36"/>
        <v>146713068062</v>
      </c>
      <c r="G2005" s="53">
        <f t="shared" si="36"/>
        <v>251663371951</v>
      </c>
      <c r="H2005" s="53">
        <f t="shared" si="36"/>
        <v>9047202581</v>
      </c>
      <c r="I2005" s="54">
        <f t="shared" si="35"/>
        <v>531928864220</v>
      </c>
      <c r="J2005" s="52">
        <f t="shared" si="37"/>
        <v>861262702</v>
      </c>
    </row>
    <row r="2006" spans="1:10">
      <c r="A2006" s="74" t="s">
        <v>825</v>
      </c>
      <c r="B2006" s="74" t="s">
        <v>825</v>
      </c>
      <c r="C2006" s="38"/>
      <c r="D2006" s="57">
        <v>2011</v>
      </c>
      <c r="E2006" s="53">
        <f t="shared" si="36"/>
        <v>128174003946</v>
      </c>
      <c r="F2006" s="53">
        <f t="shared" si="36"/>
        <v>142768540371</v>
      </c>
      <c r="G2006" s="53">
        <f t="shared" si="36"/>
        <v>256532569783.26999</v>
      </c>
      <c r="H2006" s="53">
        <f t="shared" si="36"/>
        <v>9378004926</v>
      </c>
      <c r="I2006" s="54">
        <f t="shared" si="35"/>
        <v>536853119026.27002</v>
      </c>
      <c r="J2006" s="52">
        <f t="shared" si="37"/>
        <v>779149102</v>
      </c>
    </row>
    <row r="2007" spans="1:10">
      <c r="A2007" s="74" t="s">
        <v>825</v>
      </c>
      <c r="B2007" s="74" t="s">
        <v>825</v>
      </c>
      <c r="C2007" s="38"/>
      <c r="D2007" s="57">
        <v>2012</v>
      </c>
      <c r="E2007" s="53">
        <f t="shared" si="36"/>
        <v>134388725185</v>
      </c>
      <c r="F2007" s="53">
        <f t="shared" si="36"/>
        <v>173878995358</v>
      </c>
      <c r="G2007" s="53">
        <f t="shared" si="36"/>
        <v>252255281603</v>
      </c>
      <c r="H2007" s="53">
        <f t="shared" si="36"/>
        <v>15570096531</v>
      </c>
      <c r="I2007" s="54">
        <f t="shared" si="35"/>
        <v>576093098677</v>
      </c>
      <c r="J2007" s="52">
        <f t="shared" si="37"/>
        <v>734318146</v>
      </c>
    </row>
    <row r="2008" spans="1:10">
      <c r="A2008" s="74" t="s">
        <v>825</v>
      </c>
      <c r="B2008" s="74" t="s">
        <v>825</v>
      </c>
      <c r="C2008" s="38"/>
      <c r="D2008" s="57">
        <v>2013</v>
      </c>
      <c r="E2008" s="53">
        <f t="shared" si="36"/>
        <v>135862952029</v>
      </c>
      <c r="F2008" s="53">
        <f t="shared" si="36"/>
        <v>150827781178</v>
      </c>
      <c r="G2008" s="53">
        <f t="shared" si="36"/>
        <v>247080907819</v>
      </c>
      <c r="H2008" s="53">
        <f t="shared" si="36"/>
        <v>13292289960</v>
      </c>
      <c r="I2008" s="54">
        <f t="shared" si="35"/>
        <v>547063930986</v>
      </c>
      <c r="J2008" s="52">
        <f t="shared" si="37"/>
        <v>1003857612</v>
      </c>
    </row>
    <row r="2009" spans="1:10">
      <c r="A2009" s="74" t="s">
        <v>825</v>
      </c>
      <c r="B2009" s="74" t="s">
        <v>825</v>
      </c>
      <c r="C2009" s="38"/>
      <c r="D2009" s="57">
        <v>2014</v>
      </c>
      <c r="E2009" s="53">
        <f t="shared" si="36"/>
        <v>138178007058</v>
      </c>
      <c r="F2009" s="53">
        <f t="shared" si="36"/>
        <v>166363034520</v>
      </c>
      <c r="G2009" s="53">
        <f t="shared" si="36"/>
        <v>263132265549.24997</v>
      </c>
      <c r="H2009" s="53">
        <f t="shared" si="36"/>
        <v>11999597093</v>
      </c>
      <c r="I2009" s="54">
        <f t="shared" si="35"/>
        <v>579672904220.25</v>
      </c>
      <c r="J2009" s="52">
        <f t="shared" si="37"/>
        <v>2365882418</v>
      </c>
    </row>
    <row r="2010" spans="1:10">
      <c r="A2010" s="74" t="s">
        <v>825</v>
      </c>
      <c r="B2010" s="74" t="s">
        <v>825</v>
      </c>
      <c r="C2010" s="38"/>
      <c r="D2010" s="57">
        <v>2015</v>
      </c>
      <c r="E2010" s="53">
        <f t="shared" si="36"/>
        <v>143415900804</v>
      </c>
      <c r="F2010" s="53">
        <f t="shared" si="36"/>
        <v>182599516691</v>
      </c>
      <c r="G2010" s="53">
        <f t="shared" si="36"/>
        <v>258822039559.23099</v>
      </c>
      <c r="H2010" s="53">
        <f t="shared" si="36"/>
        <v>10625793540</v>
      </c>
      <c r="I2010" s="54">
        <f t="shared" si="35"/>
        <v>595463250594.23096</v>
      </c>
      <c r="J2010" s="52">
        <f t="shared" si="37"/>
        <v>3571341276</v>
      </c>
    </row>
    <row r="2011" spans="1:10">
      <c r="A2011" s="74" t="s">
        <v>825</v>
      </c>
      <c r="B2011" s="74" t="s">
        <v>825</v>
      </c>
      <c r="C2011" s="38"/>
      <c r="D2011" s="57">
        <v>2016</v>
      </c>
      <c r="E2011" s="53">
        <f t="shared" si="36"/>
        <v>147863583193</v>
      </c>
      <c r="F2011" s="53">
        <f t="shared" si="36"/>
        <v>200288313107</v>
      </c>
      <c r="G2011" s="53">
        <f t="shared" si="36"/>
        <v>256705732074</v>
      </c>
      <c r="H2011" s="53">
        <f t="shared" si="36"/>
        <v>14950963383</v>
      </c>
      <c r="I2011" s="54">
        <f t="shared" si="35"/>
        <v>619808591757</v>
      </c>
      <c r="J2011" s="52">
        <f t="shared" si="37"/>
        <v>2709467709</v>
      </c>
    </row>
    <row r="2012" spans="1:10">
      <c r="A2012" s="74" t="s">
        <v>825</v>
      </c>
      <c r="B2012" s="74" t="s">
        <v>825</v>
      </c>
      <c r="C2012" s="38"/>
      <c r="D2012" s="57">
        <v>2017</v>
      </c>
      <c r="E2012" s="53">
        <f t="shared" si="36"/>
        <v>153036058838</v>
      </c>
      <c r="F2012" s="53">
        <f t="shared" si="36"/>
        <v>198204488708</v>
      </c>
      <c r="G2012" s="53">
        <f t="shared" si="36"/>
        <v>263710922383.03006</v>
      </c>
      <c r="H2012" s="53">
        <f t="shared" si="36"/>
        <v>13972797689</v>
      </c>
      <c r="I2012" s="54">
        <f t="shared" si="35"/>
        <v>628924267618.03003</v>
      </c>
      <c r="J2012" s="52">
        <f t="shared" si="37"/>
        <v>1110847616</v>
      </c>
    </row>
    <row r="2013" spans="1:10">
      <c r="A2013" s="74" t="s">
        <v>825</v>
      </c>
      <c r="B2013" s="74" t="s">
        <v>825</v>
      </c>
      <c r="C2013" s="38"/>
      <c r="D2013" s="57">
        <f t="shared" ref="D2013:D2018" si="38">D2012+1</f>
        <v>2018</v>
      </c>
      <c r="E2013" s="53">
        <f t="shared" si="36"/>
        <v>155232995530</v>
      </c>
      <c r="F2013" s="53">
        <f t="shared" si="36"/>
        <v>230992141702</v>
      </c>
      <c r="G2013" s="53">
        <f t="shared" si="36"/>
        <v>276045645353.90997</v>
      </c>
      <c r="H2013" s="53">
        <f t="shared" si="36"/>
        <v>9342384943</v>
      </c>
      <c r="I2013" s="54">
        <f t="shared" si="35"/>
        <v>671613167528.90991</v>
      </c>
      <c r="J2013" s="52">
        <f t="shared" si="37"/>
        <v>1564038563</v>
      </c>
    </row>
    <row r="2014" spans="1:10">
      <c r="A2014" s="74" t="s">
        <v>825</v>
      </c>
      <c r="B2014" s="74" t="s">
        <v>825</v>
      </c>
      <c r="C2014" s="38"/>
      <c r="D2014" s="57">
        <f t="shared" si="38"/>
        <v>2019</v>
      </c>
      <c r="E2014" s="53">
        <f t="shared" si="36"/>
        <v>161555018130</v>
      </c>
      <c r="F2014" s="53">
        <f t="shared" si="36"/>
        <v>241072790902</v>
      </c>
      <c r="G2014" s="53">
        <f t="shared" si="36"/>
        <v>302199200471.6059</v>
      </c>
      <c r="H2014" s="53">
        <f t="shared" si="36"/>
        <v>12566693703</v>
      </c>
      <c r="I2014" s="54">
        <f t="shared" si="35"/>
        <v>717393703206.60596</v>
      </c>
      <c r="J2014" s="52">
        <f t="shared" si="37"/>
        <v>1812247021</v>
      </c>
    </row>
    <row r="2015" spans="1:10">
      <c r="A2015" s="74" t="s">
        <v>825</v>
      </c>
      <c r="B2015" s="74" t="s">
        <v>825</v>
      </c>
      <c r="C2015" s="38"/>
      <c r="D2015" s="57">
        <f t="shared" si="38"/>
        <v>2020</v>
      </c>
      <c r="E2015" s="53">
        <f t="shared" si="36"/>
        <v>162836325493</v>
      </c>
      <c r="F2015" s="53">
        <f t="shared" si="36"/>
        <v>243648568070</v>
      </c>
      <c r="G2015" s="53">
        <f t="shared" si="36"/>
        <v>329409759684</v>
      </c>
      <c r="H2015" s="53">
        <f t="shared" si="36"/>
        <v>14710284171</v>
      </c>
      <c r="I2015" s="54">
        <f t="shared" si="35"/>
        <v>750604937418</v>
      </c>
      <c r="J2015" s="52">
        <f t="shared" si="37"/>
        <v>1537431057</v>
      </c>
    </row>
    <row r="2016" spans="1:10">
      <c r="A2016" s="74" t="s">
        <v>825</v>
      </c>
      <c r="B2016" s="74" t="s">
        <v>825</v>
      </c>
      <c r="C2016" s="38"/>
      <c r="D2016" s="57">
        <f t="shared" si="38"/>
        <v>2021</v>
      </c>
      <c r="E2016" s="53">
        <f t="shared" ref="E2016:H2019" si="39">E40+E78+E116+E154+E192+E230+E268+E306+E344+E382+E420+E458+E496+E534+E572+E610+E648+E686+E724+E762+E800+E838+E876+E914+E952+E990+E1028+E1066+E1104+E1142+E1180+E1218+E1256+E1294+E1332+E1370+E1408+E1446+E1484+E1522+E1560+E1598+E1636+E1674+E1712+E1750+E1788+E1826+E1864+E1902+E1940+E1978</f>
        <v>174825450419.60001</v>
      </c>
      <c r="F2016" s="53">
        <f t="shared" si="39"/>
        <v>266412339976.20001</v>
      </c>
      <c r="G2016" s="53">
        <f t="shared" si="39"/>
        <v>338151057382.77002</v>
      </c>
      <c r="H2016" s="53">
        <f t="shared" si="39"/>
        <v>3761207622</v>
      </c>
      <c r="I2016" s="54">
        <f t="shared" si="35"/>
        <v>783150055400.57007</v>
      </c>
      <c r="J2016" s="52">
        <f t="shared" si="37"/>
        <v>88765368</v>
      </c>
    </row>
    <row r="2017" spans="1:12">
      <c r="A2017" s="74" t="s">
        <v>825</v>
      </c>
      <c r="B2017" s="74" t="s">
        <v>825</v>
      </c>
      <c r="C2017" s="38"/>
      <c r="D2017" s="57">
        <f t="shared" si="38"/>
        <v>2022</v>
      </c>
      <c r="E2017" s="53">
        <f t="shared" si="39"/>
        <v>176889448139</v>
      </c>
      <c r="F2017" s="53">
        <f t="shared" si="39"/>
        <v>341866502127</v>
      </c>
      <c r="G2017" s="53">
        <f t="shared" si="39"/>
        <v>365578793391</v>
      </c>
      <c r="H2017" s="53">
        <f t="shared" si="39"/>
        <v>4363370298</v>
      </c>
      <c r="I2017" s="54">
        <f t="shared" si="35"/>
        <v>888698113955</v>
      </c>
      <c r="J2017" s="52">
        <f t="shared" si="37"/>
        <v>119248899</v>
      </c>
    </row>
    <row r="2018" spans="1:12">
      <c r="A2018" s="74" t="s">
        <v>825</v>
      </c>
      <c r="B2018" s="74" t="s">
        <v>825</v>
      </c>
      <c r="C2018" s="38"/>
      <c r="D2018" s="57">
        <f t="shared" si="38"/>
        <v>2023</v>
      </c>
      <c r="E2018" s="53">
        <f t="shared" si="39"/>
        <v>178687157375</v>
      </c>
      <c r="F2018" s="53">
        <f t="shared" si="39"/>
        <v>411320483297.4588</v>
      </c>
      <c r="G2018" s="53">
        <f t="shared" si="39"/>
        <v>430296541396.24823</v>
      </c>
      <c r="H2018" s="53">
        <f t="shared" si="39"/>
        <v>10148263128</v>
      </c>
      <c r="I2018" s="54">
        <f t="shared" ref="I2018" si="40">SUM(E2018:H2018)</f>
        <v>1030452445196.707</v>
      </c>
      <c r="J2018" s="52">
        <f t="shared" si="37"/>
        <v>126110425</v>
      </c>
    </row>
    <row r="2019" spans="1:12">
      <c r="A2019" s="74" t="s">
        <v>825</v>
      </c>
      <c r="B2019" s="74" t="s">
        <v>825</v>
      </c>
      <c r="C2019" s="38"/>
      <c r="D2019" s="57">
        <v>2024</v>
      </c>
      <c r="E2019" s="53">
        <f t="shared" si="39"/>
        <v>182022706286.33997</v>
      </c>
      <c r="F2019" s="53">
        <f t="shared" si="39"/>
        <v>475168613264.40009</v>
      </c>
      <c r="G2019" s="53">
        <f t="shared" si="39"/>
        <v>454904475864.27533</v>
      </c>
      <c r="H2019" s="53">
        <f t="shared" si="39"/>
        <v>4703916164.2300005</v>
      </c>
      <c r="I2019" s="54">
        <f t="shared" ref="I2019" si="41">SUM(E2019:H2019)</f>
        <v>1116799711579.2454</v>
      </c>
      <c r="J2019" s="52">
        <f t="shared" si="37"/>
        <v>140609167</v>
      </c>
    </row>
    <row r="2020" spans="1:12">
      <c r="A2020" s="74"/>
      <c r="B2020" s="74"/>
      <c r="C2020" s="38"/>
      <c r="D2020" s="57"/>
      <c r="E2020" s="53"/>
      <c r="F2020" s="53"/>
      <c r="G2020" s="53"/>
      <c r="H2020" s="53"/>
      <c r="I2020" s="54"/>
      <c r="J2020" s="52"/>
    </row>
    <row r="2021" spans="1:12">
      <c r="A2021"/>
      <c r="B2021" s="38"/>
      <c r="C2021" s="38"/>
      <c r="E2021" s="52"/>
      <c r="F2021" s="52"/>
      <c r="G2021" s="52"/>
      <c r="H2021" s="52"/>
      <c r="I2021" s="75"/>
      <c r="J2021" s="52"/>
    </row>
    <row r="2022" spans="1:12">
      <c r="A2022"/>
      <c r="B2022" s="38"/>
      <c r="C2022" s="38"/>
      <c r="D2022" s="76" t="s">
        <v>706</v>
      </c>
      <c r="E2022" s="77">
        <f t="shared" ref="E2022:J2022" si="42">SUM(E1983:E2021)</f>
        <v>4161530818918.9399</v>
      </c>
      <c r="F2022" s="77">
        <f t="shared" si="42"/>
        <v>5640089066030.3994</v>
      </c>
      <c r="G2022" s="77">
        <f t="shared" si="42"/>
        <v>7312242926904.25</v>
      </c>
      <c r="H2022" s="77">
        <f t="shared" si="42"/>
        <v>404318480431.22998</v>
      </c>
      <c r="I2022" s="77">
        <f t="shared" si="42"/>
        <v>17518181292284.818</v>
      </c>
      <c r="J2022" s="77">
        <f t="shared" si="42"/>
        <v>25668637087</v>
      </c>
      <c r="K2022" s="62"/>
      <c r="L2022" s="62"/>
    </row>
    <row r="2023" spans="1:12">
      <c r="A2023"/>
      <c r="B2023" s="38"/>
      <c r="C2023" s="38"/>
      <c r="D2023" s="57"/>
      <c r="E2023" s="52" t="s">
        <v>720</v>
      </c>
      <c r="F2023" s="52" t="s">
        <v>720</v>
      </c>
      <c r="G2023" s="52" t="s">
        <v>720</v>
      </c>
      <c r="H2023" s="52" t="s">
        <v>720</v>
      </c>
      <c r="I2023" s="52" t="s">
        <v>720</v>
      </c>
      <c r="J2023" s="52" t="s">
        <v>720</v>
      </c>
    </row>
  </sheetData>
  <mergeCells count="2">
    <mergeCell ref="A1:J1"/>
    <mergeCell ref="A2:J2"/>
  </mergeCells>
  <pageMargins left="0" right="0" top="0.25" bottom="0.25" header="0" footer="0"/>
  <pageSetup scale="48" fitToHeight="0" orientation="landscape"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V64"/>
  <sheetViews>
    <sheetView zoomScale="75" workbookViewId="0">
      <selection sqref="A1:G1"/>
    </sheetView>
  </sheetViews>
  <sheetFormatPr defaultColWidth="9.109375" defaultRowHeight="14.4"/>
  <cols>
    <col min="1" max="1" width="20" style="1" customWidth="1"/>
    <col min="2" max="7" width="15" style="1" customWidth="1"/>
    <col min="8" max="8" width="1" style="1" customWidth="1"/>
    <col min="9" max="9" width="30" style="1" customWidth="1"/>
    <col min="10" max="10" width="15" style="1" customWidth="1"/>
    <col min="11" max="11" width="1" style="1" customWidth="1"/>
    <col min="12" max="13" width="15" style="1" customWidth="1"/>
    <col min="14" max="14" width="1" style="1" customWidth="1"/>
    <col min="15" max="16" width="15" style="1" customWidth="1"/>
    <col min="17" max="17" width="1" style="1" customWidth="1"/>
    <col min="18" max="19" width="15" style="1" customWidth="1"/>
    <col min="20" max="20" width="1" style="1" customWidth="1"/>
    <col min="21" max="22" width="15" style="1" customWidth="1"/>
    <col min="23" max="23" width="9.109375" style="1" customWidth="1"/>
    <col min="24" max="16384" width="9.109375" style="1"/>
  </cols>
  <sheetData>
    <row r="1" spans="1:22">
      <c r="A1" s="85" t="s">
        <v>90</v>
      </c>
      <c r="B1" s="79"/>
      <c r="C1" s="79"/>
      <c r="D1" s="79"/>
      <c r="E1" s="79"/>
      <c r="F1" s="79"/>
      <c r="G1" s="79"/>
    </row>
    <row r="3" spans="1:22">
      <c r="B3" s="86" t="s">
        <v>1</v>
      </c>
      <c r="C3" s="87"/>
      <c r="D3" s="87"/>
      <c r="E3" s="87"/>
      <c r="F3" s="87"/>
      <c r="G3" s="88"/>
      <c r="L3" s="89" t="s">
        <v>2</v>
      </c>
      <c r="M3" s="90"/>
      <c r="N3" s="90"/>
      <c r="O3" s="90"/>
      <c r="P3" s="90"/>
      <c r="Q3" s="90"/>
      <c r="R3" s="90"/>
      <c r="S3" s="90"/>
      <c r="T3" s="90"/>
      <c r="U3" s="90"/>
      <c r="V3" s="91"/>
    </row>
    <row r="4" spans="1:22">
      <c r="B4" s="6"/>
      <c r="G4" s="9"/>
      <c r="L4" s="92" t="s">
        <v>3</v>
      </c>
      <c r="M4" s="93"/>
      <c r="N4" s="3"/>
      <c r="O4" s="94" t="s">
        <v>4</v>
      </c>
      <c r="P4" s="93"/>
      <c r="Q4" s="3"/>
      <c r="R4" s="94" t="s">
        <v>5</v>
      </c>
      <c r="S4" s="93"/>
      <c r="T4" s="3"/>
      <c r="U4" s="94" t="s">
        <v>6</v>
      </c>
      <c r="V4" s="95"/>
    </row>
    <row r="5" spans="1:22" ht="60" customHeight="1">
      <c r="B5" s="7" t="s">
        <v>3</v>
      </c>
      <c r="C5" s="4" t="s">
        <v>4</v>
      </c>
      <c r="D5" s="4" t="s">
        <v>5</v>
      </c>
      <c r="E5" s="4" t="s">
        <v>6</v>
      </c>
      <c r="F5" s="4" t="s">
        <v>7</v>
      </c>
      <c r="G5" s="10" t="s">
        <v>8</v>
      </c>
      <c r="L5" s="19" t="s">
        <v>9</v>
      </c>
      <c r="M5" s="18" t="s">
        <v>10</v>
      </c>
      <c r="N5" s="18"/>
      <c r="O5" s="18" t="s">
        <v>9</v>
      </c>
      <c r="P5" s="18" t="s">
        <v>10</v>
      </c>
      <c r="Q5" s="18"/>
      <c r="R5" s="18" t="s">
        <v>9</v>
      </c>
      <c r="S5" s="18" t="s">
        <v>10</v>
      </c>
      <c r="T5" s="18"/>
      <c r="U5" s="18" t="s">
        <v>9</v>
      </c>
      <c r="V5" s="20" t="s">
        <v>10</v>
      </c>
    </row>
    <row r="6" spans="1:22">
      <c r="A6" s="1" t="s">
        <v>11</v>
      </c>
      <c r="B6" s="6">
        <v>0</v>
      </c>
      <c r="C6" s="1">
        <v>0</v>
      </c>
      <c r="D6" s="1">
        <v>0</v>
      </c>
      <c r="E6" s="1">
        <v>0</v>
      </c>
      <c r="F6" s="1">
        <v>0</v>
      </c>
      <c r="G6" s="9">
        <f>SUM(AL_FINANCIAL)</f>
        <v>0</v>
      </c>
      <c r="L6" s="6"/>
      <c r="V6" s="9"/>
    </row>
    <row r="7" spans="1:22">
      <c r="A7" s="1" t="s">
        <v>12</v>
      </c>
      <c r="B7" s="6">
        <v>0</v>
      </c>
      <c r="C7" s="1">
        <v>0</v>
      </c>
      <c r="D7" s="1">
        <v>-772.09944445061592</v>
      </c>
      <c r="E7" s="1">
        <v>0</v>
      </c>
      <c r="F7" s="1">
        <v>0</v>
      </c>
      <c r="G7" s="9">
        <f>SUM(AK_FINANCIAL)</f>
        <v>-772.09944445061592</v>
      </c>
      <c r="I7" s="12"/>
      <c r="J7" s="15"/>
      <c r="L7" s="6">
        <v>0</v>
      </c>
      <c r="M7" s="1">
        <v>0</v>
      </c>
      <c r="O7" s="1">
        <v>0</v>
      </c>
      <c r="P7" s="1">
        <v>0</v>
      </c>
      <c r="R7" s="1">
        <v>25000</v>
      </c>
      <c r="S7" s="1">
        <v>8000</v>
      </c>
      <c r="U7" s="1">
        <v>0</v>
      </c>
      <c r="V7" s="9">
        <v>0</v>
      </c>
    </row>
    <row r="8" spans="1:22">
      <c r="A8" s="1" t="s">
        <v>13</v>
      </c>
      <c r="B8" s="6">
        <v>-496.37073693605453</v>
      </c>
      <c r="C8" s="1">
        <v>0</v>
      </c>
      <c r="D8" s="1">
        <v>-149370.66183492355</v>
      </c>
      <c r="E8" s="1">
        <v>0</v>
      </c>
      <c r="F8" s="1">
        <v>0</v>
      </c>
      <c r="G8" s="9">
        <f>SUM(AZ_FINANCIAL)</f>
        <v>-149867.0325718596</v>
      </c>
      <c r="I8" s="13" t="s">
        <v>14</v>
      </c>
      <c r="J8" s="16"/>
      <c r="L8" s="6">
        <v>0</v>
      </c>
      <c r="M8" s="1">
        <v>0</v>
      </c>
      <c r="O8" s="1">
        <v>0</v>
      </c>
      <c r="P8" s="1">
        <v>0</v>
      </c>
      <c r="R8" s="1">
        <v>0</v>
      </c>
      <c r="S8" s="1">
        <v>0</v>
      </c>
      <c r="U8" s="1">
        <v>0</v>
      </c>
      <c r="V8" s="9">
        <v>0</v>
      </c>
    </row>
    <row r="9" spans="1:22">
      <c r="A9" s="1" t="s">
        <v>15</v>
      </c>
      <c r="B9" s="6">
        <v>0</v>
      </c>
      <c r="C9" s="1">
        <v>0</v>
      </c>
      <c r="D9" s="1">
        <v>0</v>
      </c>
      <c r="E9" s="1">
        <v>0</v>
      </c>
      <c r="F9" s="1">
        <v>0</v>
      </c>
      <c r="G9" s="9">
        <f>SUM(AR_FINANCIAL)</f>
        <v>0</v>
      </c>
      <c r="I9" s="13"/>
      <c r="J9" s="16"/>
      <c r="L9" s="6"/>
      <c r="V9" s="9"/>
    </row>
    <row r="10" spans="1:22">
      <c r="A10" s="1" t="s">
        <v>16</v>
      </c>
      <c r="B10" s="6">
        <v>0</v>
      </c>
      <c r="C10" s="1">
        <v>0</v>
      </c>
      <c r="D10" s="1">
        <v>-48862.885737602832</v>
      </c>
      <c r="E10" s="1">
        <v>0</v>
      </c>
      <c r="F10" s="1">
        <v>0</v>
      </c>
      <c r="G10" s="9">
        <f>SUM(CA_FINANCIAL)</f>
        <v>-48862.885737602832</v>
      </c>
      <c r="I10" s="13" t="s">
        <v>17</v>
      </c>
      <c r="J10" s="16">
        <v>4821737</v>
      </c>
      <c r="L10" s="6">
        <v>0</v>
      </c>
      <c r="M10" s="1">
        <v>0</v>
      </c>
      <c r="O10" s="1">
        <v>0</v>
      </c>
      <c r="P10" s="1">
        <v>0</v>
      </c>
      <c r="R10" s="1">
        <v>1200000</v>
      </c>
      <c r="S10" s="1">
        <v>950000</v>
      </c>
      <c r="U10" s="1">
        <v>0</v>
      </c>
      <c r="V10" s="9">
        <v>0</v>
      </c>
    </row>
    <row r="11" spans="1:22">
      <c r="A11" s="1" t="s">
        <v>18</v>
      </c>
      <c r="B11" s="6">
        <v>0</v>
      </c>
      <c r="C11" s="1">
        <v>0</v>
      </c>
      <c r="D11" s="1">
        <v>-7542.2743478405901</v>
      </c>
      <c r="E11" s="1">
        <v>0</v>
      </c>
      <c r="F11" s="1">
        <v>0</v>
      </c>
      <c r="G11" s="9">
        <f>SUM(CO_FINANCIAL)</f>
        <v>-7542.2743478405901</v>
      </c>
      <c r="I11" s="13"/>
      <c r="J11" s="16"/>
      <c r="L11" s="6">
        <v>0</v>
      </c>
      <c r="M11" s="1">
        <v>0</v>
      </c>
      <c r="O11" s="1">
        <v>0</v>
      </c>
      <c r="P11" s="1">
        <v>0</v>
      </c>
      <c r="R11" s="1">
        <v>165000</v>
      </c>
      <c r="S11" s="1">
        <v>107622</v>
      </c>
      <c r="U11" s="1">
        <v>0</v>
      </c>
      <c r="V11" s="9">
        <v>0</v>
      </c>
    </row>
    <row r="12" spans="1:22">
      <c r="A12" s="1" t="s">
        <v>19</v>
      </c>
      <c r="B12" s="6">
        <v>0</v>
      </c>
      <c r="C12" s="1">
        <v>0</v>
      </c>
      <c r="D12" s="1">
        <v>0</v>
      </c>
      <c r="E12" s="1">
        <v>0</v>
      </c>
      <c r="F12" s="1">
        <v>0</v>
      </c>
      <c r="G12" s="9">
        <f>SUM(CT_FINANCIAL)</f>
        <v>0</v>
      </c>
      <c r="I12" s="13" t="s">
        <v>20</v>
      </c>
      <c r="J12" s="16"/>
      <c r="L12" s="6"/>
      <c r="V12" s="9"/>
    </row>
    <row r="13" spans="1:22">
      <c r="A13" s="1" t="s">
        <v>21</v>
      </c>
      <c r="B13" s="6">
        <v>0</v>
      </c>
      <c r="C13" s="1">
        <v>0</v>
      </c>
      <c r="D13" s="1">
        <v>0</v>
      </c>
      <c r="E13" s="1">
        <v>0</v>
      </c>
      <c r="F13" s="1">
        <v>0</v>
      </c>
      <c r="G13" s="9">
        <f>SUM(DE_FINANCIAL)</f>
        <v>0</v>
      </c>
      <c r="I13" s="13" t="s">
        <v>22</v>
      </c>
      <c r="J13" s="16">
        <v>4821737</v>
      </c>
      <c r="L13" s="6"/>
      <c r="V13" s="9"/>
    </row>
    <row r="14" spans="1:22">
      <c r="A14" s="1" t="s">
        <v>23</v>
      </c>
      <c r="B14" s="6">
        <v>0</v>
      </c>
      <c r="C14" s="1">
        <v>0</v>
      </c>
      <c r="D14" s="1">
        <v>0</v>
      </c>
      <c r="E14" s="1">
        <v>0</v>
      </c>
      <c r="F14" s="1">
        <v>0</v>
      </c>
      <c r="G14" s="9">
        <f>SUM(DC_FINANCIAL)</f>
        <v>0</v>
      </c>
      <c r="I14" s="13" t="s">
        <v>24</v>
      </c>
      <c r="J14" s="16">
        <v>550530</v>
      </c>
      <c r="L14" s="6"/>
      <c r="V14" s="9"/>
    </row>
    <row r="15" spans="1:22">
      <c r="A15" s="1" t="s">
        <v>25</v>
      </c>
      <c r="B15" s="6">
        <v>0</v>
      </c>
      <c r="C15" s="1">
        <v>0</v>
      </c>
      <c r="D15" s="1">
        <v>0</v>
      </c>
      <c r="E15" s="1">
        <v>0</v>
      </c>
      <c r="F15" s="1">
        <v>0</v>
      </c>
      <c r="G15" s="9">
        <f>SUM(FL_FINANCIAL)</f>
        <v>0</v>
      </c>
      <c r="I15" s="13" t="s">
        <v>26</v>
      </c>
      <c r="J15" s="16">
        <v>274565.90999999997</v>
      </c>
      <c r="L15" s="6"/>
      <c r="V15" s="9"/>
    </row>
    <row r="16" spans="1:22">
      <c r="A16" s="1" t="s">
        <v>27</v>
      </c>
      <c r="B16" s="6">
        <v>0</v>
      </c>
      <c r="C16" s="1">
        <v>0</v>
      </c>
      <c r="D16" s="1">
        <v>0</v>
      </c>
      <c r="E16" s="1">
        <v>0</v>
      </c>
      <c r="F16" s="1">
        <v>0</v>
      </c>
      <c r="G16" s="9">
        <f>SUM(GA_FINANCIAL)</f>
        <v>0</v>
      </c>
      <c r="I16" s="13" t="s">
        <v>28</v>
      </c>
      <c r="J16" s="16">
        <v>0</v>
      </c>
      <c r="L16" s="6"/>
      <c r="V16" s="9"/>
    </row>
    <row r="17" spans="1:22">
      <c r="A17" s="1" t="s">
        <v>29</v>
      </c>
      <c r="B17" s="6">
        <v>0</v>
      </c>
      <c r="C17" s="1">
        <v>0</v>
      </c>
      <c r="D17" s="1">
        <v>0</v>
      </c>
      <c r="E17" s="1">
        <v>0</v>
      </c>
      <c r="F17" s="1">
        <v>0</v>
      </c>
      <c r="G17" s="9">
        <f>SUM(HI_FINANCIAL)</f>
        <v>0</v>
      </c>
      <c r="I17" s="13"/>
      <c r="J17" s="16"/>
      <c r="L17" s="6"/>
      <c r="V17" s="9"/>
    </row>
    <row r="18" spans="1:22">
      <c r="A18" s="1" t="s">
        <v>30</v>
      </c>
      <c r="B18" s="6">
        <v>0</v>
      </c>
      <c r="C18" s="1">
        <v>0</v>
      </c>
      <c r="D18" s="1">
        <v>27937.140698436684</v>
      </c>
      <c r="E18" s="1">
        <v>0</v>
      </c>
      <c r="F18" s="1">
        <v>0</v>
      </c>
      <c r="G18" s="9">
        <f>SUM(ID_FINANCIAL)</f>
        <v>27937.140698436684</v>
      </c>
      <c r="I18" s="13" t="s">
        <v>31</v>
      </c>
      <c r="J18" s="16"/>
      <c r="L18" s="6"/>
      <c r="V18" s="9"/>
    </row>
    <row r="19" spans="1:22">
      <c r="A19" s="1" t="s">
        <v>32</v>
      </c>
      <c r="B19" s="6">
        <v>0</v>
      </c>
      <c r="C19" s="1">
        <v>0</v>
      </c>
      <c r="D19" s="1">
        <v>0</v>
      </c>
      <c r="E19" s="1">
        <v>0</v>
      </c>
      <c r="F19" s="1">
        <v>0</v>
      </c>
      <c r="G19" s="9">
        <f>SUM(IL_FINANCIAL)</f>
        <v>0</v>
      </c>
      <c r="I19" s="13" t="s">
        <v>33</v>
      </c>
      <c r="J19" s="16">
        <v>0</v>
      </c>
      <c r="L19" s="6"/>
      <c r="V19" s="9"/>
    </row>
    <row r="20" spans="1:22">
      <c r="A20" s="1" t="s">
        <v>34</v>
      </c>
      <c r="B20" s="6">
        <v>0</v>
      </c>
      <c r="C20" s="1">
        <v>0</v>
      </c>
      <c r="D20" s="1">
        <v>-122.17480416884246</v>
      </c>
      <c r="E20" s="1">
        <v>0</v>
      </c>
      <c r="F20" s="1">
        <v>0</v>
      </c>
      <c r="G20" s="9">
        <f>SUM(IN_FINANCIAL)</f>
        <v>-122.17480416884246</v>
      </c>
      <c r="I20" s="13" t="s">
        <v>35</v>
      </c>
      <c r="J20" s="16">
        <v>4821737</v>
      </c>
      <c r="L20" s="6"/>
      <c r="V20" s="9"/>
    </row>
    <row r="21" spans="1:22">
      <c r="A21" s="1" t="s">
        <v>36</v>
      </c>
      <c r="B21" s="6">
        <v>0</v>
      </c>
      <c r="C21" s="1">
        <v>0</v>
      </c>
      <c r="D21" s="1">
        <v>0</v>
      </c>
      <c r="E21" s="1">
        <v>0</v>
      </c>
      <c r="F21" s="1">
        <v>0</v>
      </c>
      <c r="G21" s="9">
        <f>SUM(IA_FINANCIAL)</f>
        <v>0</v>
      </c>
      <c r="I21" s="13" t="s">
        <v>37</v>
      </c>
      <c r="J21" s="16"/>
      <c r="L21" s="6"/>
      <c r="V21" s="9"/>
    </row>
    <row r="22" spans="1:22">
      <c r="A22" s="1" t="s">
        <v>38</v>
      </c>
      <c r="B22" s="6">
        <v>0</v>
      </c>
      <c r="C22" s="1">
        <v>0</v>
      </c>
      <c r="D22" s="1">
        <v>0</v>
      </c>
      <c r="E22" s="1">
        <v>0</v>
      </c>
      <c r="F22" s="1">
        <v>0</v>
      </c>
      <c r="G22" s="9">
        <f>SUM(KS_FINANCIAL)</f>
        <v>0</v>
      </c>
      <c r="I22" s="13" t="s">
        <v>39</v>
      </c>
      <c r="J22" s="16">
        <v>0</v>
      </c>
      <c r="L22" s="6"/>
      <c r="V22" s="9"/>
    </row>
    <row r="23" spans="1:22">
      <c r="A23" s="1" t="s">
        <v>40</v>
      </c>
      <c r="B23" s="6">
        <v>0</v>
      </c>
      <c r="C23" s="1">
        <v>0</v>
      </c>
      <c r="D23" s="1">
        <v>0</v>
      </c>
      <c r="E23" s="1">
        <v>0</v>
      </c>
      <c r="F23" s="1">
        <v>0</v>
      </c>
      <c r="G23" s="9">
        <f>SUM(KY_FINANCIAL)</f>
        <v>0</v>
      </c>
      <c r="I23" s="13" t="s">
        <v>41</v>
      </c>
      <c r="J23" s="16"/>
      <c r="L23" s="6"/>
      <c r="V23" s="9"/>
    </row>
    <row r="24" spans="1:22">
      <c r="A24" s="1" t="s">
        <v>42</v>
      </c>
      <c r="B24" s="6">
        <v>0</v>
      </c>
      <c r="C24" s="1">
        <v>0</v>
      </c>
      <c r="D24" s="1">
        <v>4903</v>
      </c>
      <c r="E24" s="1">
        <v>0</v>
      </c>
      <c r="F24" s="1">
        <v>0</v>
      </c>
      <c r="G24" s="9">
        <f>SUM(LA_FINANCIAL)</f>
        <v>4903</v>
      </c>
      <c r="I24" s="13" t="s">
        <v>43</v>
      </c>
      <c r="J24" s="16">
        <v>5782884.919999999</v>
      </c>
      <c r="L24" s="6"/>
      <c r="V24" s="9"/>
    </row>
    <row r="25" spans="1:22">
      <c r="A25" s="1" t="s">
        <v>44</v>
      </c>
      <c r="B25" s="6">
        <v>0</v>
      </c>
      <c r="C25" s="1">
        <v>0</v>
      </c>
      <c r="D25" s="1">
        <v>0</v>
      </c>
      <c r="E25" s="1">
        <v>0</v>
      </c>
      <c r="F25" s="1">
        <v>0</v>
      </c>
      <c r="G25" s="9">
        <f>SUM(ME_FINANCIAL)</f>
        <v>0</v>
      </c>
      <c r="I25" s="13"/>
      <c r="J25" s="16"/>
      <c r="L25" s="6"/>
      <c r="V25" s="9"/>
    </row>
    <row r="26" spans="1:22">
      <c r="A26" s="1" t="s">
        <v>45</v>
      </c>
      <c r="B26" s="6">
        <v>0</v>
      </c>
      <c r="C26" s="1">
        <v>0</v>
      </c>
      <c r="D26" s="1">
        <v>0</v>
      </c>
      <c r="E26" s="1">
        <v>0</v>
      </c>
      <c r="F26" s="1">
        <v>0</v>
      </c>
      <c r="G26" s="9">
        <f>SUM(MD_FINANCIAL)</f>
        <v>0</v>
      </c>
      <c r="I26" s="13" t="s">
        <v>46</v>
      </c>
      <c r="J26" s="16">
        <f>SUM(ADD_FINANCIAL)-SUM(LESS_FINANCIAL)</f>
        <v>-136052.00999999791</v>
      </c>
      <c r="L26" s="6"/>
      <c r="V26" s="9"/>
    </row>
    <row r="27" spans="1:22">
      <c r="A27" s="1" t="s">
        <v>47</v>
      </c>
      <c r="B27" s="6">
        <v>0</v>
      </c>
      <c r="C27" s="1">
        <v>0</v>
      </c>
      <c r="D27" s="1">
        <v>0</v>
      </c>
      <c r="E27" s="1">
        <v>0</v>
      </c>
      <c r="F27" s="1">
        <v>0</v>
      </c>
      <c r="G27" s="9">
        <f>SUM(MA_FINANCIAL)</f>
        <v>0</v>
      </c>
      <c r="I27" s="13" t="s">
        <v>48</v>
      </c>
      <c r="J27" s="16">
        <f>SUM(ALL_BLOCKS)</f>
        <v>-136052.00999999919</v>
      </c>
      <c r="L27" s="6"/>
      <c r="V27" s="9"/>
    </row>
    <row r="28" spans="1:22">
      <c r="A28" s="1" t="s">
        <v>49</v>
      </c>
      <c r="B28" s="6">
        <v>0</v>
      </c>
      <c r="C28" s="1">
        <v>0</v>
      </c>
      <c r="D28" s="1">
        <v>0</v>
      </c>
      <c r="E28" s="1">
        <v>0</v>
      </c>
      <c r="F28" s="1">
        <v>0</v>
      </c>
      <c r="G28" s="9">
        <f>SUM(MI_FINANCIAL)</f>
        <v>0</v>
      </c>
      <c r="I28" s="14"/>
      <c r="J28" s="17"/>
      <c r="L28" s="6"/>
      <c r="V28" s="9"/>
    </row>
    <row r="29" spans="1:22">
      <c r="A29" s="1" t="s">
        <v>50</v>
      </c>
      <c r="B29" s="6">
        <v>0</v>
      </c>
      <c r="C29" s="1">
        <v>0</v>
      </c>
      <c r="D29" s="1">
        <v>0</v>
      </c>
      <c r="E29" s="1">
        <v>0</v>
      </c>
      <c r="F29" s="1">
        <v>0</v>
      </c>
      <c r="G29" s="9">
        <f>SUM(MN_FINANCIAL)</f>
        <v>0</v>
      </c>
      <c r="L29" s="6"/>
      <c r="V29" s="9"/>
    </row>
    <row r="30" spans="1:22">
      <c r="A30" s="1" t="s">
        <v>51</v>
      </c>
      <c r="B30" s="6">
        <v>0</v>
      </c>
      <c r="C30" s="1">
        <v>0</v>
      </c>
      <c r="D30" s="1">
        <v>0</v>
      </c>
      <c r="E30" s="1">
        <v>0</v>
      </c>
      <c r="F30" s="1">
        <v>0</v>
      </c>
      <c r="G30" s="9">
        <f>SUM(MS_FINANCIAL)</f>
        <v>0</v>
      </c>
      <c r="L30" s="6"/>
      <c r="V30" s="9"/>
    </row>
    <row r="31" spans="1:22">
      <c r="A31" s="1" t="s">
        <v>52</v>
      </c>
      <c r="B31" s="6">
        <v>0</v>
      </c>
      <c r="C31" s="1">
        <v>0</v>
      </c>
      <c r="D31" s="1">
        <v>6818.2586880145755</v>
      </c>
      <c r="E31" s="1">
        <v>0</v>
      </c>
      <c r="F31" s="1">
        <v>0</v>
      </c>
      <c r="G31" s="9">
        <f>SUM(MO_FINANCIAL)</f>
        <v>6818.2586880145755</v>
      </c>
      <c r="L31" s="6"/>
      <c r="V31" s="9"/>
    </row>
    <row r="32" spans="1:22">
      <c r="A32" s="1" t="s">
        <v>53</v>
      </c>
      <c r="B32" s="6">
        <v>0</v>
      </c>
      <c r="C32" s="1">
        <v>0</v>
      </c>
      <c r="D32" s="1">
        <v>4295</v>
      </c>
      <c r="E32" s="1">
        <v>0</v>
      </c>
      <c r="F32" s="1">
        <v>0</v>
      </c>
      <c r="G32" s="9">
        <f>SUM(MT_FINANCIAL)</f>
        <v>4295</v>
      </c>
      <c r="L32" s="6"/>
      <c r="V32" s="9"/>
    </row>
    <row r="33" spans="1:22">
      <c r="A33" s="1" t="s">
        <v>54</v>
      </c>
      <c r="B33" s="6">
        <v>0</v>
      </c>
      <c r="C33" s="1">
        <v>0</v>
      </c>
      <c r="D33" s="1">
        <v>0</v>
      </c>
      <c r="E33" s="1">
        <v>0</v>
      </c>
      <c r="F33" s="1">
        <v>0</v>
      </c>
      <c r="G33" s="9">
        <f>SUM(NE_FINANCIAL)</f>
        <v>0</v>
      </c>
      <c r="L33" s="6"/>
      <c r="V33" s="9"/>
    </row>
    <row r="34" spans="1:22">
      <c r="A34" s="1" t="s">
        <v>55</v>
      </c>
      <c r="B34" s="6">
        <v>0</v>
      </c>
      <c r="C34" s="1">
        <v>0</v>
      </c>
      <c r="D34" s="1">
        <v>-9136.3213482072169</v>
      </c>
      <c r="E34" s="1">
        <v>0</v>
      </c>
      <c r="F34" s="1">
        <v>0</v>
      </c>
      <c r="G34" s="9">
        <f>SUM(NV_FINANCIAL)</f>
        <v>-9136.3213482072169</v>
      </c>
      <c r="L34" s="6">
        <v>0</v>
      </c>
      <c r="M34" s="1">
        <v>0</v>
      </c>
      <c r="O34" s="1">
        <v>0</v>
      </c>
      <c r="P34" s="1">
        <v>0</v>
      </c>
      <c r="R34" s="1">
        <v>151200</v>
      </c>
      <c r="S34" s="1">
        <v>0</v>
      </c>
      <c r="U34" s="1">
        <v>0</v>
      </c>
      <c r="V34" s="9">
        <v>0</v>
      </c>
    </row>
    <row r="35" spans="1:22">
      <c r="A35" s="1" t="s">
        <v>56</v>
      </c>
      <c r="B35" s="6">
        <v>0</v>
      </c>
      <c r="C35" s="1">
        <v>0</v>
      </c>
      <c r="D35" s="1">
        <v>0</v>
      </c>
      <c r="E35" s="1">
        <v>0</v>
      </c>
      <c r="F35" s="1">
        <v>0</v>
      </c>
      <c r="G35" s="9">
        <f>SUM(NH_FINANCIAL)</f>
        <v>0</v>
      </c>
      <c r="L35" s="6"/>
      <c r="V35" s="9"/>
    </row>
    <row r="36" spans="1:22">
      <c r="A36" s="1" t="s">
        <v>57</v>
      </c>
      <c r="B36" s="6">
        <v>0</v>
      </c>
      <c r="C36" s="1">
        <v>0</v>
      </c>
      <c r="D36" s="1">
        <v>0</v>
      </c>
      <c r="E36" s="1">
        <v>0</v>
      </c>
      <c r="F36" s="1">
        <v>0</v>
      </c>
      <c r="G36" s="9">
        <f>SUM(NJ_FINANCIAL)</f>
        <v>0</v>
      </c>
      <c r="L36" s="6"/>
      <c r="V36" s="9"/>
    </row>
    <row r="37" spans="1:22">
      <c r="A37" s="1" t="s">
        <v>58</v>
      </c>
      <c r="B37" s="6">
        <v>0</v>
      </c>
      <c r="C37" s="1">
        <v>0</v>
      </c>
      <c r="D37" s="1">
        <v>1095.2007387695703</v>
      </c>
      <c r="E37" s="1">
        <v>0</v>
      </c>
      <c r="F37" s="1">
        <v>0</v>
      </c>
      <c r="G37" s="9">
        <f>SUM(NM_FINANCIAL)</f>
        <v>1095.2007387695703</v>
      </c>
      <c r="L37" s="6"/>
      <c r="V37" s="9"/>
    </row>
    <row r="38" spans="1:22">
      <c r="A38" s="1" t="s">
        <v>59</v>
      </c>
      <c r="B38" s="6">
        <v>0</v>
      </c>
      <c r="C38" s="1">
        <v>0</v>
      </c>
      <c r="D38" s="1">
        <v>0</v>
      </c>
      <c r="E38" s="1">
        <v>0</v>
      </c>
      <c r="F38" s="1">
        <v>0</v>
      </c>
      <c r="G38" s="9">
        <f>SUM(NY_FINANCIAL)</f>
        <v>0</v>
      </c>
      <c r="L38" s="6"/>
      <c r="V38" s="9"/>
    </row>
    <row r="39" spans="1:22">
      <c r="A39" s="1" t="s">
        <v>60</v>
      </c>
      <c r="B39" s="6">
        <v>0</v>
      </c>
      <c r="C39" s="1">
        <v>0</v>
      </c>
      <c r="D39" s="1">
        <v>0</v>
      </c>
      <c r="E39" s="1">
        <v>0</v>
      </c>
      <c r="F39" s="1">
        <v>0</v>
      </c>
      <c r="G39" s="9">
        <f>SUM(NC_FINANCIAL)</f>
        <v>0</v>
      </c>
      <c r="L39" s="6"/>
      <c r="V39" s="9"/>
    </row>
    <row r="40" spans="1:22">
      <c r="A40" s="1" t="s">
        <v>61</v>
      </c>
      <c r="B40" s="6">
        <v>0</v>
      </c>
      <c r="C40" s="1">
        <v>0</v>
      </c>
      <c r="D40" s="1">
        <v>0</v>
      </c>
      <c r="E40" s="1">
        <v>0</v>
      </c>
      <c r="F40" s="1">
        <v>0</v>
      </c>
      <c r="G40" s="9">
        <f>SUM(ND_FINANCIAL)</f>
        <v>0</v>
      </c>
      <c r="L40" s="6"/>
      <c r="V40" s="9"/>
    </row>
    <row r="41" spans="1:22">
      <c r="A41" s="1" t="s">
        <v>62</v>
      </c>
      <c r="B41" s="6">
        <v>0</v>
      </c>
      <c r="C41" s="1">
        <v>0</v>
      </c>
      <c r="D41" s="1">
        <v>0</v>
      </c>
      <c r="E41" s="1">
        <v>0</v>
      </c>
      <c r="F41" s="1">
        <v>0</v>
      </c>
      <c r="G41" s="9">
        <f>SUM(OH_FINANCIAL)</f>
        <v>0</v>
      </c>
      <c r="L41" s="6"/>
      <c r="V41" s="9"/>
    </row>
    <row r="42" spans="1:22">
      <c r="A42" s="1" t="s">
        <v>63</v>
      </c>
      <c r="B42" s="6">
        <v>-197.62557965040287</v>
      </c>
      <c r="C42" s="1">
        <v>0</v>
      </c>
      <c r="D42" s="1">
        <v>-2154.0990556314355</v>
      </c>
      <c r="E42" s="1">
        <v>0</v>
      </c>
      <c r="F42" s="1">
        <v>0</v>
      </c>
      <c r="G42" s="9">
        <f>SUM(OK_FINANCIAL)</f>
        <v>-2351.7246352818383</v>
      </c>
      <c r="L42" s="6">
        <v>0</v>
      </c>
      <c r="M42" s="1">
        <v>0</v>
      </c>
      <c r="O42" s="1">
        <v>0</v>
      </c>
      <c r="P42" s="1">
        <v>0</v>
      </c>
      <c r="R42" s="1">
        <v>0</v>
      </c>
      <c r="S42" s="1">
        <v>0</v>
      </c>
      <c r="U42" s="1">
        <v>0</v>
      </c>
      <c r="V42" s="9">
        <v>0</v>
      </c>
    </row>
    <row r="43" spans="1:22">
      <c r="A43" s="1" t="s">
        <v>64</v>
      </c>
      <c r="B43" s="6">
        <v>0</v>
      </c>
      <c r="C43" s="1">
        <v>0</v>
      </c>
      <c r="D43" s="1">
        <v>-1257.9881652426084</v>
      </c>
      <c r="E43" s="1">
        <v>0</v>
      </c>
      <c r="F43" s="1">
        <v>0</v>
      </c>
      <c r="G43" s="9">
        <f>SUM(OR_FINANCIAL)</f>
        <v>-1257.9881652426084</v>
      </c>
      <c r="L43" s="6"/>
      <c r="V43" s="9"/>
    </row>
    <row r="44" spans="1:22">
      <c r="A44" s="1" t="s">
        <v>65</v>
      </c>
      <c r="B44" s="6">
        <v>0</v>
      </c>
      <c r="C44" s="1">
        <v>0</v>
      </c>
      <c r="D44" s="1">
        <v>0</v>
      </c>
      <c r="E44" s="1">
        <v>0</v>
      </c>
      <c r="F44" s="1">
        <v>0</v>
      </c>
      <c r="G44" s="9">
        <f>SUM(PA_FINANCIAL)</f>
        <v>0</v>
      </c>
      <c r="L44" s="6"/>
      <c r="V44" s="9"/>
    </row>
    <row r="45" spans="1:22">
      <c r="A45" s="1" t="s">
        <v>66</v>
      </c>
      <c r="B45" s="6">
        <v>0</v>
      </c>
      <c r="C45" s="1">
        <v>0</v>
      </c>
      <c r="D45" s="1">
        <v>0</v>
      </c>
      <c r="E45" s="1">
        <v>0</v>
      </c>
      <c r="F45" s="1">
        <v>0</v>
      </c>
      <c r="G45" s="9">
        <f>SUM(PR_FINANCIAL)</f>
        <v>0</v>
      </c>
      <c r="L45" s="6"/>
      <c r="V45" s="9"/>
    </row>
    <row r="46" spans="1:22">
      <c r="A46" s="1" t="s">
        <v>67</v>
      </c>
      <c r="B46" s="6">
        <v>0</v>
      </c>
      <c r="C46" s="1">
        <v>0</v>
      </c>
      <c r="D46" s="1">
        <v>0</v>
      </c>
      <c r="E46" s="1">
        <v>0</v>
      </c>
      <c r="F46" s="1">
        <v>0</v>
      </c>
      <c r="G46" s="9">
        <f>SUM(RI_FINANCIAL)</f>
        <v>0</v>
      </c>
      <c r="L46" s="6"/>
      <c r="V46" s="9"/>
    </row>
    <row r="47" spans="1:22">
      <c r="A47" s="1" t="s">
        <v>68</v>
      </c>
      <c r="B47" s="6">
        <v>0</v>
      </c>
      <c r="C47" s="1">
        <v>0</v>
      </c>
      <c r="D47" s="1">
        <v>0</v>
      </c>
      <c r="E47" s="1">
        <v>0</v>
      </c>
      <c r="F47" s="1">
        <v>0</v>
      </c>
      <c r="G47" s="9">
        <f>SUM(SC_FINANCIAL)</f>
        <v>0</v>
      </c>
      <c r="L47" s="6"/>
      <c r="V47" s="9"/>
    </row>
    <row r="48" spans="1:22">
      <c r="A48" s="1" t="s">
        <v>69</v>
      </c>
      <c r="B48" s="6">
        <v>0</v>
      </c>
      <c r="C48" s="1">
        <v>0</v>
      </c>
      <c r="D48" s="1">
        <v>0</v>
      </c>
      <c r="E48" s="1">
        <v>0</v>
      </c>
      <c r="F48" s="1">
        <v>0</v>
      </c>
      <c r="G48" s="9">
        <f>SUM(SD_FINANCIAL)</f>
        <v>0</v>
      </c>
      <c r="L48" s="6"/>
      <c r="V48" s="9"/>
    </row>
    <row r="49" spans="1:22">
      <c r="A49" s="1" t="s">
        <v>70</v>
      </c>
      <c r="B49" s="6">
        <v>0</v>
      </c>
      <c r="C49" s="1">
        <v>0</v>
      </c>
      <c r="D49" s="1">
        <v>-207.50940578438076</v>
      </c>
      <c r="E49" s="1">
        <v>0</v>
      </c>
      <c r="F49" s="1">
        <v>0</v>
      </c>
      <c r="G49" s="9">
        <f>SUM(TN_FINANCIAL)</f>
        <v>-207.50940578438076</v>
      </c>
      <c r="L49" s="6"/>
      <c r="V49" s="9"/>
    </row>
    <row r="50" spans="1:22">
      <c r="A50" s="1" t="s">
        <v>71</v>
      </c>
      <c r="B50" s="6">
        <v>0</v>
      </c>
      <c r="C50" s="1">
        <v>0</v>
      </c>
      <c r="D50" s="1">
        <v>-8197.5331728536403</v>
      </c>
      <c r="E50" s="1">
        <v>0</v>
      </c>
      <c r="F50" s="1">
        <v>0</v>
      </c>
      <c r="G50" s="9">
        <f>SUM(TX_FINANCIAL)</f>
        <v>-8197.5331728536403</v>
      </c>
      <c r="L50" s="6">
        <v>0</v>
      </c>
      <c r="M50" s="1">
        <v>0</v>
      </c>
      <c r="O50" s="1">
        <v>0</v>
      </c>
      <c r="P50" s="1">
        <v>0</v>
      </c>
      <c r="R50" s="1">
        <v>113018</v>
      </c>
      <c r="S50" s="1">
        <v>80000</v>
      </c>
      <c r="U50" s="1">
        <v>0</v>
      </c>
      <c r="V50" s="9">
        <v>0</v>
      </c>
    </row>
    <row r="51" spans="1:22">
      <c r="A51" s="1" t="s">
        <v>72</v>
      </c>
      <c r="B51" s="6">
        <v>0</v>
      </c>
      <c r="C51" s="1">
        <v>0</v>
      </c>
      <c r="D51" s="1">
        <v>47719.22098832234</v>
      </c>
      <c r="E51" s="1">
        <v>0</v>
      </c>
      <c r="F51" s="1">
        <v>0</v>
      </c>
      <c r="G51" s="9">
        <f>SUM(UT_FINANCIAL)</f>
        <v>47719.22098832234</v>
      </c>
      <c r="L51" s="6">
        <v>0</v>
      </c>
      <c r="M51" s="1">
        <v>0</v>
      </c>
      <c r="O51" s="1">
        <v>0</v>
      </c>
      <c r="P51" s="1">
        <v>0</v>
      </c>
      <c r="R51" s="1">
        <v>150000</v>
      </c>
      <c r="S51" s="1">
        <v>0</v>
      </c>
      <c r="U51" s="1">
        <v>0</v>
      </c>
      <c r="V51" s="9">
        <v>0</v>
      </c>
    </row>
    <row r="52" spans="1:22">
      <c r="A52" s="1" t="s">
        <v>73</v>
      </c>
      <c r="B52" s="6">
        <v>0</v>
      </c>
      <c r="C52" s="1">
        <v>0</v>
      </c>
      <c r="D52" s="1">
        <v>0</v>
      </c>
      <c r="E52" s="1">
        <v>0</v>
      </c>
      <c r="F52" s="1">
        <v>0</v>
      </c>
      <c r="G52" s="9">
        <f>SUM(VT_FINANCIAL)</f>
        <v>0</v>
      </c>
      <c r="L52" s="6"/>
      <c r="V52" s="9"/>
    </row>
    <row r="53" spans="1:22">
      <c r="A53" s="1" t="s">
        <v>74</v>
      </c>
      <c r="B53" s="6">
        <v>0</v>
      </c>
      <c r="C53" s="1">
        <v>0</v>
      </c>
      <c r="D53" s="1">
        <v>0</v>
      </c>
      <c r="E53" s="1">
        <v>0</v>
      </c>
      <c r="F53" s="1">
        <v>0</v>
      </c>
      <c r="G53" s="9">
        <f>SUM(VA_FINANCIAL)</f>
        <v>0</v>
      </c>
      <c r="L53" s="6"/>
      <c r="V53" s="9"/>
    </row>
    <row r="54" spans="1:22">
      <c r="A54" s="1" t="s">
        <v>75</v>
      </c>
      <c r="B54" s="6">
        <v>0</v>
      </c>
      <c r="C54" s="1">
        <v>0</v>
      </c>
      <c r="D54" s="1">
        <v>0</v>
      </c>
      <c r="E54" s="1">
        <v>0</v>
      </c>
      <c r="F54" s="1">
        <v>0</v>
      </c>
      <c r="G54" s="9">
        <f>SUM(WA_FINANCIAL)</f>
        <v>0</v>
      </c>
      <c r="L54" s="6"/>
      <c r="V54" s="9"/>
    </row>
    <row r="55" spans="1:22">
      <c r="A55" s="1" t="s">
        <v>76</v>
      </c>
      <c r="B55" s="6">
        <v>0</v>
      </c>
      <c r="C55" s="1">
        <v>0</v>
      </c>
      <c r="D55" s="1">
        <v>0</v>
      </c>
      <c r="E55" s="1">
        <v>0</v>
      </c>
      <c r="F55" s="1">
        <v>0</v>
      </c>
      <c r="G55" s="9">
        <f>SUM(WV_FINANCIAL)</f>
        <v>0</v>
      </c>
      <c r="L55" s="6"/>
      <c r="V55" s="9"/>
    </row>
    <row r="56" spans="1:22">
      <c r="A56" s="1" t="s">
        <v>77</v>
      </c>
      <c r="B56" s="6">
        <v>0</v>
      </c>
      <c r="C56" s="1">
        <v>0</v>
      </c>
      <c r="D56" s="1">
        <v>0</v>
      </c>
      <c r="E56" s="1">
        <v>0</v>
      </c>
      <c r="F56" s="1">
        <v>0</v>
      </c>
      <c r="G56" s="9">
        <f>SUM(WI_FINANCIAL)</f>
        <v>0</v>
      </c>
      <c r="L56" s="6"/>
      <c r="V56" s="9"/>
    </row>
    <row r="57" spans="1:22">
      <c r="A57" s="1" t="s">
        <v>78</v>
      </c>
      <c r="B57" s="6">
        <v>0</v>
      </c>
      <c r="C57" s="1">
        <v>0</v>
      </c>
      <c r="D57" s="1">
        <v>-502.28748025021923</v>
      </c>
      <c r="E57" s="1">
        <v>0</v>
      </c>
      <c r="F57" s="1">
        <v>0</v>
      </c>
      <c r="G57" s="9">
        <f>SUM(WY_FINANCIAL)</f>
        <v>-502.28748025021923</v>
      </c>
      <c r="L57" s="6"/>
      <c r="V57" s="9"/>
    </row>
    <row r="58" spans="1:22">
      <c r="A58" s="1" t="s">
        <v>79</v>
      </c>
      <c r="B58" s="6">
        <v>0</v>
      </c>
      <c r="C58" s="1">
        <v>0</v>
      </c>
      <c r="D58" s="1">
        <v>0</v>
      </c>
      <c r="E58" s="1">
        <v>0</v>
      </c>
      <c r="F58" s="1">
        <v>0</v>
      </c>
      <c r="G58" s="9">
        <f>SUM(OT_FINANCIAL)</f>
        <v>0</v>
      </c>
      <c r="L58" s="6"/>
      <c r="V58" s="9"/>
    </row>
    <row r="59" spans="1:22">
      <c r="B59" s="6"/>
      <c r="G59" s="9"/>
      <c r="L59" s="6"/>
      <c r="V59" s="9"/>
    </row>
    <row r="60" spans="1:22">
      <c r="A60" s="1" t="s">
        <v>8</v>
      </c>
      <c r="B60" s="6">
        <f>SUM(LIFE)</f>
        <v>-693.9963165864574</v>
      </c>
      <c r="C60" s="1">
        <f>SUM(ALLOCATED)</f>
        <v>0</v>
      </c>
      <c r="D60" s="1">
        <f>SUM(HEALTH)</f>
        <v>-135358.01368341275</v>
      </c>
      <c r="E60" s="1">
        <f>SUM(UNALLOCATED)</f>
        <v>0</v>
      </c>
      <c r="F60" s="1">
        <f>SUM(LTC)</f>
        <v>0</v>
      </c>
      <c r="G60" s="9">
        <f>SUM(ALL_BLOCKS)</f>
        <v>-136052.00999999919</v>
      </c>
      <c r="L60" s="6">
        <f>SUM(LIFE_CALLED)</f>
        <v>0</v>
      </c>
      <c r="M60" s="1">
        <f>SUM(LIFE_REFUNDED)</f>
        <v>0</v>
      </c>
      <c r="O60" s="1">
        <f>SUM(ALLOC_CALLED)</f>
        <v>0</v>
      </c>
      <c r="P60" s="1">
        <f>SUM(ALLOC_REFUNDED)</f>
        <v>0</v>
      </c>
      <c r="R60" s="1">
        <f>SUM(HEALTH_CALLED)</f>
        <v>1804218</v>
      </c>
      <c r="S60" s="1">
        <f>SUM(HEALTH_REFUNDED)</f>
        <v>1145622</v>
      </c>
      <c r="U60" s="1">
        <f>SUM(UNALLOC_CALLED)</f>
        <v>0</v>
      </c>
      <c r="V60" s="9">
        <f>SUM(UNALLOC_REFUNDED)</f>
        <v>0</v>
      </c>
    </row>
    <row r="61" spans="1:22" ht="5.0999999999999996" customHeight="1">
      <c r="B61" s="6"/>
      <c r="G61" s="9"/>
      <c r="L61" s="6"/>
      <c r="V61" s="9"/>
    </row>
    <row r="62" spans="1:22">
      <c r="B62" s="6"/>
      <c r="G62" s="9"/>
      <c r="L62" s="78" t="s">
        <v>80</v>
      </c>
      <c r="M62" s="79"/>
      <c r="N62" s="79"/>
      <c r="O62" s="79"/>
      <c r="P62" s="79"/>
      <c r="Q62" s="79"/>
      <c r="R62" s="79"/>
      <c r="S62" s="79"/>
      <c r="T62" s="79"/>
      <c r="U62" s="79"/>
      <c r="V62" s="80"/>
    </row>
    <row r="63" spans="1:22">
      <c r="B63" s="6"/>
      <c r="G63" s="9"/>
      <c r="L63" s="81"/>
      <c r="M63" s="79"/>
      <c r="N63" s="79"/>
      <c r="O63" s="79"/>
      <c r="P63" s="79"/>
      <c r="Q63" s="79"/>
      <c r="R63" s="79"/>
      <c r="S63" s="79"/>
      <c r="T63" s="79"/>
      <c r="U63" s="79"/>
      <c r="V63" s="80"/>
    </row>
    <row r="64" spans="1:22">
      <c r="B64" s="8"/>
      <c r="C64" s="5"/>
      <c r="D64" s="5"/>
      <c r="E64" s="5"/>
      <c r="F64" s="5"/>
      <c r="G64" s="11"/>
      <c r="L64" s="82"/>
      <c r="M64" s="83"/>
      <c r="N64" s="83"/>
      <c r="O64" s="83"/>
      <c r="P64" s="83"/>
      <c r="Q64" s="83"/>
      <c r="R64" s="83"/>
      <c r="S64" s="83"/>
      <c r="T64" s="83"/>
      <c r="U64" s="83"/>
      <c r="V64" s="84"/>
    </row>
  </sheetData>
  <mergeCells count="8">
    <mergeCell ref="L62:V64"/>
    <mergeCell ref="A1:G1"/>
    <mergeCell ref="B3:G3"/>
    <mergeCell ref="L3:V3"/>
    <mergeCell ref="L4:M4"/>
    <mergeCell ref="O4:P4"/>
    <mergeCell ref="R4:S4"/>
    <mergeCell ref="U4:V4"/>
  </mergeCells>
  <pageMargins left="0" right="0" top="0" bottom="0" header="0" footer="0"/>
  <pageSetup scale="48"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V64"/>
  <sheetViews>
    <sheetView zoomScale="75" workbookViewId="0">
      <selection sqref="A1:G1"/>
    </sheetView>
  </sheetViews>
  <sheetFormatPr defaultColWidth="9.109375" defaultRowHeight="14.4"/>
  <cols>
    <col min="1" max="1" width="20" style="1" customWidth="1"/>
    <col min="2" max="7" width="15" style="1" customWidth="1"/>
    <col min="8" max="8" width="1" style="1" customWidth="1"/>
    <col min="9" max="9" width="30" style="1" customWidth="1"/>
    <col min="10" max="10" width="15" style="1" customWidth="1"/>
    <col min="11" max="11" width="1" style="1" customWidth="1"/>
    <col min="12" max="13" width="15" style="1" customWidth="1"/>
    <col min="14" max="14" width="1" style="1" customWidth="1"/>
    <col min="15" max="16" width="15" style="1" customWidth="1"/>
    <col min="17" max="17" width="1" style="1" customWidth="1"/>
    <col min="18" max="19" width="15" style="1" customWidth="1"/>
    <col min="20" max="20" width="1" style="1" customWidth="1"/>
    <col min="21" max="22" width="15" style="1" customWidth="1"/>
    <col min="23" max="23" width="9.109375" style="1" customWidth="1"/>
    <col min="24" max="16384" width="9.109375" style="1"/>
  </cols>
  <sheetData>
    <row r="1" spans="1:22">
      <c r="A1" s="85" t="s">
        <v>91</v>
      </c>
      <c r="B1" s="79"/>
      <c r="C1" s="79"/>
      <c r="D1" s="79"/>
      <c r="E1" s="79"/>
      <c r="F1" s="79"/>
      <c r="G1" s="79"/>
    </row>
    <row r="3" spans="1:22">
      <c r="B3" s="86" t="s">
        <v>1</v>
      </c>
      <c r="C3" s="87"/>
      <c r="D3" s="87"/>
      <c r="E3" s="87"/>
      <c r="F3" s="87"/>
      <c r="G3" s="88"/>
      <c r="L3" s="89" t="s">
        <v>2</v>
      </c>
      <c r="M3" s="90"/>
      <c r="N3" s="90"/>
      <c r="O3" s="90"/>
      <c r="P3" s="90"/>
      <c r="Q3" s="90"/>
      <c r="R3" s="90"/>
      <c r="S3" s="90"/>
      <c r="T3" s="90"/>
      <c r="U3" s="90"/>
      <c r="V3" s="91"/>
    </row>
    <row r="4" spans="1:22">
      <c r="B4" s="6"/>
      <c r="G4" s="9"/>
      <c r="L4" s="92" t="s">
        <v>3</v>
      </c>
      <c r="M4" s="93"/>
      <c r="N4" s="3"/>
      <c r="O4" s="94" t="s">
        <v>4</v>
      </c>
      <c r="P4" s="93"/>
      <c r="Q4" s="3"/>
      <c r="R4" s="94" t="s">
        <v>5</v>
      </c>
      <c r="S4" s="93"/>
      <c r="T4" s="3"/>
      <c r="U4" s="94" t="s">
        <v>6</v>
      </c>
      <c r="V4" s="95"/>
    </row>
    <row r="5" spans="1:22" ht="60" customHeight="1">
      <c r="B5" s="7" t="s">
        <v>3</v>
      </c>
      <c r="C5" s="4" t="s">
        <v>4</v>
      </c>
      <c r="D5" s="4" t="s">
        <v>5</v>
      </c>
      <c r="E5" s="4" t="s">
        <v>6</v>
      </c>
      <c r="F5" s="4" t="s">
        <v>7</v>
      </c>
      <c r="G5" s="10" t="s">
        <v>8</v>
      </c>
      <c r="L5" s="19" t="s">
        <v>9</v>
      </c>
      <c r="M5" s="18" t="s">
        <v>10</v>
      </c>
      <c r="N5" s="18"/>
      <c r="O5" s="18" t="s">
        <v>9</v>
      </c>
      <c r="P5" s="18" t="s">
        <v>10</v>
      </c>
      <c r="Q5" s="18"/>
      <c r="R5" s="18" t="s">
        <v>9</v>
      </c>
      <c r="S5" s="18" t="s">
        <v>10</v>
      </c>
      <c r="T5" s="18"/>
      <c r="U5" s="18" t="s">
        <v>9</v>
      </c>
      <c r="V5" s="20" t="s">
        <v>10</v>
      </c>
    </row>
    <row r="6" spans="1:22">
      <c r="A6" s="1" t="s">
        <v>11</v>
      </c>
      <c r="B6" s="6">
        <v>0</v>
      </c>
      <c r="C6" s="1">
        <v>0</v>
      </c>
      <c r="D6" s="1">
        <v>0</v>
      </c>
      <c r="E6" s="1">
        <v>0</v>
      </c>
      <c r="F6" s="1">
        <v>0</v>
      </c>
      <c r="G6" s="9">
        <f>SUM(AL_FINANCIAL)</f>
        <v>0</v>
      </c>
      <c r="L6" s="6"/>
      <c r="V6" s="9"/>
    </row>
    <row r="7" spans="1:22">
      <c r="A7" s="1" t="s">
        <v>12</v>
      </c>
      <c r="B7" s="6">
        <v>0</v>
      </c>
      <c r="C7" s="1">
        <v>0</v>
      </c>
      <c r="D7" s="1">
        <v>0</v>
      </c>
      <c r="E7" s="1">
        <v>0</v>
      </c>
      <c r="F7" s="1">
        <v>0</v>
      </c>
      <c r="G7" s="9">
        <f>SUM(AK_FINANCIAL)</f>
        <v>0</v>
      </c>
      <c r="I7" s="12"/>
      <c r="J7" s="15"/>
      <c r="L7" s="6"/>
      <c r="V7" s="9"/>
    </row>
    <row r="8" spans="1:22">
      <c r="A8" s="1" t="s">
        <v>13</v>
      </c>
      <c r="B8" s="6">
        <v>292195.74565897021</v>
      </c>
      <c r="C8" s="1">
        <v>3162530.468816313</v>
      </c>
      <c r="D8" s="1">
        <v>-13983.454475283674</v>
      </c>
      <c r="E8" s="1">
        <v>0</v>
      </c>
      <c r="F8" s="1">
        <v>0</v>
      </c>
      <c r="G8" s="9">
        <f>SUM(AZ_FINANCIAL)</f>
        <v>3440742.76</v>
      </c>
      <c r="I8" s="13" t="s">
        <v>14</v>
      </c>
      <c r="J8" s="16"/>
      <c r="L8" s="6">
        <v>0</v>
      </c>
      <c r="M8" s="1">
        <v>0</v>
      </c>
      <c r="O8" s="1">
        <v>5266318</v>
      </c>
      <c r="P8" s="1">
        <v>0</v>
      </c>
      <c r="R8" s="1">
        <v>10907</v>
      </c>
      <c r="S8" s="1">
        <v>0</v>
      </c>
      <c r="U8" s="1">
        <v>0</v>
      </c>
      <c r="V8" s="9">
        <v>0</v>
      </c>
    </row>
    <row r="9" spans="1:22">
      <c r="A9" s="1" t="s">
        <v>15</v>
      </c>
      <c r="B9" s="6">
        <v>0</v>
      </c>
      <c r="C9" s="1">
        <v>0</v>
      </c>
      <c r="D9" s="1">
        <v>0</v>
      </c>
      <c r="E9" s="1">
        <v>0</v>
      </c>
      <c r="F9" s="1">
        <v>0</v>
      </c>
      <c r="G9" s="9">
        <f>SUM(AR_FINANCIAL)</f>
        <v>0</v>
      </c>
      <c r="I9" s="13"/>
      <c r="J9" s="16"/>
      <c r="L9" s="6"/>
      <c r="V9" s="9"/>
    </row>
    <row r="10" spans="1:22">
      <c r="A10" s="1" t="s">
        <v>16</v>
      </c>
      <c r="B10" s="6">
        <v>0</v>
      </c>
      <c r="C10" s="1">
        <v>0</v>
      </c>
      <c r="D10" s="1">
        <v>0</v>
      </c>
      <c r="E10" s="1">
        <v>0</v>
      </c>
      <c r="F10" s="1">
        <v>0</v>
      </c>
      <c r="G10" s="9">
        <f>SUM(CA_FINANCIAL)</f>
        <v>0</v>
      </c>
      <c r="I10" s="13" t="s">
        <v>17</v>
      </c>
      <c r="J10" s="16">
        <v>100984376</v>
      </c>
      <c r="L10" s="6"/>
      <c r="V10" s="9"/>
    </row>
    <row r="11" spans="1:22">
      <c r="A11" s="1" t="s">
        <v>18</v>
      </c>
      <c r="B11" s="6">
        <v>0</v>
      </c>
      <c r="C11" s="1">
        <v>0</v>
      </c>
      <c r="D11" s="1">
        <v>0</v>
      </c>
      <c r="E11" s="1">
        <v>0</v>
      </c>
      <c r="F11" s="1">
        <v>0</v>
      </c>
      <c r="G11" s="9">
        <f>SUM(CO_FINANCIAL)</f>
        <v>0</v>
      </c>
      <c r="I11" s="13"/>
      <c r="J11" s="16"/>
      <c r="L11" s="6"/>
      <c r="V11" s="9"/>
    </row>
    <row r="12" spans="1:22">
      <c r="A12" s="1" t="s">
        <v>19</v>
      </c>
      <c r="B12" s="6">
        <v>0</v>
      </c>
      <c r="C12" s="1">
        <v>0</v>
      </c>
      <c r="D12" s="1">
        <v>0</v>
      </c>
      <c r="E12" s="1">
        <v>0</v>
      </c>
      <c r="F12" s="1">
        <v>0</v>
      </c>
      <c r="G12" s="9">
        <f>SUM(CT_FINANCIAL)</f>
        <v>0</v>
      </c>
      <c r="I12" s="13" t="s">
        <v>20</v>
      </c>
      <c r="J12" s="16"/>
      <c r="L12" s="6"/>
      <c r="V12" s="9"/>
    </row>
    <row r="13" spans="1:22">
      <c r="A13" s="1" t="s">
        <v>21</v>
      </c>
      <c r="B13" s="6">
        <v>0</v>
      </c>
      <c r="C13" s="1">
        <v>0</v>
      </c>
      <c r="D13" s="1">
        <v>0</v>
      </c>
      <c r="E13" s="1">
        <v>0</v>
      </c>
      <c r="F13" s="1">
        <v>0</v>
      </c>
      <c r="G13" s="9">
        <f>SUM(DE_FINANCIAL)</f>
        <v>0</v>
      </c>
      <c r="I13" s="13" t="s">
        <v>22</v>
      </c>
      <c r="J13" s="16">
        <v>15711384</v>
      </c>
      <c r="L13" s="6"/>
      <c r="V13" s="9"/>
    </row>
    <row r="14" spans="1:22">
      <c r="A14" s="1" t="s">
        <v>23</v>
      </c>
      <c r="B14" s="6">
        <v>0</v>
      </c>
      <c r="C14" s="1">
        <v>0</v>
      </c>
      <c r="D14" s="1">
        <v>0</v>
      </c>
      <c r="E14" s="1">
        <v>0</v>
      </c>
      <c r="F14" s="1">
        <v>0</v>
      </c>
      <c r="G14" s="9">
        <f>SUM(DC_FINANCIAL)</f>
        <v>0</v>
      </c>
      <c r="I14" s="13" t="s">
        <v>24</v>
      </c>
      <c r="J14" s="16">
        <v>1007803.02</v>
      </c>
      <c r="L14" s="6"/>
      <c r="V14" s="9"/>
    </row>
    <row r="15" spans="1:22">
      <c r="A15" s="1" t="s">
        <v>25</v>
      </c>
      <c r="B15" s="6">
        <v>0</v>
      </c>
      <c r="C15" s="1">
        <v>0</v>
      </c>
      <c r="D15" s="1">
        <v>0</v>
      </c>
      <c r="E15" s="1">
        <v>0</v>
      </c>
      <c r="F15" s="1">
        <v>0</v>
      </c>
      <c r="G15" s="9">
        <f>SUM(FL_FINANCIAL)</f>
        <v>0</v>
      </c>
      <c r="I15" s="13" t="s">
        <v>26</v>
      </c>
      <c r="J15" s="16">
        <v>776736.9800000001</v>
      </c>
      <c r="L15" s="6"/>
      <c r="V15" s="9"/>
    </row>
    <row r="16" spans="1:22">
      <c r="A16" s="1" t="s">
        <v>27</v>
      </c>
      <c r="B16" s="6">
        <v>0</v>
      </c>
      <c r="C16" s="1">
        <v>0</v>
      </c>
      <c r="D16" s="1">
        <v>0</v>
      </c>
      <c r="E16" s="1">
        <v>0</v>
      </c>
      <c r="F16" s="1">
        <v>0</v>
      </c>
      <c r="G16" s="9">
        <f>SUM(GA_FINANCIAL)</f>
        <v>0</v>
      </c>
      <c r="I16" s="13" t="s">
        <v>28</v>
      </c>
      <c r="J16" s="16">
        <v>0</v>
      </c>
      <c r="L16" s="6"/>
      <c r="V16" s="9"/>
    </row>
    <row r="17" spans="1:22">
      <c r="A17" s="1" t="s">
        <v>29</v>
      </c>
      <c r="B17" s="6">
        <v>0</v>
      </c>
      <c r="C17" s="1">
        <v>0</v>
      </c>
      <c r="D17" s="1">
        <v>0</v>
      </c>
      <c r="E17" s="1">
        <v>0</v>
      </c>
      <c r="F17" s="1">
        <v>0</v>
      </c>
      <c r="G17" s="9">
        <f>SUM(HI_FINANCIAL)</f>
        <v>0</v>
      </c>
      <c r="I17" s="13"/>
      <c r="J17" s="16"/>
      <c r="L17" s="6"/>
      <c r="V17" s="9"/>
    </row>
    <row r="18" spans="1:22">
      <c r="A18" s="1" t="s">
        <v>30</v>
      </c>
      <c r="B18" s="6">
        <v>0</v>
      </c>
      <c r="C18" s="1">
        <v>0</v>
      </c>
      <c r="D18" s="1">
        <v>0</v>
      </c>
      <c r="E18" s="1">
        <v>0</v>
      </c>
      <c r="F18" s="1">
        <v>0</v>
      </c>
      <c r="G18" s="9">
        <f>SUM(ID_FINANCIAL)</f>
        <v>0</v>
      </c>
      <c r="I18" s="13" t="s">
        <v>31</v>
      </c>
      <c r="J18" s="16"/>
      <c r="L18" s="6"/>
      <c r="V18" s="9"/>
    </row>
    <row r="19" spans="1:22">
      <c r="A19" s="1" t="s">
        <v>32</v>
      </c>
      <c r="B19" s="6">
        <v>1472917.5463450828</v>
      </c>
      <c r="C19" s="1">
        <v>27571943.965317987</v>
      </c>
      <c r="D19" s="1">
        <v>-104763.61166306857</v>
      </c>
      <c r="E19" s="1">
        <v>0</v>
      </c>
      <c r="F19" s="1">
        <v>0</v>
      </c>
      <c r="G19" s="9">
        <f>SUM(IL_FINANCIAL)</f>
        <v>28940097.899999999</v>
      </c>
      <c r="I19" s="13" t="s">
        <v>33</v>
      </c>
      <c r="J19" s="16">
        <v>31395970.34</v>
      </c>
      <c r="L19" s="6">
        <v>4451000</v>
      </c>
      <c r="M19" s="1">
        <v>3470000</v>
      </c>
      <c r="O19" s="1">
        <v>59749000</v>
      </c>
      <c r="P19" s="1">
        <v>39945000</v>
      </c>
      <c r="R19" s="1">
        <v>1300000</v>
      </c>
      <c r="S19" s="1">
        <v>1500000</v>
      </c>
      <c r="U19" s="1">
        <v>8000000</v>
      </c>
      <c r="V19" s="9">
        <v>2700000</v>
      </c>
    </row>
    <row r="20" spans="1:22">
      <c r="A20" s="1" t="s">
        <v>34</v>
      </c>
      <c r="B20" s="6">
        <v>6576.2247838514159</v>
      </c>
      <c r="C20" s="1">
        <v>555216.63375590381</v>
      </c>
      <c r="D20" s="1">
        <v>418.14146024488764</v>
      </c>
      <c r="E20" s="1">
        <v>0</v>
      </c>
      <c r="F20" s="1">
        <v>0</v>
      </c>
      <c r="G20" s="9">
        <f>SUM(IN_FINANCIAL)</f>
        <v>562211.00000000012</v>
      </c>
      <c r="I20" s="13" t="s">
        <v>35</v>
      </c>
      <c r="J20" s="16">
        <v>15711384</v>
      </c>
      <c r="L20" s="6"/>
      <c r="V20" s="9"/>
    </row>
    <row r="21" spans="1:22">
      <c r="A21" s="1" t="s">
        <v>36</v>
      </c>
      <c r="B21" s="6">
        <v>0</v>
      </c>
      <c r="C21" s="1">
        <v>0</v>
      </c>
      <c r="D21" s="1">
        <v>0</v>
      </c>
      <c r="E21" s="1">
        <v>0</v>
      </c>
      <c r="F21" s="1">
        <v>0</v>
      </c>
      <c r="G21" s="9">
        <f>SUM(IA_FINANCIAL)</f>
        <v>0</v>
      </c>
      <c r="I21" s="13" t="s">
        <v>37</v>
      </c>
      <c r="J21" s="16"/>
      <c r="L21" s="6"/>
      <c r="V21" s="9"/>
    </row>
    <row r="22" spans="1:22">
      <c r="A22" s="1" t="s">
        <v>38</v>
      </c>
      <c r="B22" s="6">
        <v>0</v>
      </c>
      <c r="C22" s="1">
        <v>0</v>
      </c>
      <c r="D22" s="1">
        <v>0</v>
      </c>
      <c r="E22" s="1">
        <v>0</v>
      </c>
      <c r="F22" s="1">
        <v>0</v>
      </c>
      <c r="G22" s="9">
        <f>SUM(KS_FINANCIAL)</f>
        <v>0</v>
      </c>
      <c r="I22" s="13" t="s">
        <v>39</v>
      </c>
      <c r="J22" s="16">
        <v>0</v>
      </c>
      <c r="L22" s="6"/>
      <c r="V22" s="9"/>
    </row>
    <row r="23" spans="1:22">
      <c r="A23" s="1" t="s">
        <v>40</v>
      </c>
      <c r="B23" s="6">
        <v>0</v>
      </c>
      <c r="C23" s="1">
        <v>0</v>
      </c>
      <c r="D23" s="1">
        <v>0</v>
      </c>
      <c r="E23" s="1">
        <v>0</v>
      </c>
      <c r="F23" s="1">
        <v>0</v>
      </c>
      <c r="G23" s="9">
        <f>SUM(KY_FINANCIAL)</f>
        <v>0</v>
      </c>
      <c r="I23" s="13" t="s">
        <v>41</v>
      </c>
      <c r="J23" s="16"/>
      <c r="L23" s="6"/>
      <c r="V23" s="9"/>
    </row>
    <row r="24" spans="1:22">
      <c r="A24" s="1" t="s">
        <v>42</v>
      </c>
      <c r="B24" s="6">
        <v>0</v>
      </c>
      <c r="C24" s="1">
        <v>0</v>
      </c>
      <c r="D24" s="1">
        <v>0</v>
      </c>
      <c r="E24" s="1">
        <v>0</v>
      </c>
      <c r="F24" s="1">
        <v>0</v>
      </c>
      <c r="G24" s="9">
        <f>SUM(LA_FINANCIAL)</f>
        <v>0</v>
      </c>
      <c r="I24" s="13" t="s">
        <v>43</v>
      </c>
      <c r="J24" s="16">
        <v>38146878</v>
      </c>
      <c r="L24" s="6"/>
      <c r="V24" s="9"/>
    </row>
    <row r="25" spans="1:22">
      <c r="A25" s="1" t="s">
        <v>44</v>
      </c>
      <c r="B25" s="6">
        <v>0</v>
      </c>
      <c r="C25" s="1">
        <v>0</v>
      </c>
      <c r="D25" s="1">
        <v>0</v>
      </c>
      <c r="E25" s="1">
        <v>0</v>
      </c>
      <c r="F25" s="1">
        <v>0</v>
      </c>
      <c r="G25" s="9">
        <f>SUM(ME_FINANCIAL)</f>
        <v>0</v>
      </c>
      <c r="I25" s="13"/>
      <c r="J25" s="16"/>
      <c r="L25" s="6"/>
      <c r="V25" s="9"/>
    </row>
    <row r="26" spans="1:22">
      <c r="A26" s="1" t="s">
        <v>45</v>
      </c>
      <c r="B26" s="6">
        <v>0</v>
      </c>
      <c r="C26" s="1">
        <v>0</v>
      </c>
      <c r="D26" s="1">
        <v>0</v>
      </c>
      <c r="E26" s="1">
        <v>0</v>
      </c>
      <c r="F26" s="1">
        <v>0</v>
      </c>
      <c r="G26" s="9">
        <f>SUM(MD_FINANCIAL)</f>
        <v>0</v>
      </c>
      <c r="I26" s="13" t="s">
        <v>46</v>
      </c>
      <c r="J26" s="16">
        <f>SUM(ADD_FINANCIAL)-SUM(LESS_FINANCIAL)</f>
        <v>33226067.659999996</v>
      </c>
      <c r="L26" s="6"/>
      <c r="V26" s="9"/>
    </row>
    <row r="27" spans="1:22">
      <c r="A27" s="1" t="s">
        <v>47</v>
      </c>
      <c r="B27" s="6">
        <v>0</v>
      </c>
      <c r="C27" s="1">
        <v>0</v>
      </c>
      <c r="D27" s="1">
        <v>0</v>
      </c>
      <c r="E27" s="1">
        <v>0</v>
      </c>
      <c r="F27" s="1">
        <v>0</v>
      </c>
      <c r="G27" s="9">
        <f>SUM(MA_FINANCIAL)</f>
        <v>0</v>
      </c>
      <c r="I27" s="13" t="s">
        <v>48</v>
      </c>
      <c r="J27" s="16">
        <f>SUM(ALL_BLOCKS)</f>
        <v>33226067.659999996</v>
      </c>
      <c r="L27" s="6"/>
      <c r="V27" s="9"/>
    </row>
    <row r="28" spans="1:22">
      <c r="A28" s="1" t="s">
        <v>49</v>
      </c>
      <c r="B28" s="6">
        <v>0</v>
      </c>
      <c r="C28" s="1">
        <v>0</v>
      </c>
      <c r="D28" s="1">
        <v>0</v>
      </c>
      <c r="E28" s="1">
        <v>0</v>
      </c>
      <c r="F28" s="1">
        <v>0</v>
      </c>
      <c r="G28" s="9">
        <f>SUM(MI_FINANCIAL)</f>
        <v>0</v>
      </c>
      <c r="I28" s="14"/>
      <c r="J28" s="17"/>
      <c r="L28" s="6"/>
      <c r="V28" s="9"/>
    </row>
    <row r="29" spans="1:22">
      <c r="A29" s="1" t="s">
        <v>50</v>
      </c>
      <c r="B29" s="6">
        <v>0</v>
      </c>
      <c r="C29" s="1">
        <v>0</v>
      </c>
      <c r="D29" s="1">
        <v>0</v>
      </c>
      <c r="E29" s="1">
        <v>0</v>
      </c>
      <c r="F29" s="1">
        <v>0</v>
      </c>
      <c r="G29" s="9">
        <f>SUM(MN_FINANCIAL)</f>
        <v>0</v>
      </c>
      <c r="L29" s="6"/>
      <c r="V29" s="9"/>
    </row>
    <row r="30" spans="1:22">
      <c r="A30" s="1" t="s">
        <v>51</v>
      </c>
      <c r="B30" s="6">
        <v>0</v>
      </c>
      <c r="C30" s="1">
        <v>0</v>
      </c>
      <c r="D30" s="1">
        <v>0</v>
      </c>
      <c r="E30" s="1">
        <v>0</v>
      </c>
      <c r="F30" s="1">
        <v>0</v>
      </c>
      <c r="G30" s="9">
        <f>SUM(MS_FINANCIAL)</f>
        <v>0</v>
      </c>
      <c r="L30" s="6"/>
      <c r="V30" s="9"/>
    </row>
    <row r="31" spans="1:22">
      <c r="A31" s="1" t="s">
        <v>52</v>
      </c>
      <c r="B31" s="6">
        <v>0</v>
      </c>
      <c r="C31" s="1">
        <v>0</v>
      </c>
      <c r="D31" s="1">
        <v>0</v>
      </c>
      <c r="E31" s="1">
        <v>0</v>
      </c>
      <c r="F31" s="1">
        <v>0</v>
      </c>
      <c r="G31" s="9">
        <f>SUM(MO_FINANCIAL)</f>
        <v>0</v>
      </c>
      <c r="L31" s="6"/>
      <c r="V31" s="9"/>
    </row>
    <row r="32" spans="1:22">
      <c r="A32" s="1" t="s">
        <v>53</v>
      </c>
      <c r="B32" s="6">
        <v>0</v>
      </c>
      <c r="C32" s="1">
        <v>0</v>
      </c>
      <c r="D32" s="1">
        <v>0</v>
      </c>
      <c r="E32" s="1">
        <v>0</v>
      </c>
      <c r="F32" s="1">
        <v>0</v>
      </c>
      <c r="G32" s="9">
        <f>SUM(MT_FINANCIAL)</f>
        <v>0</v>
      </c>
      <c r="L32" s="6"/>
      <c r="V32" s="9"/>
    </row>
    <row r="33" spans="1:22">
      <c r="A33" s="1" t="s">
        <v>54</v>
      </c>
      <c r="B33" s="6">
        <v>0</v>
      </c>
      <c r="C33" s="1">
        <v>0</v>
      </c>
      <c r="D33" s="1">
        <v>0</v>
      </c>
      <c r="E33" s="1">
        <v>0</v>
      </c>
      <c r="F33" s="1">
        <v>0</v>
      </c>
      <c r="G33" s="9">
        <f>SUM(NE_FINANCIAL)</f>
        <v>0</v>
      </c>
      <c r="L33" s="6"/>
      <c r="V33" s="9"/>
    </row>
    <row r="34" spans="1:22">
      <c r="A34" s="1" t="s">
        <v>55</v>
      </c>
      <c r="B34" s="6">
        <v>0</v>
      </c>
      <c r="C34" s="1">
        <v>0</v>
      </c>
      <c r="D34" s="1">
        <v>0</v>
      </c>
      <c r="E34" s="1">
        <v>0</v>
      </c>
      <c r="F34" s="1">
        <v>0</v>
      </c>
      <c r="G34" s="9">
        <f>SUM(NV_FINANCIAL)</f>
        <v>0</v>
      </c>
      <c r="L34" s="6"/>
      <c r="V34" s="9"/>
    </row>
    <row r="35" spans="1:22">
      <c r="A35" s="1" t="s">
        <v>56</v>
      </c>
      <c r="B35" s="6">
        <v>0</v>
      </c>
      <c r="C35" s="1">
        <v>0</v>
      </c>
      <c r="D35" s="1">
        <v>0</v>
      </c>
      <c r="E35" s="1">
        <v>0</v>
      </c>
      <c r="F35" s="1">
        <v>0</v>
      </c>
      <c r="G35" s="9">
        <f>SUM(NH_FINANCIAL)</f>
        <v>0</v>
      </c>
      <c r="L35" s="6"/>
      <c r="V35" s="9"/>
    </row>
    <row r="36" spans="1:22">
      <c r="A36" s="1" t="s">
        <v>57</v>
      </c>
      <c r="B36" s="6">
        <v>0</v>
      </c>
      <c r="C36" s="1">
        <v>0</v>
      </c>
      <c r="D36" s="1">
        <v>0</v>
      </c>
      <c r="E36" s="1">
        <v>0</v>
      </c>
      <c r="F36" s="1">
        <v>0</v>
      </c>
      <c r="G36" s="9">
        <f>SUM(NJ_FINANCIAL)</f>
        <v>0</v>
      </c>
      <c r="L36" s="6"/>
      <c r="V36" s="9"/>
    </row>
    <row r="37" spans="1:22">
      <c r="A37" s="1" t="s">
        <v>58</v>
      </c>
      <c r="B37" s="6">
        <v>0</v>
      </c>
      <c r="C37" s="1">
        <v>0</v>
      </c>
      <c r="D37" s="1">
        <v>0</v>
      </c>
      <c r="E37" s="1">
        <v>0</v>
      </c>
      <c r="F37" s="1">
        <v>0</v>
      </c>
      <c r="G37" s="9">
        <f>SUM(NM_FINANCIAL)</f>
        <v>0</v>
      </c>
      <c r="L37" s="6"/>
      <c r="V37" s="9"/>
    </row>
    <row r="38" spans="1:22">
      <c r="A38" s="1" t="s">
        <v>59</v>
      </c>
      <c r="B38" s="6">
        <v>0</v>
      </c>
      <c r="C38" s="1">
        <v>0</v>
      </c>
      <c r="D38" s="1">
        <v>0</v>
      </c>
      <c r="E38" s="1">
        <v>0</v>
      </c>
      <c r="F38" s="1">
        <v>0</v>
      </c>
      <c r="G38" s="9">
        <f>SUM(NY_FINANCIAL)</f>
        <v>0</v>
      </c>
      <c r="L38" s="6"/>
      <c r="V38" s="9"/>
    </row>
    <row r="39" spans="1:22">
      <c r="A39" s="1" t="s">
        <v>60</v>
      </c>
      <c r="B39" s="6">
        <v>0</v>
      </c>
      <c r="C39" s="1">
        <v>0</v>
      </c>
      <c r="D39" s="1">
        <v>0</v>
      </c>
      <c r="E39" s="1">
        <v>0</v>
      </c>
      <c r="F39" s="1">
        <v>0</v>
      </c>
      <c r="G39" s="9">
        <f>SUM(NC_FINANCIAL)</f>
        <v>0</v>
      </c>
      <c r="L39" s="6"/>
      <c r="V39" s="9"/>
    </row>
    <row r="40" spans="1:22">
      <c r="A40" s="1" t="s">
        <v>61</v>
      </c>
      <c r="B40" s="6">
        <v>0</v>
      </c>
      <c r="C40" s="1">
        <v>0</v>
      </c>
      <c r="D40" s="1">
        <v>0</v>
      </c>
      <c r="E40" s="1">
        <v>0</v>
      </c>
      <c r="F40" s="1">
        <v>0</v>
      </c>
      <c r="G40" s="9">
        <f>SUM(ND_FINANCIAL)</f>
        <v>0</v>
      </c>
      <c r="L40" s="6"/>
      <c r="V40" s="9"/>
    </row>
    <row r="41" spans="1:22">
      <c r="A41" s="1" t="s">
        <v>62</v>
      </c>
      <c r="B41" s="6">
        <v>0</v>
      </c>
      <c r="C41" s="1">
        <v>0</v>
      </c>
      <c r="D41" s="1">
        <v>0</v>
      </c>
      <c r="E41" s="1">
        <v>0</v>
      </c>
      <c r="F41" s="1">
        <v>0</v>
      </c>
      <c r="G41" s="9">
        <f>SUM(OH_FINANCIAL)</f>
        <v>0</v>
      </c>
      <c r="L41" s="6"/>
      <c r="V41" s="9"/>
    </row>
    <row r="42" spans="1:22">
      <c r="A42" s="1" t="s">
        <v>63</v>
      </c>
      <c r="B42" s="6">
        <v>0</v>
      </c>
      <c r="C42" s="1">
        <v>0</v>
      </c>
      <c r="D42" s="1">
        <v>0</v>
      </c>
      <c r="E42" s="1">
        <v>0</v>
      </c>
      <c r="F42" s="1">
        <v>0</v>
      </c>
      <c r="G42" s="9">
        <f>SUM(OK_FINANCIAL)</f>
        <v>0</v>
      </c>
      <c r="L42" s="6"/>
      <c r="V42" s="9"/>
    </row>
    <row r="43" spans="1:22">
      <c r="A43" s="1" t="s">
        <v>64</v>
      </c>
      <c r="B43" s="6">
        <v>0</v>
      </c>
      <c r="C43" s="1">
        <v>0</v>
      </c>
      <c r="D43" s="1">
        <v>0</v>
      </c>
      <c r="E43" s="1">
        <v>0</v>
      </c>
      <c r="F43" s="1">
        <v>0</v>
      </c>
      <c r="G43" s="9">
        <f>SUM(OR_FINANCIAL)</f>
        <v>0</v>
      </c>
      <c r="L43" s="6"/>
      <c r="V43" s="9"/>
    </row>
    <row r="44" spans="1:22">
      <c r="A44" s="1" t="s">
        <v>65</v>
      </c>
      <c r="B44" s="6">
        <v>0</v>
      </c>
      <c r="C44" s="1">
        <v>0</v>
      </c>
      <c r="D44" s="1">
        <v>0</v>
      </c>
      <c r="E44" s="1">
        <v>0</v>
      </c>
      <c r="F44" s="1">
        <v>0</v>
      </c>
      <c r="G44" s="9">
        <f>SUM(PA_FINANCIAL)</f>
        <v>0</v>
      </c>
      <c r="L44" s="6"/>
      <c r="V44" s="9"/>
    </row>
    <row r="45" spans="1:22">
      <c r="A45" s="1" t="s">
        <v>66</v>
      </c>
      <c r="B45" s="6">
        <v>0</v>
      </c>
      <c r="C45" s="1">
        <v>0</v>
      </c>
      <c r="D45" s="1">
        <v>0</v>
      </c>
      <c r="E45" s="1">
        <v>0</v>
      </c>
      <c r="F45" s="1">
        <v>0</v>
      </c>
      <c r="G45" s="9">
        <f>SUM(PR_FINANCIAL)</f>
        <v>0</v>
      </c>
      <c r="L45" s="6"/>
      <c r="V45" s="9"/>
    </row>
    <row r="46" spans="1:22">
      <c r="A46" s="1" t="s">
        <v>67</v>
      </c>
      <c r="B46" s="6">
        <v>0</v>
      </c>
      <c r="C46" s="1">
        <v>0</v>
      </c>
      <c r="D46" s="1">
        <v>0</v>
      </c>
      <c r="E46" s="1">
        <v>0</v>
      </c>
      <c r="F46" s="1">
        <v>0</v>
      </c>
      <c r="G46" s="9">
        <f>SUM(RI_FINANCIAL)</f>
        <v>0</v>
      </c>
      <c r="L46" s="6"/>
      <c r="V46" s="9"/>
    </row>
    <row r="47" spans="1:22">
      <c r="A47" s="1" t="s">
        <v>68</v>
      </c>
      <c r="B47" s="6">
        <v>0</v>
      </c>
      <c r="C47" s="1">
        <v>0</v>
      </c>
      <c r="D47" s="1">
        <v>0</v>
      </c>
      <c r="E47" s="1">
        <v>0</v>
      </c>
      <c r="F47" s="1">
        <v>0</v>
      </c>
      <c r="G47" s="9">
        <f>SUM(SC_FINANCIAL)</f>
        <v>0</v>
      </c>
      <c r="L47" s="6"/>
      <c r="V47" s="9"/>
    </row>
    <row r="48" spans="1:22">
      <c r="A48" s="1" t="s">
        <v>69</v>
      </c>
      <c r="B48" s="6">
        <v>0</v>
      </c>
      <c r="C48" s="1">
        <v>3055</v>
      </c>
      <c r="D48" s="1">
        <v>0</v>
      </c>
      <c r="E48" s="1">
        <v>0</v>
      </c>
      <c r="F48" s="1">
        <v>0</v>
      </c>
      <c r="G48" s="9">
        <f>SUM(SD_FINANCIAL)</f>
        <v>3055</v>
      </c>
      <c r="L48" s="6"/>
      <c r="V48" s="9"/>
    </row>
    <row r="49" spans="1:22">
      <c r="A49" s="1" t="s">
        <v>70</v>
      </c>
      <c r="B49" s="6">
        <v>0</v>
      </c>
      <c r="C49" s="1">
        <v>0</v>
      </c>
      <c r="D49" s="1">
        <v>0</v>
      </c>
      <c r="E49" s="1">
        <v>0</v>
      </c>
      <c r="F49" s="1">
        <v>0</v>
      </c>
      <c r="G49" s="9">
        <f>SUM(TN_FINANCIAL)</f>
        <v>0</v>
      </c>
      <c r="L49" s="6"/>
      <c r="V49" s="9"/>
    </row>
    <row r="50" spans="1:22">
      <c r="A50" s="1" t="s">
        <v>71</v>
      </c>
      <c r="B50" s="6">
        <v>22198.152930566066</v>
      </c>
      <c r="C50" s="1">
        <v>257758.92027783114</v>
      </c>
      <c r="D50" s="1">
        <v>3.9267916027889713</v>
      </c>
      <c r="E50" s="1">
        <v>0</v>
      </c>
      <c r="F50" s="1">
        <v>0</v>
      </c>
      <c r="G50" s="9">
        <f>SUM(TX_FINANCIAL)</f>
        <v>279961</v>
      </c>
      <c r="L50" s="6">
        <v>8142</v>
      </c>
      <c r="M50" s="1">
        <v>4861.5120000000006</v>
      </c>
      <c r="O50" s="1">
        <v>742939</v>
      </c>
      <c r="P50" s="1">
        <v>445278.48800000001</v>
      </c>
      <c r="R50" s="1">
        <v>0</v>
      </c>
      <c r="S50" s="1">
        <v>0</v>
      </c>
      <c r="U50" s="1">
        <v>0</v>
      </c>
      <c r="V50" s="9">
        <v>0</v>
      </c>
    </row>
    <row r="51" spans="1:22">
      <c r="A51" s="1" t="s">
        <v>72</v>
      </c>
      <c r="B51" s="6">
        <v>0</v>
      </c>
      <c r="C51" s="1">
        <v>0</v>
      </c>
      <c r="D51" s="1">
        <v>0</v>
      </c>
      <c r="E51" s="1">
        <v>0</v>
      </c>
      <c r="F51" s="1">
        <v>0</v>
      </c>
      <c r="G51" s="9">
        <f>SUM(UT_FINANCIAL)</f>
        <v>0</v>
      </c>
      <c r="L51" s="6"/>
      <c r="V51" s="9"/>
    </row>
    <row r="52" spans="1:22">
      <c r="A52" s="1" t="s">
        <v>73</v>
      </c>
      <c r="B52" s="6">
        <v>0</v>
      </c>
      <c r="C52" s="1">
        <v>0</v>
      </c>
      <c r="D52" s="1">
        <v>0</v>
      </c>
      <c r="E52" s="1">
        <v>0</v>
      </c>
      <c r="F52" s="1">
        <v>0</v>
      </c>
      <c r="G52" s="9">
        <f>SUM(VT_FINANCIAL)</f>
        <v>0</v>
      </c>
      <c r="L52" s="6"/>
      <c r="V52" s="9"/>
    </row>
    <row r="53" spans="1:22">
      <c r="A53" s="1" t="s">
        <v>74</v>
      </c>
      <c r="B53" s="6">
        <v>0</v>
      </c>
      <c r="C53" s="1">
        <v>0</v>
      </c>
      <c r="D53" s="1">
        <v>0</v>
      </c>
      <c r="E53" s="1">
        <v>0</v>
      </c>
      <c r="F53" s="1">
        <v>0</v>
      </c>
      <c r="G53" s="9">
        <f>SUM(VA_FINANCIAL)</f>
        <v>0</v>
      </c>
      <c r="L53" s="6"/>
      <c r="V53" s="9"/>
    </row>
    <row r="54" spans="1:22">
      <c r="A54" s="1" t="s">
        <v>75</v>
      </c>
      <c r="B54" s="6">
        <v>0</v>
      </c>
      <c r="C54" s="1">
        <v>0</v>
      </c>
      <c r="D54" s="1">
        <v>0</v>
      </c>
      <c r="E54" s="1">
        <v>0</v>
      </c>
      <c r="F54" s="1">
        <v>0</v>
      </c>
      <c r="G54" s="9">
        <f>SUM(WA_FINANCIAL)</f>
        <v>0</v>
      </c>
      <c r="L54" s="6"/>
      <c r="V54" s="9"/>
    </row>
    <row r="55" spans="1:22">
      <c r="A55" s="1" t="s">
        <v>76</v>
      </c>
      <c r="B55" s="6">
        <v>0</v>
      </c>
      <c r="C55" s="1">
        <v>0</v>
      </c>
      <c r="D55" s="1">
        <v>0</v>
      </c>
      <c r="E55" s="1">
        <v>0</v>
      </c>
      <c r="F55" s="1">
        <v>0</v>
      </c>
      <c r="G55" s="9">
        <f>SUM(WV_FINANCIAL)</f>
        <v>0</v>
      </c>
      <c r="L55" s="6"/>
      <c r="V55" s="9"/>
    </row>
    <row r="56" spans="1:22">
      <c r="A56" s="1" t="s">
        <v>77</v>
      </c>
      <c r="B56" s="6">
        <v>0</v>
      </c>
      <c r="C56" s="1">
        <v>0</v>
      </c>
      <c r="D56" s="1">
        <v>0</v>
      </c>
      <c r="E56" s="1">
        <v>0</v>
      </c>
      <c r="F56" s="1">
        <v>0</v>
      </c>
      <c r="G56" s="9">
        <f>SUM(WI_FINANCIAL)</f>
        <v>0</v>
      </c>
      <c r="L56" s="6"/>
      <c r="V56" s="9"/>
    </row>
    <row r="57" spans="1:22">
      <c r="A57" s="1" t="s">
        <v>78</v>
      </c>
      <c r="B57" s="6">
        <v>0</v>
      </c>
      <c r="C57" s="1">
        <v>0</v>
      </c>
      <c r="D57" s="1">
        <v>0</v>
      </c>
      <c r="E57" s="1">
        <v>0</v>
      </c>
      <c r="F57" s="1">
        <v>0</v>
      </c>
      <c r="G57" s="9">
        <f>SUM(WY_FINANCIAL)</f>
        <v>0</v>
      </c>
      <c r="L57" s="6"/>
      <c r="V57" s="9"/>
    </row>
    <row r="58" spans="1:22">
      <c r="A58" s="1" t="s">
        <v>79</v>
      </c>
      <c r="B58" s="6">
        <v>0</v>
      </c>
      <c r="C58" s="1">
        <v>0</v>
      </c>
      <c r="D58" s="1">
        <v>0</v>
      </c>
      <c r="E58" s="1">
        <v>0</v>
      </c>
      <c r="F58" s="1">
        <v>0</v>
      </c>
      <c r="G58" s="9">
        <f>SUM(OT_FINANCIAL)</f>
        <v>0</v>
      </c>
      <c r="L58" s="6"/>
      <c r="V58" s="9"/>
    </row>
    <row r="59" spans="1:22">
      <c r="B59" s="6"/>
      <c r="G59" s="9"/>
      <c r="L59" s="6"/>
      <c r="V59" s="9"/>
    </row>
    <row r="60" spans="1:22">
      <c r="A60" s="1" t="s">
        <v>8</v>
      </c>
      <c r="B60" s="6">
        <f>SUM(LIFE)</f>
        <v>1793887.6697184704</v>
      </c>
      <c r="C60" s="1">
        <f>SUM(ALLOCATED)</f>
        <v>31550504.988168035</v>
      </c>
      <c r="D60" s="1">
        <f>SUM(HEALTH)</f>
        <v>-118324.99788650456</v>
      </c>
      <c r="E60" s="1">
        <f>SUM(UNALLOCATED)</f>
        <v>0</v>
      </c>
      <c r="F60" s="1">
        <f>SUM(LTC)</f>
        <v>0</v>
      </c>
      <c r="G60" s="9">
        <f>SUM(ALL_BLOCKS)</f>
        <v>33226067.659999996</v>
      </c>
      <c r="L60" s="6">
        <f>SUM(LIFE_CALLED)</f>
        <v>4459142</v>
      </c>
      <c r="M60" s="1">
        <f>SUM(LIFE_REFUNDED)</f>
        <v>3474861.5120000001</v>
      </c>
      <c r="O60" s="1">
        <f>SUM(ALLOC_CALLED)</f>
        <v>65758257</v>
      </c>
      <c r="P60" s="1">
        <f>SUM(ALLOC_REFUNDED)</f>
        <v>40390278.487999998</v>
      </c>
      <c r="R60" s="1">
        <f>SUM(HEALTH_CALLED)</f>
        <v>1310907</v>
      </c>
      <c r="S60" s="1">
        <f>SUM(HEALTH_REFUNDED)</f>
        <v>1500000</v>
      </c>
      <c r="U60" s="1">
        <f>SUM(UNALLOC_CALLED)</f>
        <v>8000000</v>
      </c>
      <c r="V60" s="9">
        <f>SUM(UNALLOC_REFUNDED)</f>
        <v>2700000</v>
      </c>
    </row>
    <row r="61" spans="1:22" ht="5.0999999999999996" customHeight="1">
      <c r="B61" s="6"/>
      <c r="G61" s="9"/>
      <c r="L61" s="6"/>
      <c r="V61" s="9"/>
    </row>
    <row r="62" spans="1:22">
      <c r="B62" s="6"/>
      <c r="G62" s="9"/>
      <c r="L62" s="78" t="s">
        <v>80</v>
      </c>
      <c r="M62" s="79"/>
      <c r="N62" s="79"/>
      <c r="O62" s="79"/>
      <c r="P62" s="79"/>
      <c r="Q62" s="79"/>
      <c r="R62" s="79"/>
      <c r="S62" s="79"/>
      <c r="T62" s="79"/>
      <c r="U62" s="79"/>
      <c r="V62" s="80"/>
    </row>
    <row r="63" spans="1:22">
      <c r="B63" s="6"/>
      <c r="G63" s="9"/>
      <c r="L63" s="81"/>
      <c r="M63" s="79"/>
      <c r="N63" s="79"/>
      <c r="O63" s="79"/>
      <c r="P63" s="79"/>
      <c r="Q63" s="79"/>
      <c r="R63" s="79"/>
      <c r="S63" s="79"/>
      <c r="T63" s="79"/>
      <c r="U63" s="79"/>
      <c r="V63" s="80"/>
    </row>
    <row r="64" spans="1:22">
      <c r="B64" s="8"/>
      <c r="C64" s="5"/>
      <c r="D64" s="5"/>
      <c r="E64" s="5"/>
      <c r="F64" s="5"/>
      <c r="G64" s="11"/>
      <c r="L64" s="82"/>
      <c r="M64" s="83"/>
      <c r="N64" s="83"/>
      <c r="O64" s="83"/>
      <c r="P64" s="83"/>
      <c r="Q64" s="83"/>
      <c r="R64" s="83"/>
      <c r="S64" s="83"/>
      <c r="T64" s="83"/>
      <c r="U64" s="83"/>
      <c r="V64" s="84"/>
    </row>
  </sheetData>
  <mergeCells count="8">
    <mergeCell ref="L62:V64"/>
    <mergeCell ref="A1:G1"/>
    <mergeCell ref="B3:G3"/>
    <mergeCell ref="L3:V3"/>
    <mergeCell ref="L4:M4"/>
    <mergeCell ref="O4:P4"/>
    <mergeCell ref="R4:S4"/>
    <mergeCell ref="U4:V4"/>
  </mergeCells>
  <pageMargins left="0" right="0" top="0" bottom="0" header="0" footer="0"/>
  <pageSetup scale="4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V64"/>
  <sheetViews>
    <sheetView zoomScale="75" workbookViewId="0">
      <selection sqref="A1:G1"/>
    </sheetView>
  </sheetViews>
  <sheetFormatPr defaultColWidth="9.109375" defaultRowHeight="14.4"/>
  <cols>
    <col min="1" max="1" width="20" style="1" customWidth="1"/>
    <col min="2" max="7" width="15" style="1" customWidth="1"/>
    <col min="8" max="8" width="1" style="1" customWidth="1"/>
    <col min="9" max="9" width="30" style="1" customWidth="1"/>
    <col min="10" max="10" width="15" style="1" customWidth="1"/>
    <col min="11" max="11" width="1" style="1" customWidth="1"/>
    <col min="12" max="13" width="15" style="1" customWidth="1"/>
    <col min="14" max="14" width="1" style="1" customWidth="1"/>
    <col min="15" max="16" width="15" style="1" customWidth="1"/>
    <col min="17" max="17" width="1" style="1" customWidth="1"/>
    <col min="18" max="19" width="15" style="1" customWidth="1"/>
    <col min="20" max="20" width="1" style="1" customWidth="1"/>
    <col min="21" max="22" width="15" style="1" customWidth="1"/>
    <col min="23" max="23" width="9.109375" style="1" customWidth="1"/>
    <col min="24" max="16384" width="9.109375" style="1"/>
  </cols>
  <sheetData>
    <row r="1" spans="1:22">
      <c r="A1" s="85" t="s">
        <v>92</v>
      </c>
      <c r="B1" s="79"/>
      <c r="C1" s="79"/>
      <c r="D1" s="79"/>
      <c r="E1" s="79"/>
      <c r="F1" s="79"/>
      <c r="G1" s="79"/>
    </row>
    <row r="3" spans="1:22">
      <c r="B3" s="86" t="s">
        <v>1</v>
      </c>
      <c r="C3" s="87"/>
      <c r="D3" s="87"/>
      <c r="E3" s="87"/>
      <c r="F3" s="87"/>
      <c r="G3" s="88"/>
      <c r="L3" s="89" t="s">
        <v>2</v>
      </c>
      <c r="M3" s="90"/>
      <c r="N3" s="90"/>
      <c r="O3" s="90"/>
      <c r="P3" s="90"/>
      <c r="Q3" s="90"/>
      <c r="R3" s="90"/>
      <c r="S3" s="90"/>
      <c r="T3" s="90"/>
      <c r="U3" s="90"/>
      <c r="V3" s="91"/>
    </row>
    <row r="4" spans="1:22">
      <c r="B4" s="6"/>
      <c r="G4" s="9"/>
      <c r="L4" s="92" t="s">
        <v>3</v>
      </c>
      <c r="M4" s="93"/>
      <c r="N4" s="3"/>
      <c r="O4" s="94" t="s">
        <v>4</v>
      </c>
      <c r="P4" s="93"/>
      <c r="Q4" s="3"/>
      <c r="R4" s="94" t="s">
        <v>5</v>
      </c>
      <c r="S4" s="93"/>
      <c r="T4" s="3"/>
      <c r="U4" s="94" t="s">
        <v>6</v>
      </c>
      <c r="V4" s="95"/>
    </row>
    <row r="5" spans="1:22" ht="60" customHeight="1">
      <c r="B5" s="7" t="s">
        <v>3</v>
      </c>
      <c r="C5" s="4" t="s">
        <v>4</v>
      </c>
      <c r="D5" s="4" t="s">
        <v>5</v>
      </c>
      <c r="E5" s="4" t="s">
        <v>6</v>
      </c>
      <c r="F5" s="4" t="s">
        <v>7</v>
      </c>
      <c r="G5" s="10" t="s">
        <v>8</v>
      </c>
      <c r="L5" s="19" t="s">
        <v>9</v>
      </c>
      <c r="M5" s="18" t="s">
        <v>10</v>
      </c>
      <c r="N5" s="18"/>
      <c r="O5" s="18" t="s">
        <v>9</v>
      </c>
      <c r="P5" s="18" t="s">
        <v>10</v>
      </c>
      <c r="Q5" s="18"/>
      <c r="R5" s="18" t="s">
        <v>9</v>
      </c>
      <c r="S5" s="18" t="s">
        <v>10</v>
      </c>
      <c r="T5" s="18"/>
      <c r="U5" s="18" t="s">
        <v>9</v>
      </c>
      <c r="V5" s="20" t="s">
        <v>10</v>
      </c>
    </row>
    <row r="6" spans="1:22">
      <c r="A6" s="1" t="s">
        <v>11</v>
      </c>
      <c r="B6" s="6">
        <v>670529.1031422877</v>
      </c>
      <c r="C6" s="1">
        <v>173831.61490444213</v>
      </c>
      <c r="D6" s="1">
        <v>0</v>
      </c>
      <c r="E6" s="1">
        <v>0</v>
      </c>
      <c r="F6" s="1">
        <v>0</v>
      </c>
      <c r="G6" s="9">
        <f>SUM(AL_FINANCIAL)</f>
        <v>844360.7180467298</v>
      </c>
      <c r="L6" s="6">
        <v>1534000</v>
      </c>
      <c r="M6" s="1">
        <v>0</v>
      </c>
      <c r="O6" s="1">
        <v>183188</v>
      </c>
      <c r="P6" s="1">
        <v>0</v>
      </c>
      <c r="R6" s="1">
        <v>0</v>
      </c>
      <c r="S6" s="1">
        <v>0</v>
      </c>
      <c r="U6" s="1">
        <v>0</v>
      </c>
      <c r="V6" s="9">
        <v>0</v>
      </c>
    </row>
    <row r="7" spans="1:22">
      <c r="A7" s="1" t="s">
        <v>12</v>
      </c>
      <c r="B7" s="6">
        <v>0</v>
      </c>
      <c r="C7" s="1">
        <v>0</v>
      </c>
      <c r="D7" s="1">
        <v>0</v>
      </c>
      <c r="E7" s="1">
        <v>0</v>
      </c>
      <c r="F7" s="1">
        <v>0</v>
      </c>
      <c r="G7" s="9">
        <f>SUM(AK_FINANCIAL)</f>
        <v>0</v>
      </c>
      <c r="I7" s="12"/>
      <c r="J7" s="15"/>
      <c r="L7" s="6"/>
      <c r="V7" s="9"/>
    </row>
    <row r="8" spans="1:22">
      <c r="A8" s="1" t="s">
        <v>13</v>
      </c>
      <c r="B8" s="6">
        <v>0</v>
      </c>
      <c r="C8" s="1">
        <v>0</v>
      </c>
      <c r="D8" s="1">
        <v>0</v>
      </c>
      <c r="E8" s="1">
        <v>0</v>
      </c>
      <c r="F8" s="1">
        <v>0</v>
      </c>
      <c r="G8" s="9">
        <f>SUM(AZ_FINANCIAL)</f>
        <v>0</v>
      </c>
      <c r="I8" s="13" t="s">
        <v>14</v>
      </c>
      <c r="J8" s="16"/>
      <c r="L8" s="6"/>
      <c r="V8" s="9"/>
    </row>
    <row r="9" spans="1:22">
      <c r="A9" s="1" t="s">
        <v>15</v>
      </c>
      <c r="B9" s="6">
        <v>361746.83957609197</v>
      </c>
      <c r="C9" s="1">
        <v>93781.219958093789</v>
      </c>
      <c r="D9" s="1">
        <v>0</v>
      </c>
      <c r="E9" s="1">
        <v>0</v>
      </c>
      <c r="F9" s="1">
        <v>0</v>
      </c>
      <c r="G9" s="9">
        <f>SUM(AR_FINANCIAL)</f>
        <v>455528.05953418574</v>
      </c>
      <c r="I9" s="13"/>
      <c r="J9" s="16"/>
      <c r="L9" s="6">
        <v>900802</v>
      </c>
      <c r="M9" s="1">
        <v>0</v>
      </c>
      <c r="O9" s="1">
        <v>0</v>
      </c>
      <c r="P9" s="1">
        <v>0</v>
      </c>
      <c r="R9" s="1">
        <v>0</v>
      </c>
      <c r="S9" s="1">
        <v>0</v>
      </c>
      <c r="U9" s="1">
        <v>0</v>
      </c>
      <c r="V9" s="9">
        <v>0</v>
      </c>
    </row>
    <row r="10" spans="1:22">
      <c r="A10" s="1" t="s">
        <v>16</v>
      </c>
      <c r="B10" s="6">
        <v>0</v>
      </c>
      <c r="C10" s="1">
        <v>0</v>
      </c>
      <c r="D10" s="1">
        <v>0</v>
      </c>
      <c r="E10" s="1">
        <v>0</v>
      </c>
      <c r="F10" s="1">
        <v>0</v>
      </c>
      <c r="G10" s="9">
        <f>SUM(CA_FINANCIAL)</f>
        <v>0</v>
      </c>
      <c r="I10" s="13" t="s">
        <v>17</v>
      </c>
      <c r="J10" s="16">
        <v>55014949.354009047</v>
      </c>
      <c r="L10" s="6"/>
      <c r="V10" s="9"/>
    </row>
    <row r="11" spans="1:22">
      <c r="A11" s="1" t="s">
        <v>18</v>
      </c>
      <c r="B11" s="6">
        <v>0</v>
      </c>
      <c r="C11" s="1">
        <v>0</v>
      </c>
      <c r="D11" s="1">
        <v>0</v>
      </c>
      <c r="E11" s="1">
        <v>0</v>
      </c>
      <c r="F11" s="1">
        <v>0</v>
      </c>
      <c r="G11" s="9">
        <f>SUM(CO_FINANCIAL)</f>
        <v>0</v>
      </c>
      <c r="I11" s="13"/>
      <c r="J11" s="16"/>
      <c r="L11" s="6"/>
      <c r="V11" s="9"/>
    </row>
    <row r="12" spans="1:22">
      <c r="A12" s="1" t="s">
        <v>19</v>
      </c>
      <c r="B12" s="6">
        <v>0</v>
      </c>
      <c r="C12" s="1">
        <v>0</v>
      </c>
      <c r="D12" s="1">
        <v>0</v>
      </c>
      <c r="E12" s="1">
        <v>0</v>
      </c>
      <c r="F12" s="1">
        <v>0</v>
      </c>
      <c r="G12" s="9">
        <f>SUM(CT_FINANCIAL)</f>
        <v>0</v>
      </c>
      <c r="I12" s="13" t="s">
        <v>20</v>
      </c>
      <c r="J12" s="16"/>
      <c r="L12" s="6"/>
      <c r="V12" s="9"/>
    </row>
    <row r="13" spans="1:22">
      <c r="A13" s="1" t="s">
        <v>21</v>
      </c>
      <c r="B13" s="6">
        <v>0</v>
      </c>
      <c r="C13" s="1">
        <v>0</v>
      </c>
      <c r="D13" s="1">
        <v>0</v>
      </c>
      <c r="E13" s="1">
        <v>0</v>
      </c>
      <c r="F13" s="1">
        <v>0</v>
      </c>
      <c r="G13" s="9">
        <f>SUM(DE_FINANCIAL)</f>
        <v>0</v>
      </c>
      <c r="I13" s="13" t="s">
        <v>22</v>
      </c>
      <c r="J13" s="16">
        <v>0</v>
      </c>
      <c r="L13" s="6"/>
      <c r="V13" s="9"/>
    </row>
    <row r="14" spans="1:22">
      <c r="A14" s="1" t="s">
        <v>23</v>
      </c>
      <c r="B14" s="6">
        <v>0</v>
      </c>
      <c r="C14" s="1">
        <v>0</v>
      </c>
      <c r="D14" s="1">
        <v>0</v>
      </c>
      <c r="E14" s="1">
        <v>0</v>
      </c>
      <c r="F14" s="1">
        <v>0</v>
      </c>
      <c r="G14" s="9">
        <f>SUM(DC_FINANCIAL)</f>
        <v>0</v>
      </c>
      <c r="I14" s="13" t="s">
        <v>24</v>
      </c>
      <c r="J14" s="16">
        <v>805562.59000000008</v>
      </c>
      <c r="L14" s="6"/>
      <c r="V14" s="9"/>
    </row>
    <row r="15" spans="1:22">
      <c r="A15" s="1" t="s">
        <v>25</v>
      </c>
      <c r="B15" s="6">
        <v>0</v>
      </c>
      <c r="C15" s="1">
        <v>0</v>
      </c>
      <c r="D15" s="1">
        <v>0</v>
      </c>
      <c r="E15" s="1">
        <v>0</v>
      </c>
      <c r="F15" s="1">
        <v>0</v>
      </c>
      <c r="G15" s="9">
        <f>SUM(FL_FINANCIAL)</f>
        <v>0</v>
      </c>
      <c r="I15" s="13" t="s">
        <v>26</v>
      </c>
      <c r="J15" s="16">
        <v>970547.95813583059</v>
      </c>
      <c r="L15" s="6"/>
      <c r="V15" s="9"/>
    </row>
    <row r="16" spans="1:22">
      <c r="A16" s="1" t="s">
        <v>27</v>
      </c>
      <c r="B16" s="6">
        <v>85860.879994854389</v>
      </c>
      <c r="C16" s="1">
        <v>22259.041936700043</v>
      </c>
      <c r="D16" s="1">
        <v>0</v>
      </c>
      <c r="E16" s="1">
        <v>0</v>
      </c>
      <c r="F16" s="1">
        <v>0</v>
      </c>
      <c r="G16" s="9">
        <f>SUM(GA_FINANCIAL)</f>
        <v>108119.92193155443</v>
      </c>
      <c r="I16" s="13" t="s">
        <v>28</v>
      </c>
      <c r="J16" s="16">
        <v>0</v>
      </c>
      <c r="L16" s="6">
        <v>183899</v>
      </c>
      <c r="M16" s="1">
        <v>0</v>
      </c>
      <c r="O16" s="1">
        <v>15255</v>
      </c>
      <c r="P16" s="1">
        <v>403.45</v>
      </c>
      <c r="R16" s="1">
        <v>0</v>
      </c>
      <c r="S16" s="1">
        <v>0</v>
      </c>
      <c r="U16" s="1">
        <v>0</v>
      </c>
      <c r="V16" s="9">
        <v>0</v>
      </c>
    </row>
    <row r="17" spans="1:22">
      <c r="A17" s="1" t="s">
        <v>29</v>
      </c>
      <c r="B17" s="6">
        <v>0</v>
      </c>
      <c r="C17" s="1">
        <v>0</v>
      </c>
      <c r="D17" s="1">
        <v>0</v>
      </c>
      <c r="E17" s="1">
        <v>0</v>
      </c>
      <c r="F17" s="1">
        <v>0</v>
      </c>
      <c r="G17" s="9">
        <f>SUM(HI_FINANCIAL)</f>
        <v>0</v>
      </c>
      <c r="I17" s="13"/>
      <c r="J17" s="16"/>
      <c r="L17" s="6"/>
      <c r="V17" s="9"/>
    </row>
    <row r="18" spans="1:22">
      <c r="A18" s="1" t="s">
        <v>30</v>
      </c>
      <c r="B18" s="6">
        <v>0</v>
      </c>
      <c r="C18" s="1">
        <v>0</v>
      </c>
      <c r="D18" s="1">
        <v>0</v>
      </c>
      <c r="E18" s="1">
        <v>0</v>
      </c>
      <c r="F18" s="1">
        <v>0</v>
      </c>
      <c r="G18" s="9">
        <f>SUM(ID_FINANCIAL)</f>
        <v>0</v>
      </c>
      <c r="I18" s="13" t="s">
        <v>31</v>
      </c>
      <c r="J18" s="16"/>
      <c r="L18" s="6"/>
      <c r="V18" s="9"/>
    </row>
    <row r="19" spans="1:22">
      <c r="A19" s="1" t="s">
        <v>32</v>
      </c>
      <c r="B19" s="6">
        <v>0</v>
      </c>
      <c r="C19" s="1">
        <v>0</v>
      </c>
      <c r="D19" s="1">
        <v>0</v>
      </c>
      <c r="E19" s="1">
        <v>0</v>
      </c>
      <c r="F19" s="1">
        <v>0</v>
      </c>
      <c r="G19" s="9">
        <f>SUM(IL_FINANCIAL)</f>
        <v>0</v>
      </c>
      <c r="I19" s="13" t="s">
        <v>33</v>
      </c>
      <c r="J19" s="16">
        <v>5725000</v>
      </c>
      <c r="L19" s="6"/>
      <c r="V19" s="9"/>
    </row>
    <row r="20" spans="1:22">
      <c r="A20" s="1" t="s">
        <v>34</v>
      </c>
      <c r="B20" s="6">
        <v>0</v>
      </c>
      <c r="C20" s="1">
        <v>0</v>
      </c>
      <c r="D20" s="1">
        <v>0</v>
      </c>
      <c r="E20" s="1">
        <v>0</v>
      </c>
      <c r="F20" s="1">
        <v>0</v>
      </c>
      <c r="G20" s="9">
        <f>SUM(IN_FINANCIAL)</f>
        <v>0</v>
      </c>
      <c r="I20" s="13" t="s">
        <v>35</v>
      </c>
      <c r="J20" s="16">
        <v>-7993993.0602189256</v>
      </c>
      <c r="L20" s="6"/>
      <c r="V20" s="9"/>
    </row>
    <row r="21" spans="1:22">
      <c r="A21" s="1" t="s">
        <v>36</v>
      </c>
      <c r="B21" s="6">
        <v>0</v>
      </c>
      <c r="C21" s="1">
        <v>0</v>
      </c>
      <c r="D21" s="1">
        <v>0</v>
      </c>
      <c r="E21" s="1">
        <v>0</v>
      </c>
      <c r="F21" s="1">
        <v>0</v>
      </c>
      <c r="G21" s="9">
        <f>SUM(IA_FINANCIAL)</f>
        <v>0</v>
      </c>
      <c r="I21" s="13" t="s">
        <v>37</v>
      </c>
      <c r="J21" s="16"/>
      <c r="L21" s="6"/>
      <c r="V21" s="9"/>
    </row>
    <row r="22" spans="1:22">
      <c r="A22" s="1" t="s">
        <v>38</v>
      </c>
      <c r="B22" s="6">
        <v>0</v>
      </c>
      <c r="C22" s="1">
        <v>0</v>
      </c>
      <c r="D22" s="1">
        <v>0</v>
      </c>
      <c r="E22" s="1">
        <v>0</v>
      </c>
      <c r="F22" s="1">
        <v>0</v>
      </c>
      <c r="G22" s="9">
        <f>SUM(KS_FINANCIAL)</f>
        <v>0</v>
      </c>
      <c r="I22" s="13" t="s">
        <v>39</v>
      </c>
      <c r="J22" s="16">
        <v>11334052</v>
      </c>
      <c r="L22" s="6"/>
      <c r="V22" s="9"/>
    </row>
    <row r="23" spans="1:22">
      <c r="A23" s="1" t="s">
        <v>40</v>
      </c>
      <c r="B23" s="6">
        <v>9789.107106343854</v>
      </c>
      <c r="C23" s="1">
        <v>2537.7814158906203</v>
      </c>
      <c r="D23" s="1">
        <v>0</v>
      </c>
      <c r="E23" s="1">
        <v>0</v>
      </c>
      <c r="F23" s="1">
        <v>0</v>
      </c>
      <c r="G23" s="9">
        <f>SUM(KY_FINANCIAL)</f>
        <v>12326.888522234474</v>
      </c>
      <c r="I23" s="13" t="s">
        <v>41</v>
      </c>
      <c r="J23" s="16"/>
      <c r="L23" s="6"/>
      <c r="V23" s="9"/>
    </row>
    <row r="24" spans="1:22">
      <c r="A24" s="1" t="s">
        <v>42</v>
      </c>
      <c r="B24" s="6">
        <v>2381376.6847318634</v>
      </c>
      <c r="C24" s="1">
        <v>617361.0554154925</v>
      </c>
      <c r="D24" s="1">
        <v>1882.7534864500162</v>
      </c>
      <c r="E24" s="1">
        <v>0</v>
      </c>
      <c r="F24" s="1">
        <v>0</v>
      </c>
      <c r="G24" s="9">
        <f>SUM(LA_FINANCIAL)</f>
        <v>3000620.4936338058</v>
      </c>
      <c r="I24" s="13" t="s">
        <v>43</v>
      </c>
      <c r="J24" s="16">
        <v>22579211.701163307</v>
      </c>
      <c r="L24" s="6">
        <v>2113595</v>
      </c>
      <c r="M24" s="1">
        <v>0</v>
      </c>
      <c r="O24" s="1">
        <v>4148464</v>
      </c>
      <c r="P24" s="1">
        <v>0</v>
      </c>
      <c r="R24" s="1">
        <v>0</v>
      </c>
      <c r="S24" s="1">
        <v>0</v>
      </c>
      <c r="U24" s="1">
        <v>0</v>
      </c>
      <c r="V24" s="9">
        <v>0</v>
      </c>
    </row>
    <row r="25" spans="1:22">
      <c r="A25" s="1" t="s">
        <v>44</v>
      </c>
      <c r="B25" s="6">
        <v>0</v>
      </c>
      <c r="C25" s="1">
        <v>0</v>
      </c>
      <c r="D25" s="1">
        <v>0</v>
      </c>
      <c r="E25" s="1">
        <v>0</v>
      </c>
      <c r="F25" s="1">
        <v>0</v>
      </c>
      <c r="G25" s="9">
        <f>SUM(ME_FINANCIAL)</f>
        <v>0</v>
      </c>
      <c r="I25" s="13"/>
      <c r="J25" s="16"/>
      <c r="L25" s="6"/>
      <c r="V25" s="9"/>
    </row>
    <row r="26" spans="1:22">
      <c r="A26" s="1" t="s">
        <v>45</v>
      </c>
      <c r="B26" s="6">
        <v>0</v>
      </c>
      <c r="C26" s="1">
        <v>0</v>
      </c>
      <c r="D26" s="1">
        <v>0</v>
      </c>
      <c r="E26" s="1">
        <v>0</v>
      </c>
      <c r="F26" s="1">
        <v>0</v>
      </c>
      <c r="G26" s="9">
        <f>SUM(MD_FINANCIAL)</f>
        <v>0</v>
      </c>
      <c r="I26" s="13" t="s">
        <v>46</v>
      </c>
      <c r="J26" s="16">
        <f>SUM(ADD_FINANCIAL)-SUM(LESS_FINANCIAL)</f>
        <v>25146789.261200499</v>
      </c>
      <c r="L26" s="6"/>
      <c r="V26" s="9"/>
    </row>
    <row r="27" spans="1:22">
      <c r="A27" s="1" t="s">
        <v>47</v>
      </c>
      <c r="B27" s="6">
        <v>0</v>
      </c>
      <c r="C27" s="1">
        <v>0</v>
      </c>
      <c r="D27" s="1">
        <v>0</v>
      </c>
      <c r="E27" s="1">
        <v>0</v>
      </c>
      <c r="F27" s="1">
        <v>0</v>
      </c>
      <c r="G27" s="9">
        <f>SUM(MA_FINANCIAL)</f>
        <v>0</v>
      </c>
      <c r="I27" s="13" t="s">
        <v>48</v>
      </c>
      <c r="J27" s="16">
        <f>SUM(ALL_BLOCKS)</f>
        <v>25146789.261200495</v>
      </c>
      <c r="L27" s="6"/>
      <c r="V27" s="9"/>
    </row>
    <row r="28" spans="1:22">
      <c r="A28" s="1" t="s">
        <v>49</v>
      </c>
      <c r="B28" s="6">
        <v>0</v>
      </c>
      <c r="C28" s="1">
        <v>0</v>
      </c>
      <c r="D28" s="1">
        <v>0</v>
      </c>
      <c r="E28" s="1">
        <v>0</v>
      </c>
      <c r="F28" s="1">
        <v>0</v>
      </c>
      <c r="G28" s="9">
        <f>SUM(MI_FINANCIAL)</f>
        <v>0</v>
      </c>
      <c r="I28" s="14"/>
      <c r="J28" s="17"/>
      <c r="L28" s="6"/>
      <c r="V28" s="9"/>
    </row>
    <row r="29" spans="1:22">
      <c r="A29" s="1" t="s">
        <v>50</v>
      </c>
      <c r="B29" s="6">
        <v>0</v>
      </c>
      <c r="C29" s="1">
        <v>0</v>
      </c>
      <c r="D29" s="1">
        <v>0</v>
      </c>
      <c r="E29" s="1">
        <v>0</v>
      </c>
      <c r="F29" s="1">
        <v>0</v>
      </c>
      <c r="G29" s="9">
        <f>SUM(MN_FINANCIAL)</f>
        <v>0</v>
      </c>
      <c r="L29" s="6"/>
      <c r="V29" s="9"/>
    </row>
    <row r="30" spans="1:22">
      <c r="A30" s="1" t="s">
        <v>51</v>
      </c>
      <c r="B30" s="6">
        <v>10174496.949729908</v>
      </c>
      <c r="C30" s="1">
        <v>2633564.0353225218</v>
      </c>
      <c r="D30" s="1">
        <v>64476.653640933619</v>
      </c>
      <c r="E30" s="1">
        <v>0</v>
      </c>
      <c r="F30" s="1">
        <v>0</v>
      </c>
      <c r="G30" s="9">
        <f>SUM(MS_FINANCIAL)</f>
        <v>12872537.638693362</v>
      </c>
      <c r="L30" s="6">
        <v>11860647</v>
      </c>
      <c r="M30" s="1">
        <v>0</v>
      </c>
      <c r="O30" s="1">
        <v>4785032</v>
      </c>
      <c r="P30" s="1">
        <v>0</v>
      </c>
      <c r="R30" s="1">
        <v>0</v>
      </c>
      <c r="S30" s="1">
        <v>0</v>
      </c>
      <c r="U30" s="1">
        <v>3735647</v>
      </c>
      <c r="V30" s="9">
        <v>0</v>
      </c>
    </row>
    <row r="31" spans="1:22">
      <c r="A31" s="1" t="s">
        <v>52</v>
      </c>
      <c r="B31" s="6">
        <v>0</v>
      </c>
      <c r="C31" s="1">
        <v>0</v>
      </c>
      <c r="D31" s="1">
        <v>0</v>
      </c>
      <c r="E31" s="1">
        <v>0</v>
      </c>
      <c r="F31" s="1">
        <v>0</v>
      </c>
      <c r="G31" s="9">
        <f>SUM(MO_FINANCIAL)</f>
        <v>0</v>
      </c>
      <c r="L31" s="6"/>
      <c r="V31" s="9"/>
    </row>
    <row r="32" spans="1:22">
      <c r="A32" s="1" t="s">
        <v>53</v>
      </c>
      <c r="B32" s="6">
        <v>0</v>
      </c>
      <c r="C32" s="1">
        <v>0</v>
      </c>
      <c r="D32" s="1">
        <v>0</v>
      </c>
      <c r="E32" s="1">
        <v>0</v>
      </c>
      <c r="F32" s="1">
        <v>0</v>
      </c>
      <c r="G32" s="9">
        <f>SUM(MT_FINANCIAL)</f>
        <v>0</v>
      </c>
      <c r="L32" s="6"/>
      <c r="V32" s="9"/>
    </row>
    <row r="33" spans="1:22">
      <c r="A33" s="1" t="s">
        <v>54</v>
      </c>
      <c r="B33" s="6">
        <v>0</v>
      </c>
      <c r="C33" s="1">
        <v>0</v>
      </c>
      <c r="D33" s="1">
        <v>0</v>
      </c>
      <c r="E33" s="1">
        <v>0</v>
      </c>
      <c r="F33" s="1">
        <v>0</v>
      </c>
      <c r="G33" s="9">
        <f>SUM(NE_FINANCIAL)</f>
        <v>0</v>
      </c>
      <c r="L33" s="6">
        <v>16000</v>
      </c>
      <c r="M33" s="1">
        <v>0</v>
      </c>
      <c r="O33" s="1">
        <v>4090</v>
      </c>
      <c r="P33" s="1">
        <v>0</v>
      </c>
      <c r="R33" s="1">
        <v>0</v>
      </c>
      <c r="S33" s="1">
        <v>0</v>
      </c>
      <c r="U33" s="1">
        <v>0</v>
      </c>
      <c r="V33" s="9">
        <v>0</v>
      </c>
    </row>
    <row r="34" spans="1:22">
      <c r="A34" s="1" t="s">
        <v>55</v>
      </c>
      <c r="B34" s="6">
        <v>0</v>
      </c>
      <c r="C34" s="1">
        <v>0</v>
      </c>
      <c r="D34" s="1">
        <v>0</v>
      </c>
      <c r="E34" s="1">
        <v>0</v>
      </c>
      <c r="F34" s="1">
        <v>0</v>
      </c>
      <c r="G34" s="9">
        <f>SUM(NV_FINANCIAL)</f>
        <v>0</v>
      </c>
      <c r="L34" s="6"/>
      <c r="V34" s="9"/>
    </row>
    <row r="35" spans="1:22">
      <c r="A35" s="1" t="s">
        <v>56</v>
      </c>
      <c r="B35" s="6">
        <v>0</v>
      </c>
      <c r="C35" s="1">
        <v>0</v>
      </c>
      <c r="D35" s="1">
        <v>0</v>
      </c>
      <c r="E35" s="1">
        <v>0</v>
      </c>
      <c r="F35" s="1">
        <v>0</v>
      </c>
      <c r="G35" s="9">
        <f>SUM(NH_FINANCIAL)</f>
        <v>0</v>
      </c>
      <c r="L35" s="6"/>
      <c r="V35" s="9"/>
    </row>
    <row r="36" spans="1:22">
      <c r="A36" s="1" t="s">
        <v>57</v>
      </c>
      <c r="B36" s="6">
        <v>0</v>
      </c>
      <c r="C36" s="1">
        <v>0</v>
      </c>
      <c r="D36" s="1">
        <v>0</v>
      </c>
      <c r="E36" s="1">
        <v>0</v>
      </c>
      <c r="F36" s="1">
        <v>0</v>
      </c>
      <c r="G36" s="9">
        <f>SUM(NJ_FINANCIAL)</f>
        <v>0</v>
      </c>
      <c r="L36" s="6"/>
      <c r="V36" s="9"/>
    </row>
    <row r="37" spans="1:22">
      <c r="A37" s="1" t="s">
        <v>58</v>
      </c>
      <c r="B37" s="6">
        <v>0</v>
      </c>
      <c r="C37" s="1">
        <v>0</v>
      </c>
      <c r="D37" s="1">
        <v>0</v>
      </c>
      <c r="E37" s="1">
        <v>0</v>
      </c>
      <c r="F37" s="1">
        <v>0</v>
      </c>
      <c r="G37" s="9">
        <f>SUM(NM_FINANCIAL)</f>
        <v>0</v>
      </c>
      <c r="L37" s="6"/>
      <c r="V37" s="9"/>
    </row>
    <row r="38" spans="1:22">
      <c r="A38" s="1" t="s">
        <v>59</v>
      </c>
      <c r="B38" s="6">
        <v>0</v>
      </c>
      <c r="C38" s="1">
        <v>0</v>
      </c>
      <c r="D38" s="1">
        <v>0</v>
      </c>
      <c r="E38" s="1">
        <v>0</v>
      </c>
      <c r="F38" s="1">
        <v>0</v>
      </c>
      <c r="G38" s="9">
        <f>SUM(NY_FINANCIAL)</f>
        <v>0</v>
      </c>
      <c r="L38" s="6"/>
      <c r="V38" s="9"/>
    </row>
    <row r="39" spans="1:22">
      <c r="A39" s="1" t="s">
        <v>60</v>
      </c>
      <c r="B39" s="6">
        <v>1666537.4384627505</v>
      </c>
      <c r="C39" s="1">
        <v>432042.23779264966</v>
      </c>
      <c r="D39" s="1">
        <v>0</v>
      </c>
      <c r="E39" s="1">
        <v>0</v>
      </c>
      <c r="F39" s="1">
        <v>0</v>
      </c>
      <c r="G39" s="9">
        <f>SUM(NC_FINANCIAL)</f>
        <v>2098579.6762554003</v>
      </c>
      <c r="L39" s="6">
        <v>4275000</v>
      </c>
      <c r="M39" s="1">
        <v>0</v>
      </c>
      <c r="O39" s="1">
        <v>225000</v>
      </c>
      <c r="P39" s="1">
        <v>0</v>
      </c>
      <c r="R39" s="1">
        <v>0</v>
      </c>
      <c r="S39" s="1">
        <v>0</v>
      </c>
      <c r="U39" s="1">
        <v>0</v>
      </c>
      <c r="V39" s="9">
        <v>0</v>
      </c>
    </row>
    <row r="40" spans="1:22">
      <c r="A40" s="1" t="s">
        <v>61</v>
      </c>
      <c r="B40" s="6">
        <v>0</v>
      </c>
      <c r="C40" s="1">
        <v>0</v>
      </c>
      <c r="D40" s="1">
        <v>0</v>
      </c>
      <c r="E40" s="1">
        <v>0</v>
      </c>
      <c r="F40" s="1">
        <v>0</v>
      </c>
      <c r="G40" s="9">
        <f>SUM(ND_FINANCIAL)</f>
        <v>0</v>
      </c>
      <c r="L40" s="6"/>
      <c r="V40" s="9"/>
    </row>
    <row r="41" spans="1:22">
      <c r="A41" s="1" t="s">
        <v>62</v>
      </c>
      <c r="B41" s="6">
        <v>0</v>
      </c>
      <c r="C41" s="1">
        <v>0</v>
      </c>
      <c r="D41" s="1">
        <v>0</v>
      </c>
      <c r="E41" s="1">
        <v>0</v>
      </c>
      <c r="F41" s="1">
        <v>0</v>
      </c>
      <c r="G41" s="9">
        <f>SUM(OH_FINANCIAL)</f>
        <v>0</v>
      </c>
      <c r="L41" s="6"/>
      <c r="V41" s="9"/>
    </row>
    <row r="42" spans="1:22">
      <c r="A42" s="1" t="s">
        <v>63</v>
      </c>
      <c r="B42" s="6">
        <v>64911.460058100813</v>
      </c>
      <c r="C42" s="1">
        <v>16828.00026848416</v>
      </c>
      <c r="D42" s="1">
        <v>0</v>
      </c>
      <c r="E42" s="1">
        <v>0</v>
      </c>
      <c r="F42" s="1">
        <v>0</v>
      </c>
      <c r="G42" s="9">
        <f>SUM(OK_FINANCIAL)</f>
        <v>81739.460326584973</v>
      </c>
      <c r="L42" s="6">
        <v>0</v>
      </c>
      <c r="M42" s="1">
        <v>0</v>
      </c>
      <c r="O42" s="1">
        <v>320000</v>
      </c>
      <c r="P42" s="1">
        <v>50000</v>
      </c>
      <c r="R42" s="1">
        <v>0</v>
      </c>
      <c r="S42" s="1">
        <v>0</v>
      </c>
      <c r="U42" s="1">
        <v>0</v>
      </c>
      <c r="V42" s="9">
        <v>0</v>
      </c>
    </row>
    <row r="43" spans="1:22">
      <c r="A43" s="1" t="s">
        <v>64</v>
      </c>
      <c r="B43" s="6">
        <v>0</v>
      </c>
      <c r="C43" s="1">
        <v>0</v>
      </c>
      <c r="D43" s="1">
        <v>0</v>
      </c>
      <c r="E43" s="1">
        <v>0</v>
      </c>
      <c r="F43" s="1">
        <v>0</v>
      </c>
      <c r="G43" s="9">
        <f>SUM(OR_FINANCIAL)</f>
        <v>0</v>
      </c>
      <c r="L43" s="6"/>
      <c r="V43" s="9"/>
    </row>
    <row r="44" spans="1:22">
      <c r="A44" s="1" t="s">
        <v>65</v>
      </c>
      <c r="B44" s="6">
        <v>0</v>
      </c>
      <c r="C44" s="1">
        <v>0</v>
      </c>
      <c r="D44" s="1">
        <v>0</v>
      </c>
      <c r="E44" s="1">
        <v>0</v>
      </c>
      <c r="F44" s="1">
        <v>0</v>
      </c>
      <c r="G44" s="9">
        <f>SUM(PA_FINANCIAL)</f>
        <v>0</v>
      </c>
      <c r="L44" s="6"/>
      <c r="V44" s="9"/>
    </row>
    <row r="45" spans="1:22">
      <c r="A45" s="1" t="s">
        <v>66</v>
      </c>
      <c r="B45" s="6">
        <v>0</v>
      </c>
      <c r="C45" s="1">
        <v>0</v>
      </c>
      <c r="D45" s="1">
        <v>0</v>
      </c>
      <c r="E45" s="1">
        <v>0</v>
      </c>
      <c r="F45" s="1">
        <v>0</v>
      </c>
      <c r="G45" s="9">
        <f>SUM(PR_FINANCIAL)</f>
        <v>0</v>
      </c>
      <c r="L45" s="6"/>
      <c r="V45" s="9"/>
    </row>
    <row r="46" spans="1:22">
      <c r="A46" s="1" t="s">
        <v>67</v>
      </c>
      <c r="B46" s="6">
        <v>0</v>
      </c>
      <c r="C46" s="1">
        <v>0</v>
      </c>
      <c r="D46" s="1">
        <v>0</v>
      </c>
      <c r="E46" s="1">
        <v>0</v>
      </c>
      <c r="F46" s="1">
        <v>0</v>
      </c>
      <c r="G46" s="9">
        <f>SUM(RI_FINANCIAL)</f>
        <v>0</v>
      </c>
      <c r="L46" s="6"/>
      <c r="V46" s="9"/>
    </row>
    <row r="47" spans="1:22">
      <c r="A47" s="1" t="s">
        <v>68</v>
      </c>
      <c r="B47" s="6">
        <v>-2.9103830456733704E-11</v>
      </c>
      <c r="C47" s="1">
        <v>-7.2759576141834259E-12</v>
      </c>
      <c r="D47" s="1">
        <v>0</v>
      </c>
      <c r="E47" s="1">
        <v>0</v>
      </c>
      <c r="F47" s="1">
        <v>0</v>
      </c>
      <c r="G47" s="9">
        <f>SUM(SC_FINANCIAL)</f>
        <v>-3.637978807091713E-11</v>
      </c>
      <c r="L47" s="6"/>
      <c r="V47" s="9"/>
    </row>
    <row r="48" spans="1:22">
      <c r="A48" s="1" t="s">
        <v>69</v>
      </c>
      <c r="B48" s="6">
        <v>0</v>
      </c>
      <c r="C48" s="1">
        <v>0</v>
      </c>
      <c r="D48" s="1">
        <v>0</v>
      </c>
      <c r="E48" s="1">
        <v>0</v>
      </c>
      <c r="F48" s="1">
        <v>0</v>
      </c>
      <c r="G48" s="9">
        <f>SUM(SD_FINANCIAL)</f>
        <v>0</v>
      </c>
      <c r="L48" s="6"/>
      <c r="V48" s="9"/>
    </row>
    <row r="49" spans="1:22">
      <c r="A49" s="1" t="s">
        <v>70</v>
      </c>
      <c r="B49" s="6">
        <v>3496036.4187447717</v>
      </c>
      <c r="C49" s="1">
        <v>906331.51281158731</v>
      </c>
      <c r="D49" s="1">
        <v>7790.2532901498626</v>
      </c>
      <c r="E49" s="1">
        <v>0</v>
      </c>
      <c r="F49" s="1">
        <v>0</v>
      </c>
      <c r="G49" s="9">
        <f>SUM(TN_FINANCIAL)</f>
        <v>4410158.1848465092</v>
      </c>
      <c r="L49" s="6">
        <v>7200000</v>
      </c>
      <c r="M49" s="1">
        <v>0</v>
      </c>
      <c r="O49" s="1">
        <v>1200000</v>
      </c>
      <c r="P49" s="1">
        <v>0</v>
      </c>
      <c r="R49" s="1">
        <v>0</v>
      </c>
      <c r="S49" s="1">
        <v>0</v>
      </c>
      <c r="U49" s="1">
        <v>0</v>
      </c>
      <c r="V49" s="9">
        <v>0</v>
      </c>
    </row>
    <row r="50" spans="1:22">
      <c r="A50" s="1" t="s">
        <v>71</v>
      </c>
      <c r="B50" s="6">
        <v>992512.25210331508</v>
      </c>
      <c r="C50" s="1">
        <v>270305.96730680839</v>
      </c>
      <c r="D50" s="1">
        <v>0</v>
      </c>
      <c r="E50" s="1">
        <v>0</v>
      </c>
      <c r="F50" s="1">
        <v>0</v>
      </c>
      <c r="G50" s="9">
        <f>SUM(TX_FINANCIAL)</f>
        <v>1262818.2194101235</v>
      </c>
      <c r="L50" s="6">
        <v>651924</v>
      </c>
      <c r="M50" s="1">
        <v>280000</v>
      </c>
      <c r="O50" s="1">
        <v>96657</v>
      </c>
      <c r="P50" s="1">
        <v>0</v>
      </c>
      <c r="R50" s="1">
        <v>0</v>
      </c>
      <c r="S50" s="1">
        <v>0</v>
      </c>
      <c r="U50" s="1">
        <v>0</v>
      </c>
      <c r="V50" s="9">
        <v>0</v>
      </c>
    </row>
    <row r="51" spans="1:22">
      <c r="A51" s="1" t="s">
        <v>72</v>
      </c>
      <c r="B51" s="6">
        <v>0</v>
      </c>
      <c r="C51" s="1">
        <v>0</v>
      </c>
      <c r="D51" s="1">
        <v>0</v>
      </c>
      <c r="E51" s="1">
        <v>0</v>
      </c>
      <c r="F51" s="1">
        <v>0</v>
      </c>
      <c r="G51" s="9">
        <f>SUM(UT_FINANCIAL)</f>
        <v>0</v>
      </c>
      <c r="L51" s="6"/>
      <c r="V51" s="9"/>
    </row>
    <row r="52" spans="1:22">
      <c r="A52" s="1" t="s">
        <v>73</v>
      </c>
      <c r="B52" s="6">
        <v>0</v>
      </c>
      <c r="C52" s="1">
        <v>0</v>
      </c>
      <c r="D52" s="1">
        <v>0</v>
      </c>
      <c r="E52" s="1">
        <v>0</v>
      </c>
      <c r="F52" s="1">
        <v>0</v>
      </c>
      <c r="G52" s="9">
        <f>SUM(VT_FINANCIAL)</f>
        <v>0</v>
      </c>
      <c r="L52" s="6"/>
      <c r="V52" s="9"/>
    </row>
    <row r="53" spans="1:22">
      <c r="A53" s="1" t="s">
        <v>74</v>
      </c>
      <c r="B53" s="6">
        <v>0</v>
      </c>
      <c r="C53" s="1">
        <v>0</v>
      </c>
      <c r="D53" s="1">
        <v>0</v>
      </c>
      <c r="E53" s="1">
        <v>0</v>
      </c>
      <c r="F53" s="1">
        <v>0</v>
      </c>
      <c r="G53" s="9">
        <f>SUM(VA_FINANCIAL)</f>
        <v>0</v>
      </c>
      <c r="L53" s="6"/>
      <c r="V53" s="9"/>
    </row>
    <row r="54" spans="1:22">
      <c r="A54" s="1" t="s">
        <v>75</v>
      </c>
      <c r="B54" s="6">
        <v>0</v>
      </c>
      <c r="C54" s="1">
        <v>0</v>
      </c>
      <c r="D54" s="1">
        <v>0</v>
      </c>
      <c r="E54" s="1">
        <v>0</v>
      </c>
      <c r="F54" s="1">
        <v>0</v>
      </c>
      <c r="G54" s="9">
        <f>SUM(WA_FINANCIAL)</f>
        <v>0</v>
      </c>
      <c r="L54" s="6"/>
      <c r="V54" s="9"/>
    </row>
    <row r="55" spans="1:22">
      <c r="A55" s="1" t="s">
        <v>76</v>
      </c>
      <c r="B55" s="6">
        <v>0</v>
      </c>
      <c r="C55" s="1">
        <v>0</v>
      </c>
      <c r="D55" s="1">
        <v>0</v>
      </c>
      <c r="E55" s="1">
        <v>0</v>
      </c>
      <c r="F55" s="1">
        <v>0</v>
      </c>
      <c r="G55" s="9">
        <f>SUM(WV_FINANCIAL)</f>
        <v>0</v>
      </c>
      <c r="L55" s="6"/>
      <c r="V55" s="9"/>
    </row>
    <row r="56" spans="1:22">
      <c r="A56" s="1" t="s">
        <v>77</v>
      </c>
      <c r="B56" s="6">
        <v>0</v>
      </c>
      <c r="C56" s="1">
        <v>0</v>
      </c>
      <c r="D56" s="1">
        <v>0</v>
      </c>
      <c r="E56" s="1">
        <v>0</v>
      </c>
      <c r="F56" s="1">
        <v>0</v>
      </c>
      <c r="G56" s="9">
        <f>SUM(WI_FINANCIAL)</f>
        <v>0</v>
      </c>
      <c r="L56" s="6"/>
      <c r="V56" s="9"/>
    </row>
    <row r="57" spans="1:22">
      <c r="A57" s="1" t="s">
        <v>78</v>
      </c>
      <c r="B57" s="6">
        <v>0</v>
      </c>
      <c r="C57" s="1">
        <v>0</v>
      </c>
      <c r="D57" s="1">
        <v>0</v>
      </c>
      <c r="E57" s="1">
        <v>0</v>
      </c>
      <c r="F57" s="1">
        <v>0</v>
      </c>
      <c r="G57" s="9">
        <f>SUM(WY_FINANCIAL)</f>
        <v>0</v>
      </c>
      <c r="L57" s="6"/>
      <c r="V57" s="9"/>
    </row>
    <row r="58" spans="1:22">
      <c r="A58" s="1" t="s">
        <v>79</v>
      </c>
      <c r="B58" s="6">
        <v>0</v>
      </c>
      <c r="C58" s="1">
        <v>0</v>
      </c>
      <c r="D58" s="1">
        <v>0</v>
      </c>
      <c r="E58" s="1">
        <v>0</v>
      </c>
      <c r="F58" s="1">
        <v>0</v>
      </c>
      <c r="G58" s="9">
        <f>SUM(OT_FINANCIAL)</f>
        <v>0</v>
      </c>
      <c r="L58" s="6"/>
      <c r="V58" s="9"/>
    </row>
    <row r="59" spans="1:22">
      <c r="B59" s="6"/>
      <c r="G59" s="9"/>
      <c r="L59" s="6"/>
      <c r="V59" s="9"/>
    </row>
    <row r="60" spans="1:22">
      <c r="A60" s="1" t="s">
        <v>8</v>
      </c>
      <c r="B60" s="6">
        <f>SUM(LIFE)</f>
        <v>19903797.133650288</v>
      </c>
      <c r="C60" s="1">
        <f>SUM(ALLOCATED)</f>
        <v>5168842.4671326708</v>
      </c>
      <c r="D60" s="1">
        <f>SUM(HEALTH)</f>
        <v>74149.660417533494</v>
      </c>
      <c r="E60" s="1">
        <f>SUM(UNALLOCATED)</f>
        <v>0</v>
      </c>
      <c r="F60" s="1">
        <f>SUM(LTC)</f>
        <v>0</v>
      </c>
      <c r="G60" s="9">
        <f>SUM(ALL_BLOCKS)</f>
        <v>25146789.261200495</v>
      </c>
      <c r="L60" s="6">
        <f>SUM(LIFE_CALLED)</f>
        <v>28735867</v>
      </c>
      <c r="M60" s="1">
        <f>SUM(LIFE_REFUNDED)</f>
        <v>280000</v>
      </c>
      <c r="O60" s="1">
        <f>SUM(ALLOC_CALLED)</f>
        <v>10977686</v>
      </c>
      <c r="P60" s="1">
        <f>SUM(ALLOC_REFUNDED)</f>
        <v>50403.45</v>
      </c>
      <c r="R60" s="1">
        <f>SUM(HEALTH_CALLED)</f>
        <v>0</v>
      </c>
      <c r="S60" s="1">
        <f>SUM(HEALTH_REFUNDED)</f>
        <v>0</v>
      </c>
      <c r="U60" s="1">
        <f>SUM(UNALLOC_CALLED)</f>
        <v>3735647</v>
      </c>
      <c r="V60" s="9">
        <f>SUM(UNALLOC_REFUNDED)</f>
        <v>0</v>
      </c>
    </row>
    <row r="61" spans="1:22" ht="5.0999999999999996" customHeight="1">
      <c r="B61" s="6"/>
      <c r="G61" s="9"/>
      <c r="L61" s="6"/>
      <c r="V61" s="9"/>
    </row>
    <row r="62" spans="1:22">
      <c r="B62" s="6"/>
      <c r="G62" s="9"/>
      <c r="L62" s="78" t="s">
        <v>80</v>
      </c>
      <c r="M62" s="79"/>
      <c r="N62" s="79"/>
      <c r="O62" s="79"/>
      <c r="P62" s="79"/>
      <c r="Q62" s="79"/>
      <c r="R62" s="79"/>
      <c r="S62" s="79"/>
      <c r="T62" s="79"/>
      <c r="U62" s="79"/>
      <c r="V62" s="80"/>
    </row>
    <row r="63" spans="1:22">
      <c r="B63" s="6"/>
      <c r="G63" s="9"/>
      <c r="L63" s="81"/>
      <c r="M63" s="79"/>
      <c r="N63" s="79"/>
      <c r="O63" s="79"/>
      <c r="P63" s="79"/>
      <c r="Q63" s="79"/>
      <c r="R63" s="79"/>
      <c r="S63" s="79"/>
      <c r="T63" s="79"/>
      <c r="U63" s="79"/>
      <c r="V63" s="80"/>
    </row>
    <row r="64" spans="1:22">
      <c r="B64" s="8"/>
      <c r="C64" s="5"/>
      <c r="D64" s="5"/>
      <c r="E64" s="5"/>
      <c r="F64" s="5"/>
      <c r="G64" s="11"/>
      <c r="L64" s="82"/>
      <c r="M64" s="83"/>
      <c r="N64" s="83"/>
      <c r="O64" s="83"/>
      <c r="P64" s="83"/>
      <c r="Q64" s="83"/>
      <c r="R64" s="83"/>
      <c r="S64" s="83"/>
      <c r="T64" s="83"/>
      <c r="U64" s="83"/>
      <c r="V64" s="84"/>
    </row>
  </sheetData>
  <mergeCells count="8">
    <mergeCell ref="L62:V64"/>
    <mergeCell ref="A1:G1"/>
    <mergeCell ref="B3:G3"/>
    <mergeCell ref="L3:V3"/>
    <mergeCell ref="L4:M4"/>
    <mergeCell ref="O4:P4"/>
    <mergeCell ref="R4:S4"/>
    <mergeCell ref="U4:V4"/>
  </mergeCells>
  <pageMargins left="0" right="0" top="0" bottom="0" header="0" footer="0"/>
  <pageSetup scale="48"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V64"/>
  <sheetViews>
    <sheetView zoomScale="75" workbookViewId="0">
      <selection sqref="A1:G1"/>
    </sheetView>
  </sheetViews>
  <sheetFormatPr defaultColWidth="9.109375" defaultRowHeight="14.4"/>
  <cols>
    <col min="1" max="1" width="20" style="1" customWidth="1"/>
    <col min="2" max="7" width="15" style="1" customWidth="1"/>
    <col min="8" max="8" width="1" style="1" customWidth="1"/>
    <col min="9" max="9" width="30" style="1" customWidth="1"/>
    <col min="10" max="10" width="15" style="1" customWidth="1"/>
    <col min="11" max="11" width="1" style="1" customWidth="1"/>
    <col min="12" max="13" width="15" style="1" customWidth="1"/>
    <col min="14" max="14" width="1" style="1" customWidth="1"/>
    <col min="15" max="16" width="15" style="1" customWidth="1"/>
    <col min="17" max="17" width="1" style="1" customWidth="1"/>
    <col min="18" max="19" width="15" style="1" customWidth="1"/>
    <col min="20" max="20" width="1" style="1" customWidth="1"/>
    <col min="21" max="22" width="15" style="1" customWidth="1"/>
    <col min="23" max="23" width="9.109375" style="1" customWidth="1"/>
    <col min="24" max="16384" width="9.109375" style="1"/>
  </cols>
  <sheetData>
    <row r="1" spans="1:22">
      <c r="A1" s="85" t="s">
        <v>93</v>
      </c>
      <c r="B1" s="79"/>
      <c r="C1" s="79"/>
      <c r="D1" s="79"/>
      <c r="E1" s="79"/>
      <c r="F1" s="79"/>
      <c r="G1" s="79"/>
    </row>
    <row r="3" spans="1:22">
      <c r="B3" s="86" t="s">
        <v>1</v>
      </c>
      <c r="C3" s="87"/>
      <c r="D3" s="87"/>
      <c r="E3" s="87"/>
      <c r="F3" s="87"/>
      <c r="G3" s="88"/>
      <c r="L3" s="89" t="s">
        <v>2</v>
      </c>
      <c r="M3" s="90"/>
      <c r="N3" s="90"/>
      <c r="O3" s="90"/>
      <c r="P3" s="90"/>
      <c r="Q3" s="90"/>
      <c r="R3" s="90"/>
      <c r="S3" s="90"/>
      <c r="T3" s="90"/>
      <c r="U3" s="90"/>
      <c r="V3" s="91"/>
    </row>
    <row r="4" spans="1:22">
      <c r="B4" s="6"/>
      <c r="G4" s="9"/>
      <c r="L4" s="92" t="s">
        <v>3</v>
      </c>
      <c r="M4" s="93"/>
      <c r="N4" s="3"/>
      <c r="O4" s="94" t="s">
        <v>4</v>
      </c>
      <c r="P4" s="93"/>
      <c r="Q4" s="3"/>
      <c r="R4" s="94" t="s">
        <v>5</v>
      </c>
      <c r="S4" s="93"/>
      <c r="T4" s="3"/>
      <c r="U4" s="94" t="s">
        <v>6</v>
      </c>
      <c r="V4" s="95"/>
    </row>
    <row r="5" spans="1:22" ht="60" customHeight="1">
      <c r="B5" s="7" t="s">
        <v>3</v>
      </c>
      <c r="C5" s="4" t="s">
        <v>4</v>
      </c>
      <c r="D5" s="4" t="s">
        <v>5</v>
      </c>
      <c r="E5" s="4" t="s">
        <v>6</v>
      </c>
      <c r="F5" s="4" t="s">
        <v>7</v>
      </c>
      <c r="G5" s="10" t="s">
        <v>8</v>
      </c>
      <c r="L5" s="19" t="s">
        <v>9</v>
      </c>
      <c r="M5" s="18" t="s">
        <v>10</v>
      </c>
      <c r="N5" s="18"/>
      <c r="O5" s="18" t="s">
        <v>9</v>
      </c>
      <c r="P5" s="18" t="s">
        <v>10</v>
      </c>
      <c r="Q5" s="18"/>
      <c r="R5" s="18" t="s">
        <v>9</v>
      </c>
      <c r="S5" s="18" t="s">
        <v>10</v>
      </c>
      <c r="T5" s="18"/>
      <c r="U5" s="18" t="s">
        <v>9</v>
      </c>
      <c r="V5" s="20" t="s">
        <v>10</v>
      </c>
    </row>
    <row r="6" spans="1:22">
      <c r="A6" s="1" t="s">
        <v>11</v>
      </c>
      <c r="B6" s="6">
        <v>0</v>
      </c>
      <c r="C6" s="1">
        <v>0</v>
      </c>
      <c r="D6" s="1">
        <v>0</v>
      </c>
      <c r="E6" s="1">
        <v>0</v>
      </c>
      <c r="F6" s="1">
        <v>0</v>
      </c>
      <c r="G6" s="9">
        <f>SUM(AL_FINANCIAL)</f>
        <v>0</v>
      </c>
      <c r="L6" s="6"/>
      <c r="V6" s="9"/>
    </row>
    <row r="7" spans="1:22">
      <c r="A7" s="1" t="s">
        <v>12</v>
      </c>
      <c r="B7" s="6">
        <v>0</v>
      </c>
      <c r="C7" s="1">
        <v>0</v>
      </c>
      <c r="D7" s="1">
        <v>0</v>
      </c>
      <c r="E7" s="1">
        <v>0</v>
      </c>
      <c r="F7" s="1">
        <v>0</v>
      </c>
      <c r="G7" s="9">
        <f>SUM(AK_FINANCIAL)</f>
        <v>0</v>
      </c>
      <c r="I7" s="12"/>
      <c r="J7" s="15"/>
      <c r="L7" s="6"/>
      <c r="V7" s="9"/>
    </row>
    <row r="8" spans="1:22">
      <c r="A8" s="1" t="s">
        <v>13</v>
      </c>
      <c r="B8" s="6">
        <v>-223902.85478518539</v>
      </c>
      <c r="C8" s="1">
        <v>0</v>
      </c>
      <c r="D8" s="1">
        <v>317571.35157951259</v>
      </c>
      <c r="E8" s="1">
        <v>0</v>
      </c>
      <c r="F8" s="1">
        <v>0</v>
      </c>
      <c r="G8" s="9">
        <f>SUM(AZ_FINANCIAL)</f>
        <v>93668.496794327191</v>
      </c>
      <c r="I8" s="13" t="s">
        <v>14</v>
      </c>
      <c r="J8" s="16"/>
      <c r="L8" s="6"/>
      <c r="V8" s="9"/>
    </row>
    <row r="9" spans="1:22">
      <c r="A9" s="1" t="s">
        <v>15</v>
      </c>
      <c r="B9" s="6">
        <v>0</v>
      </c>
      <c r="C9" s="1">
        <v>0</v>
      </c>
      <c r="D9" s="1">
        <v>0</v>
      </c>
      <c r="E9" s="1">
        <v>0</v>
      </c>
      <c r="F9" s="1">
        <v>0</v>
      </c>
      <c r="G9" s="9">
        <f>SUM(AR_FINANCIAL)</f>
        <v>0</v>
      </c>
      <c r="I9" s="13"/>
      <c r="J9" s="16"/>
      <c r="L9" s="6"/>
      <c r="V9" s="9"/>
    </row>
    <row r="10" spans="1:22">
      <c r="A10" s="1" t="s">
        <v>16</v>
      </c>
      <c r="B10" s="6">
        <v>0</v>
      </c>
      <c r="C10" s="1">
        <v>0</v>
      </c>
      <c r="D10" s="1">
        <v>0</v>
      </c>
      <c r="E10" s="1">
        <v>0</v>
      </c>
      <c r="F10" s="1">
        <v>0</v>
      </c>
      <c r="G10" s="9">
        <f>SUM(CA_FINANCIAL)</f>
        <v>0</v>
      </c>
      <c r="I10" s="13" t="s">
        <v>17</v>
      </c>
      <c r="J10" s="16">
        <v>8900858</v>
      </c>
      <c r="L10" s="6"/>
      <c r="V10" s="9"/>
    </row>
    <row r="11" spans="1:22">
      <c r="A11" s="1" t="s">
        <v>18</v>
      </c>
      <c r="B11" s="6">
        <v>145.7704555260498</v>
      </c>
      <c r="C11" s="1">
        <v>0</v>
      </c>
      <c r="D11" s="1">
        <v>-2097.6377546297335</v>
      </c>
      <c r="E11" s="1">
        <v>0</v>
      </c>
      <c r="F11" s="1">
        <v>0</v>
      </c>
      <c r="G11" s="9">
        <f>SUM(CO_FINANCIAL)</f>
        <v>-1951.8672991036838</v>
      </c>
      <c r="I11" s="13"/>
      <c r="J11" s="16"/>
      <c r="L11" s="6">
        <v>0</v>
      </c>
      <c r="M11" s="1">
        <v>0</v>
      </c>
      <c r="O11" s="1">
        <v>0</v>
      </c>
      <c r="P11" s="1">
        <v>0</v>
      </c>
      <c r="R11" s="1">
        <v>25000</v>
      </c>
      <c r="S11" s="1">
        <v>0</v>
      </c>
      <c r="U11" s="1">
        <v>0</v>
      </c>
      <c r="V11" s="9">
        <v>0</v>
      </c>
    </row>
    <row r="12" spans="1:22">
      <c r="A12" s="1" t="s">
        <v>19</v>
      </c>
      <c r="B12" s="6">
        <v>0</v>
      </c>
      <c r="C12" s="1">
        <v>0</v>
      </c>
      <c r="D12" s="1">
        <v>0</v>
      </c>
      <c r="E12" s="1">
        <v>0</v>
      </c>
      <c r="F12" s="1">
        <v>0</v>
      </c>
      <c r="G12" s="9">
        <f>SUM(CT_FINANCIAL)</f>
        <v>0</v>
      </c>
      <c r="I12" s="13" t="s">
        <v>20</v>
      </c>
      <c r="J12" s="16"/>
      <c r="L12" s="6"/>
      <c r="V12" s="9"/>
    </row>
    <row r="13" spans="1:22">
      <c r="A13" s="1" t="s">
        <v>21</v>
      </c>
      <c r="B13" s="6">
        <v>0</v>
      </c>
      <c r="C13" s="1">
        <v>0</v>
      </c>
      <c r="D13" s="1">
        <v>0</v>
      </c>
      <c r="E13" s="1">
        <v>0</v>
      </c>
      <c r="F13" s="1">
        <v>0</v>
      </c>
      <c r="G13" s="9">
        <f>SUM(DE_FINANCIAL)</f>
        <v>0</v>
      </c>
      <c r="I13" s="13" t="s">
        <v>22</v>
      </c>
      <c r="J13" s="16">
        <v>6337185</v>
      </c>
      <c r="L13" s="6"/>
      <c r="V13" s="9"/>
    </row>
    <row r="14" spans="1:22">
      <c r="A14" s="1" t="s">
        <v>23</v>
      </c>
      <c r="B14" s="6">
        <v>0</v>
      </c>
      <c r="C14" s="1">
        <v>0</v>
      </c>
      <c r="D14" s="1">
        <v>0</v>
      </c>
      <c r="E14" s="1">
        <v>0</v>
      </c>
      <c r="F14" s="1">
        <v>0</v>
      </c>
      <c r="G14" s="9">
        <f>SUM(DC_FINANCIAL)</f>
        <v>0</v>
      </c>
      <c r="I14" s="13" t="s">
        <v>24</v>
      </c>
      <c r="J14" s="16">
        <v>1046036</v>
      </c>
      <c r="L14" s="6"/>
      <c r="V14" s="9"/>
    </row>
    <row r="15" spans="1:22">
      <c r="A15" s="1" t="s">
        <v>25</v>
      </c>
      <c r="B15" s="6">
        <v>1378.7553524862542</v>
      </c>
      <c r="C15" s="1">
        <v>0</v>
      </c>
      <c r="D15" s="1">
        <v>92455.873826278723</v>
      </c>
      <c r="E15" s="1">
        <v>0</v>
      </c>
      <c r="F15" s="1">
        <v>0</v>
      </c>
      <c r="G15" s="9">
        <f>SUM(FL_FINANCIAL)</f>
        <v>93834.629178764982</v>
      </c>
      <c r="I15" s="13" t="s">
        <v>26</v>
      </c>
      <c r="J15" s="16">
        <v>5110951.6399999997</v>
      </c>
      <c r="L15" s="6"/>
      <c r="V15" s="9"/>
    </row>
    <row r="16" spans="1:22">
      <c r="A16" s="1" t="s">
        <v>27</v>
      </c>
      <c r="B16" s="6">
        <v>0</v>
      </c>
      <c r="C16" s="1">
        <v>0</v>
      </c>
      <c r="D16" s="1">
        <v>0</v>
      </c>
      <c r="E16" s="1">
        <v>0</v>
      </c>
      <c r="F16" s="1">
        <v>0</v>
      </c>
      <c r="G16" s="9">
        <f>SUM(GA_FINANCIAL)</f>
        <v>0</v>
      </c>
      <c r="I16" s="13" t="s">
        <v>28</v>
      </c>
      <c r="J16" s="16">
        <v>0</v>
      </c>
      <c r="L16" s="6"/>
      <c r="V16" s="9"/>
    </row>
    <row r="17" spans="1:22">
      <c r="A17" s="1" t="s">
        <v>29</v>
      </c>
      <c r="B17" s="6">
        <v>0</v>
      </c>
      <c r="C17" s="1">
        <v>0</v>
      </c>
      <c r="D17" s="1">
        <v>0</v>
      </c>
      <c r="E17" s="1">
        <v>0</v>
      </c>
      <c r="F17" s="1">
        <v>0</v>
      </c>
      <c r="G17" s="9">
        <f>SUM(HI_FINANCIAL)</f>
        <v>0</v>
      </c>
      <c r="I17" s="13"/>
      <c r="J17" s="16"/>
      <c r="L17" s="6"/>
      <c r="V17" s="9"/>
    </row>
    <row r="18" spans="1:22">
      <c r="A18" s="1" t="s">
        <v>30</v>
      </c>
      <c r="B18" s="6">
        <v>0</v>
      </c>
      <c r="C18" s="1">
        <v>0</v>
      </c>
      <c r="D18" s="1">
        <v>0</v>
      </c>
      <c r="E18" s="1">
        <v>0</v>
      </c>
      <c r="F18" s="1">
        <v>0</v>
      </c>
      <c r="G18" s="9">
        <f>SUM(ID_FINANCIAL)</f>
        <v>0</v>
      </c>
      <c r="I18" s="13" t="s">
        <v>31</v>
      </c>
      <c r="J18" s="16"/>
      <c r="L18" s="6"/>
      <c r="V18" s="9"/>
    </row>
    <row r="19" spans="1:22">
      <c r="A19" s="1" t="s">
        <v>32</v>
      </c>
      <c r="B19" s="6">
        <v>0</v>
      </c>
      <c r="C19" s="1">
        <v>0</v>
      </c>
      <c r="D19" s="1">
        <v>0</v>
      </c>
      <c r="E19" s="1">
        <v>0</v>
      </c>
      <c r="F19" s="1">
        <v>0</v>
      </c>
      <c r="G19" s="9">
        <f>SUM(IL_FINANCIAL)</f>
        <v>0</v>
      </c>
      <c r="I19" s="13" t="s">
        <v>33</v>
      </c>
      <c r="J19" s="16">
        <v>0</v>
      </c>
      <c r="L19" s="6"/>
      <c r="V19" s="9"/>
    </row>
    <row r="20" spans="1:22">
      <c r="A20" s="1" t="s">
        <v>34</v>
      </c>
      <c r="B20" s="6">
        <v>0</v>
      </c>
      <c r="C20" s="1">
        <v>0</v>
      </c>
      <c r="D20" s="1">
        <v>0</v>
      </c>
      <c r="E20" s="1">
        <v>0</v>
      </c>
      <c r="F20" s="1">
        <v>0</v>
      </c>
      <c r="G20" s="9">
        <f>SUM(IN_FINANCIAL)</f>
        <v>0</v>
      </c>
      <c r="I20" s="13" t="s">
        <v>35</v>
      </c>
      <c r="J20" s="16">
        <v>6323702</v>
      </c>
      <c r="L20" s="6"/>
      <c r="V20" s="9"/>
    </row>
    <row r="21" spans="1:22">
      <c r="A21" s="1" t="s">
        <v>36</v>
      </c>
      <c r="B21" s="6">
        <v>0</v>
      </c>
      <c r="C21" s="1">
        <v>0</v>
      </c>
      <c r="D21" s="1">
        <v>0</v>
      </c>
      <c r="E21" s="1">
        <v>0</v>
      </c>
      <c r="F21" s="1">
        <v>0</v>
      </c>
      <c r="G21" s="9">
        <f>SUM(IA_FINANCIAL)</f>
        <v>0</v>
      </c>
      <c r="I21" s="13" t="s">
        <v>37</v>
      </c>
      <c r="J21" s="16"/>
      <c r="L21" s="6"/>
      <c r="V21" s="9"/>
    </row>
    <row r="22" spans="1:22">
      <c r="A22" s="1" t="s">
        <v>38</v>
      </c>
      <c r="B22" s="6">
        <v>0</v>
      </c>
      <c r="C22" s="1">
        <v>0</v>
      </c>
      <c r="D22" s="1">
        <v>0</v>
      </c>
      <c r="E22" s="1">
        <v>0</v>
      </c>
      <c r="F22" s="1">
        <v>0</v>
      </c>
      <c r="G22" s="9">
        <f>SUM(KS_FINANCIAL)</f>
        <v>0</v>
      </c>
      <c r="I22" s="13" t="s">
        <v>39</v>
      </c>
      <c r="J22" s="16">
        <v>-571866</v>
      </c>
      <c r="L22" s="6"/>
      <c r="V22" s="9"/>
    </row>
    <row r="23" spans="1:22">
      <c r="A23" s="1" t="s">
        <v>40</v>
      </c>
      <c r="B23" s="6">
        <v>0</v>
      </c>
      <c r="C23" s="1">
        <v>0</v>
      </c>
      <c r="D23" s="1">
        <v>0</v>
      </c>
      <c r="E23" s="1">
        <v>0</v>
      </c>
      <c r="F23" s="1">
        <v>0</v>
      </c>
      <c r="G23" s="9">
        <f>SUM(KY_FINANCIAL)</f>
        <v>0</v>
      </c>
      <c r="I23" s="13" t="s">
        <v>41</v>
      </c>
      <c r="J23" s="16"/>
      <c r="L23" s="6"/>
      <c r="V23" s="9"/>
    </row>
    <row r="24" spans="1:22">
      <c r="A24" s="1" t="s">
        <v>42</v>
      </c>
      <c r="B24" s="6">
        <v>30087.987611139582</v>
      </c>
      <c r="C24" s="1">
        <v>0</v>
      </c>
      <c r="D24" s="1">
        <v>3465502.6715593976</v>
      </c>
      <c r="E24" s="1">
        <v>0</v>
      </c>
      <c r="F24" s="1">
        <v>0</v>
      </c>
      <c r="G24" s="9">
        <f>SUM(LA_FINANCIAL)</f>
        <v>3495590.6591705373</v>
      </c>
      <c r="I24" s="13" t="s">
        <v>43</v>
      </c>
      <c r="J24" s="16">
        <v>1806541</v>
      </c>
      <c r="L24" s="6">
        <v>3959</v>
      </c>
      <c r="M24" s="1">
        <v>0</v>
      </c>
      <c r="O24" s="1">
        <v>0</v>
      </c>
      <c r="P24" s="1">
        <v>0</v>
      </c>
      <c r="R24" s="1">
        <v>4945041</v>
      </c>
      <c r="S24" s="1">
        <v>0</v>
      </c>
      <c r="U24" s="1">
        <v>0</v>
      </c>
      <c r="V24" s="9">
        <v>0</v>
      </c>
    </row>
    <row r="25" spans="1:22">
      <c r="A25" s="1" t="s">
        <v>44</v>
      </c>
      <c r="B25" s="6">
        <v>0</v>
      </c>
      <c r="C25" s="1">
        <v>0</v>
      </c>
      <c r="D25" s="1">
        <v>0</v>
      </c>
      <c r="E25" s="1">
        <v>0</v>
      </c>
      <c r="F25" s="1">
        <v>0</v>
      </c>
      <c r="G25" s="9">
        <f>SUM(ME_FINANCIAL)</f>
        <v>0</v>
      </c>
      <c r="I25" s="13"/>
      <c r="J25" s="16"/>
      <c r="L25" s="6"/>
      <c r="V25" s="9"/>
    </row>
    <row r="26" spans="1:22">
      <c r="A26" s="1" t="s">
        <v>45</v>
      </c>
      <c r="B26" s="6">
        <v>0</v>
      </c>
      <c r="C26" s="1">
        <v>0</v>
      </c>
      <c r="D26" s="1">
        <v>0</v>
      </c>
      <c r="E26" s="1">
        <v>0</v>
      </c>
      <c r="F26" s="1">
        <v>0</v>
      </c>
      <c r="G26" s="9">
        <f>SUM(MD_FINANCIAL)</f>
        <v>0</v>
      </c>
      <c r="I26" s="13" t="s">
        <v>46</v>
      </c>
      <c r="J26" s="16">
        <f>SUM(ADD_FINANCIAL)-SUM(LESS_FINANCIAL)</f>
        <v>13836653.640000001</v>
      </c>
      <c r="L26" s="6"/>
      <c r="V26" s="9"/>
    </row>
    <row r="27" spans="1:22">
      <c r="A27" s="1" t="s">
        <v>47</v>
      </c>
      <c r="B27" s="6">
        <v>0</v>
      </c>
      <c r="C27" s="1">
        <v>0</v>
      </c>
      <c r="D27" s="1">
        <v>0</v>
      </c>
      <c r="E27" s="1">
        <v>0</v>
      </c>
      <c r="F27" s="1">
        <v>0</v>
      </c>
      <c r="G27" s="9">
        <f>SUM(MA_FINANCIAL)</f>
        <v>0</v>
      </c>
      <c r="I27" s="13" t="s">
        <v>48</v>
      </c>
      <c r="J27" s="16">
        <f>SUM(ALL_BLOCKS)</f>
        <v>13836653.639999999</v>
      </c>
      <c r="L27" s="6"/>
      <c r="V27" s="9"/>
    </row>
    <row r="28" spans="1:22">
      <c r="A28" s="1" t="s">
        <v>49</v>
      </c>
      <c r="B28" s="6">
        <v>0</v>
      </c>
      <c r="C28" s="1">
        <v>0</v>
      </c>
      <c r="D28" s="1">
        <v>0</v>
      </c>
      <c r="E28" s="1">
        <v>0</v>
      </c>
      <c r="F28" s="1">
        <v>0</v>
      </c>
      <c r="G28" s="9">
        <f>SUM(MI_FINANCIAL)</f>
        <v>0</v>
      </c>
      <c r="I28" s="14"/>
      <c r="J28" s="17"/>
      <c r="L28" s="6"/>
      <c r="V28" s="9"/>
    </row>
    <row r="29" spans="1:22">
      <c r="A29" s="1" t="s">
        <v>50</v>
      </c>
      <c r="B29" s="6">
        <v>0</v>
      </c>
      <c r="C29" s="1">
        <v>0</v>
      </c>
      <c r="D29" s="1">
        <v>0</v>
      </c>
      <c r="E29" s="1">
        <v>0</v>
      </c>
      <c r="F29" s="1">
        <v>0</v>
      </c>
      <c r="G29" s="9">
        <f>SUM(MN_FINANCIAL)</f>
        <v>0</v>
      </c>
      <c r="L29" s="6"/>
      <c r="V29" s="9"/>
    </row>
    <row r="30" spans="1:22">
      <c r="A30" s="1" t="s">
        <v>51</v>
      </c>
      <c r="B30" s="6">
        <v>0</v>
      </c>
      <c r="C30" s="1">
        <v>0</v>
      </c>
      <c r="D30" s="1">
        <v>0</v>
      </c>
      <c r="E30" s="1">
        <v>0</v>
      </c>
      <c r="F30" s="1">
        <v>0</v>
      </c>
      <c r="G30" s="9">
        <f>SUM(MS_FINANCIAL)</f>
        <v>0</v>
      </c>
      <c r="L30" s="6"/>
      <c r="V30" s="9"/>
    </row>
    <row r="31" spans="1:22">
      <c r="A31" s="1" t="s">
        <v>52</v>
      </c>
      <c r="B31" s="6">
        <v>0</v>
      </c>
      <c r="C31" s="1">
        <v>0</v>
      </c>
      <c r="D31" s="1">
        <v>33830.296048170072</v>
      </c>
      <c r="E31" s="1">
        <v>0</v>
      </c>
      <c r="F31" s="1">
        <v>0</v>
      </c>
      <c r="G31" s="9">
        <f>SUM(MO_FINANCIAL)</f>
        <v>33830.296048170072</v>
      </c>
      <c r="L31" s="6"/>
      <c r="V31" s="9"/>
    </row>
    <row r="32" spans="1:22">
      <c r="A32" s="1" t="s">
        <v>53</v>
      </c>
      <c r="B32" s="6">
        <v>0</v>
      </c>
      <c r="C32" s="1">
        <v>0</v>
      </c>
      <c r="D32" s="1">
        <v>1321</v>
      </c>
      <c r="E32" s="1">
        <v>0</v>
      </c>
      <c r="F32" s="1">
        <v>0</v>
      </c>
      <c r="G32" s="9">
        <f>SUM(MT_FINANCIAL)</f>
        <v>1321</v>
      </c>
      <c r="L32" s="6"/>
      <c r="V32" s="9"/>
    </row>
    <row r="33" spans="1:22">
      <c r="A33" s="1" t="s">
        <v>54</v>
      </c>
      <c r="B33" s="6">
        <v>0</v>
      </c>
      <c r="C33" s="1">
        <v>0</v>
      </c>
      <c r="D33" s="1">
        <v>19264.914045081954</v>
      </c>
      <c r="E33" s="1">
        <v>0</v>
      </c>
      <c r="F33" s="1">
        <v>0</v>
      </c>
      <c r="G33" s="9">
        <f>SUM(NE_FINANCIAL)</f>
        <v>19264.914045081954</v>
      </c>
      <c r="L33" s="6"/>
      <c r="V33" s="9"/>
    </row>
    <row r="34" spans="1:22">
      <c r="A34" s="1" t="s">
        <v>55</v>
      </c>
      <c r="B34" s="6">
        <v>0</v>
      </c>
      <c r="C34" s="1">
        <v>0</v>
      </c>
      <c r="D34" s="1">
        <v>0</v>
      </c>
      <c r="E34" s="1">
        <v>0</v>
      </c>
      <c r="F34" s="1">
        <v>0</v>
      </c>
      <c r="G34" s="9">
        <f>SUM(NV_FINANCIAL)</f>
        <v>0</v>
      </c>
      <c r="L34" s="6"/>
      <c r="V34" s="9"/>
    </row>
    <row r="35" spans="1:22">
      <c r="A35" s="1" t="s">
        <v>56</v>
      </c>
      <c r="B35" s="6">
        <v>0</v>
      </c>
      <c r="C35" s="1">
        <v>0</v>
      </c>
      <c r="D35" s="1">
        <v>0</v>
      </c>
      <c r="E35" s="1">
        <v>0</v>
      </c>
      <c r="F35" s="1">
        <v>0</v>
      </c>
      <c r="G35" s="9">
        <f>SUM(NH_FINANCIAL)</f>
        <v>0</v>
      </c>
      <c r="L35" s="6"/>
      <c r="V35" s="9"/>
    </row>
    <row r="36" spans="1:22">
      <c r="A36" s="1" t="s">
        <v>57</v>
      </c>
      <c r="B36" s="6">
        <v>0</v>
      </c>
      <c r="C36" s="1">
        <v>0</v>
      </c>
      <c r="D36" s="1">
        <v>0</v>
      </c>
      <c r="E36" s="1">
        <v>0</v>
      </c>
      <c r="F36" s="1">
        <v>0</v>
      </c>
      <c r="G36" s="9">
        <f>SUM(NJ_FINANCIAL)</f>
        <v>0</v>
      </c>
      <c r="L36" s="6"/>
      <c r="V36" s="9"/>
    </row>
    <row r="37" spans="1:22">
      <c r="A37" s="1" t="s">
        <v>58</v>
      </c>
      <c r="B37" s="6">
        <v>2573.6789413000902</v>
      </c>
      <c r="C37" s="1">
        <v>0</v>
      </c>
      <c r="D37" s="1">
        <v>-27295.813144936124</v>
      </c>
      <c r="E37" s="1">
        <v>0</v>
      </c>
      <c r="F37" s="1">
        <v>0</v>
      </c>
      <c r="G37" s="9">
        <f>SUM(NM_FINANCIAL)</f>
        <v>-24722.134203636033</v>
      </c>
      <c r="L37" s="6"/>
      <c r="V37" s="9"/>
    </row>
    <row r="38" spans="1:22">
      <c r="A38" s="1" t="s">
        <v>59</v>
      </c>
      <c r="B38" s="6">
        <v>0</v>
      </c>
      <c r="C38" s="1">
        <v>0</v>
      </c>
      <c r="D38" s="1">
        <v>0</v>
      </c>
      <c r="E38" s="1">
        <v>0</v>
      </c>
      <c r="F38" s="1">
        <v>0</v>
      </c>
      <c r="G38" s="9">
        <f>SUM(NY_FINANCIAL)</f>
        <v>0</v>
      </c>
      <c r="L38" s="6"/>
      <c r="V38" s="9"/>
    </row>
    <row r="39" spans="1:22">
      <c r="A39" s="1" t="s">
        <v>60</v>
      </c>
      <c r="B39" s="6">
        <v>0</v>
      </c>
      <c r="C39" s="1">
        <v>0</v>
      </c>
      <c r="D39" s="1">
        <v>0</v>
      </c>
      <c r="E39" s="1">
        <v>0</v>
      </c>
      <c r="F39" s="1">
        <v>0</v>
      </c>
      <c r="G39" s="9">
        <f>SUM(NC_FINANCIAL)</f>
        <v>0</v>
      </c>
      <c r="L39" s="6"/>
      <c r="V39" s="9"/>
    </row>
    <row r="40" spans="1:22">
      <c r="A40" s="1" t="s">
        <v>61</v>
      </c>
      <c r="B40" s="6">
        <v>0</v>
      </c>
      <c r="C40" s="1">
        <v>0</v>
      </c>
      <c r="D40" s="1">
        <v>3964.1519680958581</v>
      </c>
      <c r="E40" s="1">
        <v>0</v>
      </c>
      <c r="F40" s="1">
        <v>0</v>
      </c>
      <c r="G40" s="9">
        <f>SUM(ND_FINANCIAL)</f>
        <v>3964.1519680958581</v>
      </c>
      <c r="L40" s="6"/>
      <c r="V40" s="9"/>
    </row>
    <row r="41" spans="1:22">
      <c r="A41" s="1" t="s">
        <v>62</v>
      </c>
      <c r="B41" s="6">
        <v>0</v>
      </c>
      <c r="C41" s="1">
        <v>0</v>
      </c>
      <c r="D41" s="1">
        <v>0</v>
      </c>
      <c r="E41" s="1">
        <v>0</v>
      </c>
      <c r="F41" s="1">
        <v>0</v>
      </c>
      <c r="G41" s="9">
        <f>SUM(OH_FINANCIAL)</f>
        <v>0</v>
      </c>
      <c r="L41" s="6"/>
      <c r="V41" s="9"/>
    </row>
    <row r="42" spans="1:22">
      <c r="A42" s="1" t="s">
        <v>63</v>
      </c>
      <c r="B42" s="6">
        <v>-4362.7381532942954</v>
      </c>
      <c r="C42" s="1">
        <v>0</v>
      </c>
      <c r="D42" s="1">
        <v>355841.23552704928</v>
      </c>
      <c r="E42" s="1">
        <v>0</v>
      </c>
      <c r="F42" s="1">
        <v>0</v>
      </c>
      <c r="G42" s="9">
        <f>SUM(OK_FINANCIAL)</f>
        <v>351478.49737375497</v>
      </c>
      <c r="L42" s="6">
        <v>8000</v>
      </c>
      <c r="M42" s="1">
        <v>4500</v>
      </c>
      <c r="O42" s="1">
        <v>0</v>
      </c>
      <c r="P42" s="1">
        <v>0</v>
      </c>
      <c r="R42" s="1">
        <v>792000</v>
      </c>
      <c r="S42" s="1">
        <v>445500</v>
      </c>
      <c r="U42" s="1">
        <v>0</v>
      </c>
      <c r="V42" s="9">
        <v>0</v>
      </c>
    </row>
    <row r="43" spans="1:22">
      <c r="A43" s="1" t="s">
        <v>64</v>
      </c>
      <c r="B43" s="6">
        <v>0</v>
      </c>
      <c r="C43" s="1">
        <v>0</v>
      </c>
      <c r="D43" s="1">
        <v>0</v>
      </c>
      <c r="E43" s="1">
        <v>0</v>
      </c>
      <c r="F43" s="1">
        <v>0</v>
      </c>
      <c r="G43" s="9">
        <f>SUM(OR_FINANCIAL)</f>
        <v>0</v>
      </c>
      <c r="L43" s="6"/>
      <c r="V43" s="9"/>
    </row>
    <row r="44" spans="1:22">
      <c r="A44" s="1" t="s">
        <v>65</v>
      </c>
      <c r="B44" s="6">
        <v>0</v>
      </c>
      <c r="C44" s="1">
        <v>0</v>
      </c>
      <c r="D44" s="1">
        <v>0</v>
      </c>
      <c r="E44" s="1">
        <v>0</v>
      </c>
      <c r="F44" s="1">
        <v>0</v>
      </c>
      <c r="G44" s="9">
        <f>SUM(PA_FINANCIAL)</f>
        <v>0</v>
      </c>
      <c r="L44" s="6"/>
      <c r="V44" s="9"/>
    </row>
    <row r="45" spans="1:22">
      <c r="A45" s="1" t="s">
        <v>66</v>
      </c>
      <c r="B45" s="6">
        <v>0</v>
      </c>
      <c r="C45" s="1">
        <v>0</v>
      </c>
      <c r="D45" s="1">
        <v>0</v>
      </c>
      <c r="E45" s="1">
        <v>0</v>
      </c>
      <c r="F45" s="1">
        <v>0</v>
      </c>
      <c r="G45" s="9">
        <f>SUM(PR_FINANCIAL)</f>
        <v>0</v>
      </c>
      <c r="L45" s="6"/>
      <c r="V45" s="9"/>
    </row>
    <row r="46" spans="1:22">
      <c r="A46" s="1" t="s">
        <v>67</v>
      </c>
      <c r="B46" s="6">
        <v>0</v>
      </c>
      <c r="C46" s="1">
        <v>0</v>
      </c>
      <c r="D46" s="1">
        <v>0</v>
      </c>
      <c r="E46" s="1">
        <v>0</v>
      </c>
      <c r="F46" s="1">
        <v>0</v>
      </c>
      <c r="G46" s="9">
        <f>SUM(RI_FINANCIAL)</f>
        <v>0</v>
      </c>
      <c r="L46" s="6"/>
      <c r="V46" s="9"/>
    </row>
    <row r="47" spans="1:22">
      <c r="A47" s="1" t="s">
        <v>68</v>
      </c>
      <c r="B47" s="6">
        <v>0</v>
      </c>
      <c r="C47" s="1">
        <v>0</v>
      </c>
      <c r="D47" s="1">
        <v>0</v>
      </c>
      <c r="E47" s="1">
        <v>0</v>
      </c>
      <c r="F47" s="1">
        <v>0</v>
      </c>
      <c r="G47" s="9">
        <f>SUM(SC_FINANCIAL)</f>
        <v>0</v>
      </c>
      <c r="L47" s="6"/>
      <c r="V47" s="9"/>
    </row>
    <row r="48" spans="1:22">
      <c r="A48" s="1" t="s">
        <v>69</v>
      </c>
      <c r="B48" s="6">
        <v>0</v>
      </c>
      <c r="C48" s="1">
        <v>0</v>
      </c>
      <c r="D48" s="1">
        <v>5910.754231949968</v>
      </c>
      <c r="E48" s="1">
        <v>0</v>
      </c>
      <c r="F48" s="1">
        <v>0</v>
      </c>
      <c r="G48" s="9">
        <f>SUM(SD_FINANCIAL)</f>
        <v>5910.754231949968</v>
      </c>
      <c r="L48" s="6"/>
      <c r="V48" s="9"/>
    </row>
    <row r="49" spans="1:22">
      <c r="A49" s="1" t="s">
        <v>70</v>
      </c>
      <c r="B49" s="6">
        <v>0</v>
      </c>
      <c r="C49" s="1">
        <v>0</v>
      </c>
      <c r="D49" s="1">
        <v>0</v>
      </c>
      <c r="E49" s="1">
        <v>0</v>
      </c>
      <c r="F49" s="1">
        <v>0</v>
      </c>
      <c r="G49" s="9">
        <f>SUM(TN_FINANCIAL)</f>
        <v>0</v>
      </c>
      <c r="L49" s="6"/>
      <c r="V49" s="9"/>
    </row>
    <row r="50" spans="1:22">
      <c r="A50" s="1" t="s">
        <v>71</v>
      </c>
      <c r="B50" s="6">
        <v>193052.40973005656</v>
      </c>
      <c r="C50" s="1">
        <v>0</v>
      </c>
      <c r="D50" s="1">
        <v>9552818.2464481257</v>
      </c>
      <c r="E50" s="1">
        <v>0</v>
      </c>
      <c r="F50" s="1">
        <v>0</v>
      </c>
      <c r="G50" s="9">
        <f>SUM(TX_FINANCIAL)</f>
        <v>9745870.656178182</v>
      </c>
      <c r="L50" s="6">
        <v>58755</v>
      </c>
      <c r="M50" s="1">
        <v>11987.105000000001</v>
      </c>
      <c r="O50" s="1">
        <v>0</v>
      </c>
      <c r="P50" s="1">
        <v>0</v>
      </c>
      <c r="R50" s="1">
        <v>11692213</v>
      </c>
      <c r="S50" s="1">
        <v>2385439.895</v>
      </c>
      <c r="U50" s="1">
        <v>0</v>
      </c>
      <c r="V50" s="9">
        <v>0</v>
      </c>
    </row>
    <row r="51" spans="1:22">
      <c r="A51" s="1" t="s">
        <v>72</v>
      </c>
      <c r="B51" s="6">
        <v>0</v>
      </c>
      <c r="C51" s="1">
        <v>0</v>
      </c>
      <c r="D51" s="1">
        <v>18593.58651387451</v>
      </c>
      <c r="E51" s="1">
        <v>0</v>
      </c>
      <c r="F51" s="1">
        <v>0</v>
      </c>
      <c r="G51" s="9">
        <f>SUM(UT_FINANCIAL)</f>
        <v>18593.58651387451</v>
      </c>
      <c r="L51" s="6"/>
      <c r="V51" s="9"/>
    </row>
    <row r="52" spans="1:22">
      <c r="A52" s="1" t="s">
        <v>73</v>
      </c>
      <c r="B52" s="6">
        <v>0</v>
      </c>
      <c r="C52" s="1">
        <v>0</v>
      </c>
      <c r="D52" s="1">
        <v>0</v>
      </c>
      <c r="E52" s="1">
        <v>0</v>
      </c>
      <c r="F52" s="1">
        <v>0</v>
      </c>
      <c r="G52" s="9">
        <f>SUM(VT_FINANCIAL)</f>
        <v>0</v>
      </c>
      <c r="L52" s="6"/>
      <c r="V52" s="9"/>
    </row>
    <row r="53" spans="1:22">
      <c r="A53" s="1" t="s">
        <v>74</v>
      </c>
      <c r="B53" s="6">
        <v>0</v>
      </c>
      <c r="C53" s="1">
        <v>0</v>
      </c>
      <c r="D53" s="1">
        <v>0</v>
      </c>
      <c r="E53" s="1">
        <v>0</v>
      </c>
      <c r="F53" s="1">
        <v>0</v>
      </c>
      <c r="G53" s="9">
        <f>SUM(VA_FINANCIAL)</f>
        <v>0</v>
      </c>
      <c r="L53" s="6"/>
      <c r="V53" s="9"/>
    </row>
    <row r="54" spans="1:22">
      <c r="A54" s="1" t="s">
        <v>75</v>
      </c>
      <c r="B54" s="6">
        <v>0</v>
      </c>
      <c r="C54" s="1">
        <v>0</v>
      </c>
      <c r="D54" s="1">
        <v>0</v>
      </c>
      <c r="E54" s="1">
        <v>0</v>
      </c>
      <c r="F54" s="1">
        <v>0</v>
      </c>
      <c r="G54" s="9">
        <f>SUM(WA_FINANCIAL)</f>
        <v>0</v>
      </c>
      <c r="L54" s="6"/>
      <c r="V54" s="9"/>
    </row>
    <row r="55" spans="1:22">
      <c r="A55" s="1" t="s">
        <v>76</v>
      </c>
      <c r="B55" s="6">
        <v>0</v>
      </c>
      <c r="C55" s="1">
        <v>0</v>
      </c>
      <c r="D55" s="1">
        <v>0</v>
      </c>
      <c r="E55" s="1">
        <v>0</v>
      </c>
      <c r="F55" s="1">
        <v>0</v>
      </c>
      <c r="G55" s="9">
        <f>SUM(WV_FINANCIAL)</f>
        <v>0</v>
      </c>
      <c r="L55" s="6"/>
      <c r="V55" s="9"/>
    </row>
    <row r="56" spans="1:22">
      <c r="A56" s="1" t="s">
        <v>77</v>
      </c>
      <c r="B56" s="6">
        <v>0</v>
      </c>
      <c r="C56" s="1">
        <v>0</v>
      </c>
      <c r="D56" s="1">
        <v>0</v>
      </c>
      <c r="E56" s="1">
        <v>0</v>
      </c>
      <c r="F56" s="1">
        <v>0</v>
      </c>
      <c r="G56" s="9">
        <f>SUM(WI_FINANCIAL)</f>
        <v>0</v>
      </c>
      <c r="L56" s="6"/>
      <c r="V56" s="9"/>
    </row>
    <row r="57" spans="1:22">
      <c r="A57" s="1" t="s">
        <v>78</v>
      </c>
      <c r="B57" s="6">
        <v>0</v>
      </c>
      <c r="C57" s="1">
        <v>0</v>
      </c>
      <c r="D57" s="1">
        <v>0</v>
      </c>
      <c r="E57" s="1">
        <v>0</v>
      </c>
      <c r="F57" s="1">
        <v>0</v>
      </c>
      <c r="G57" s="9">
        <f>SUM(WY_FINANCIAL)</f>
        <v>0</v>
      </c>
      <c r="L57" s="6"/>
      <c r="V57" s="9"/>
    </row>
    <row r="58" spans="1:22">
      <c r="A58" s="1" t="s">
        <v>79</v>
      </c>
      <c r="B58" s="6">
        <v>0</v>
      </c>
      <c r="C58" s="1">
        <v>0</v>
      </c>
      <c r="D58" s="1">
        <v>0</v>
      </c>
      <c r="E58" s="1">
        <v>0</v>
      </c>
      <c r="F58" s="1">
        <v>0</v>
      </c>
      <c r="G58" s="9">
        <f>SUM(OT_FINANCIAL)</f>
        <v>0</v>
      </c>
      <c r="L58" s="6"/>
      <c r="V58" s="9"/>
    </row>
    <row r="59" spans="1:22">
      <c r="B59" s="6"/>
      <c r="G59" s="9"/>
      <c r="L59" s="6"/>
      <c r="V59" s="9"/>
    </row>
    <row r="60" spans="1:22">
      <c r="A60" s="1" t="s">
        <v>8</v>
      </c>
      <c r="B60" s="6">
        <f>SUM(LIFE)</f>
        <v>-1026.9908479711739</v>
      </c>
      <c r="C60" s="1">
        <f>SUM(ALLOCATED)</f>
        <v>0</v>
      </c>
      <c r="D60" s="1">
        <f>SUM(HEALTH)</f>
        <v>13837680.63084797</v>
      </c>
      <c r="E60" s="1">
        <f>SUM(UNALLOCATED)</f>
        <v>0</v>
      </c>
      <c r="F60" s="1">
        <f>SUM(LTC)</f>
        <v>0</v>
      </c>
      <c r="G60" s="9">
        <f>SUM(ALL_BLOCKS)</f>
        <v>13836653.639999999</v>
      </c>
      <c r="L60" s="6">
        <f>SUM(LIFE_CALLED)</f>
        <v>70714</v>
      </c>
      <c r="M60" s="1">
        <f>SUM(LIFE_REFUNDED)</f>
        <v>16487.105000000003</v>
      </c>
      <c r="O60" s="1">
        <f>SUM(ALLOC_CALLED)</f>
        <v>0</v>
      </c>
      <c r="P60" s="1">
        <f>SUM(ALLOC_REFUNDED)</f>
        <v>0</v>
      </c>
      <c r="R60" s="1">
        <f>SUM(HEALTH_CALLED)</f>
        <v>17454254</v>
      </c>
      <c r="S60" s="1">
        <f>SUM(HEALTH_REFUNDED)</f>
        <v>2830939.895</v>
      </c>
      <c r="U60" s="1">
        <f>SUM(UNALLOC_CALLED)</f>
        <v>0</v>
      </c>
      <c r="V60" s="9">
        <f>SUM(UNALLOC_REFUNDED)</f>
        <v>0</v>
      </c>
    </row>
    <row r="61" spans="1:22" ht="5.0999999999999996" customHeight="1">
      <c r="B61" s="6"/>
      <c r="G61" s="9"/>
      <c r="L61" s="6"/>
      <c r="V61" s="9"/>
    </row>
    <row r="62" spans="1:22">
      <c r="B62" s="6"/>
      <c r="G62" s="9"/>
      <c r="L62" s="78" t="s">
        <v>80</v>
      </c>
      <c r="M62" s="79"/>
      <c r="N62" s="79"/>
      <c r="O62" s="79"/>
      <c r="P62" s="79"/>
      <c r="Q62" s="79"/>
      <c r="R62" s="79"/>
      <c r="S62" s="79"/>
      <c r="T62" s="79"/>
      <c r="U62" s="79"/>
      <c r="V62" s="80"/>
    </row>
    <row r="63" spans="1:22">
      <c r="B63" s="6"/>
      <c r="G63" s="9"/>
      <c r="L63" s="81"/>
      <c r="M63" s="79"/>
      <c r="N63" s="79"/>
      <c r="O63" s="79"/>
      <c r="P63" s="79"/>
      <c r="Q63" s="79"/>
      <c r="R63" s="79"/>
      <c r="S63" s="79"/>
      <c r="T63" s="79"/>
      <c r="U63" s="79"/>
      <c r="V63" s="80"/>
    </row>
    <row r="64" spans="1:22">
      <c r="B64" s="8"/>
      <c r="C64" s="5"/>
      <c r="D64" s="5"/>
      <c r="E64" s="5"/>
      <c r="F64" s="5"/>
      <c r="G64" s="11"/>
      <c r="L64" s="82"/>
      <c r="M64" s="83"/>
      <c r="N64" s="83"/>
      <c r="O64" s="83"/>
      <c r="P64" s="83"/>
      <c r="Q64" s="83"/>
      <c r="R64" s="83"/>
      <c r="S64" s="83"/>
      <c r="T64" s="83"/>
      <c r="U64" s="83"/>
      <c r="V64" s="84"/>
    </row>
  </sheetData>
  <mergeCells count="8">
    <mergeCell ref="L62:V64"/>
    <mergeCell ref="A1:G1"/>
    <mergeCell ref="B3:G3"/>
    <mergeCell ref="L3:V3"/>
    <mergeCell ref="L4:M4"/>
    <mergeCell ref="O4:P4"/>
    <mergeCell ref="R4:S4"/>
    <mergeCell ref="U4:V4"/>
  </mergeCells>
  <pageMargins left="0" right="0" top="0" bottom="0" header="0" footer="0"/>
  <pageSetup scale="48"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V64"/>
  <sheetViews>
    <sheetView zoomScale="75" workbookViewId="0">
      <selection sqref="A1:G1"/>
    </sheetView>
  </sheetViews>
  <sheetFormatPr defaultColWidth="9.109375" defaultRowHeight="14.4"/>
  <cols>
    <col min="1" max="1" width="20" style="1" customWidth="1"/>
    <col min="2" max="7" width="15" style="1" customWidth="1"/>
    <col min="8" max="8" width="1" style="1" customWidth="1"/>
    <col min="9" max="9" width="30" style="1" customWidth="1"/>
    <col min="10" max="10" width="15" style="1" customWidth="1"/>
    <col min="11" max="11" width="1" style="1" customWidth="1"/>
    <col min="12" max="13" width="15" style="1" customWidth="1"/>
    <col min="14" max="14" width="1" style="1" customWidth="1"/>
    <col min="15" max="16" width="15" style="1" customWidth="1"/>
    <col min="17" max="17" width="1" style="1" customWidth="1"/>
    <col min="18" max="19" width="15" style="1" customWidth="1"/>
    <col min="20" max="20" width="1" style="1" customWidth="1"/>
    <col min="21" max="22" width="15" style="1" customWidth="1"/>
    <col min="23" max="23" width="9.109375" style="1" customWidth="1"/>
    <col min="24" max="16384" width="9.109375" style="1"/>
  </cols>
  <sheetData>
    <row r="1" spans="1:22">
      <c r="A1" s="85" t="s">
        <v>94</v>
      </c>
      <c r="B1" s="79"/>
      <c r="C1" s="79"/>
      <c r="D1" s="79"/>
      <c r="E1" s="79"/>
      <c r="F1" s="79"/>
      <c r="G1" s="79"/>
    </row>
    <row r="3" spans="1:22">
      <c r="B3" s="86" t="s">
        <v>1</v>
      </c>
      <c r="C3" s="87"/>
      <c r="D3" s="87"/>
      <c r="E3" s="87"/>
      <c r="F3" s="87"/>
      <c r="G3" s="88"/>
      <c r="L3" s="89" t="s">
        <v>2</v>
      </c>
      <c r="M3" s="90"/>
      <c r="N3" s="90"/>
      <c r="O3" s="90"/>
      <c r="P3" s="90"/>
      <c r="Q3" s="90"/>
      <c r="R3" s="90"/>
      <c r="S3" s="90"/>
      <c r="T3" s="90"/>
      <c r="U3" s="90"/>
      <c r="V3" s="91"/>
    </row>
    <row r="4" spans="1:22">
      <c r="B4" s="6"/>
      <c r="G4" s="9"/>
      <c r="L4" s="92" t="s">
        <v>3</v>
      </c>
      <c r="M4" s="93"/>
      <c r="N4" s="3"/>
      <c r="O4" s="94" t="s">
        <v>4</v>
      </c>
      <c r="P4" s="93"/>
      <c r="Q4" s="3"/>
      <c r="R4" s="94" t="s">
        <v>5</v>
      </c>
      <c r="S4" s="93"/>
      <c r="T4" s="3"/>
      <c r="U4" s="94" t="s">
        <v>6</v>
      </c>
      <c r="V4" s="95"/>
    </row>
    <row r="5" spans="1:22" ht="60" customHeight="1">
      <c r="B5" s="7" t="s">
        <v>3</v>
      </c>
      <c r="C5" s="4" t="s">
        <v>4</v>
      </c>
      <c r="D5" s="4" t="s">
        <v>5</v>
      </c>
      <c r="E5" s="4" t="s">
        <v>6</v>
      </c>
      <c r="F5" s="4" t="s">
        <v>7</v>
      </c>
      <c r="G5" s="10" t="s">
        <v>8</v>
      </c>
      <c r="L5" s="19" t="s">
        <v>9</v>
      </c>
      <c r="M5" s="18" t="s">
        <v>10</v>
      </c>
      <c r="N5" s="18"/>
      <c r="O5" s="18" t="s">
        <v>9</v>
      </c>
      <c r="P5" s="18" t="s">
        <v>10</v>
      </c>
      <c r="Q5" s="18"/>
      <c r="R5" s="18" t="s">
        <v>9</v>
      </c>
      <c r="S5" s="18" t="s">
        <v>10</v>
      </c>
      <c r="T5" s="18"/>
      <c r="U5" s="18" t="s">
        <v>9</v>
      </c>
      <c r="V5" s="20" t="s">
        <v>10</v>
      </c>
    </row>
    <row r="6" spans="1:22">
      <c r="A6" s="1" t="s">
        <v>11</v>
      </c>
      <c r="B6" s="6">
        <v>0</v>
      </c>
      <c r="C6" s="1">
        <v>2840554.0769909592</v>
      </c>
      <c r="D6" s="1">
        <v>0</v>
      </c>
      <c r="E6" s="1">
        <v>0</v>
      </c>
      <c r="F6" s="1">
        <v>0</v>
      </c>
      <c r="G6" s="9">
        <f>SUM(AL_FINANCIAL)</f>
        <v>2840554.0769909592</v>
      </c>
      <c r="L6" s="6"/>
      <c r="V6" s="9"/>
    </row>
    <row r="7" spans="1:22">
      <c r="A7" s="1" t="s">
        <v>12</v>
      </c>
      <c r="B7" s="6">
        <v>0</v>
      </c>
      <c r="C7" s="1">
        <v>19854.748436628521</v>
      </c>
      <c r="D7" s="1">
        <v>0</v>
      </c>
      <c r="E7" s="1">
        <v>0</v>
      </c>
      <c r="F7" s="1">
        <v>0</v>
      </c>
      <c r="G7" s="9">
        <f>SUM(AK_FINANCIAL)</f>
        <v>19854.748436628521</v>
      </c>
      <c r="I7" s="12"/>
      <c r="J7" s="15"/>
      <c r="L7" s="6"/>
      <c r="V7" s="9"/>
    </row>
    <row r="8" spans="1:22">
      <c r="A8" s="1" t="s">
        <v>13</v>
      </c>
      <c r="B8" s="6">
        <v>0</v>
      </c>
      <c r="C8" s="1">
        <v>6764992.9819070706</v>
      </c>
      <c r="D8" s="1">
        <v>0</v>
      </c>
      <c r="E8" s="1">
        <v>0</v>
      </c>
      <c r="F8" s="1">
        <v>0</v>
      </c>
      <c r="G8" s="9">
        <f>SUM(AZ_FINANCIAL)</f>
        <v>6764992.9819070706</v>
      </c>
      <c r="I8" s="13" t="s">
        <v>14</v>
      </c>
      <c r="J8" s="16"/>
      <c r="L8" s="6"/>
      <c r="V8" s="9"/>
    </row>
    <row r="9" spans="1:22">
      <c r="A9" s="1" t="s">
        <v>15</v>
      </c>
      <c r="B9" s="6">
        <v>0</v>
      </c>
      <c r="C9" s="1">
        <v>3884370.7005360513</v>
      </c>
      <c r="D9" s="1">
        <v>0</v>
      </c>
      <c r="E9" s="1">
        <v>0</v>
      </c>
      <c r="F9" s="1">
        <v>0</v>
      </c>
      <c r="G9" s="9">
        <f>SUM(AR_FINANCIAL)</f>
        <v>3884370.7005360513</v>
      </c>
      <c r="I9" s="13"/>
      <c r="J9" s="16"/>
      <c r="L9" s="6">
        <v>0</v>
      </c>
      <c r="M9" s="1">
        <v>0</v>
      </c>
      <c r="O9" s="1">
        <v>5516010</v>
      </c>
      <c r="P9" s="1">
        <v>0</v>
      </c>
      <c r="R9" s="1">
        <v>0</v>
      </c>
      <c r="S9" s="1">
        <v>0</v>
      </c>
      <c r="U9" s="1">
        <v>0</v>
      </c>
      <c r="V9" s="9">
        <v>0</v>
      </c>
    </row>
    <row r="10" spans="1:22">
      <c r="A10" s="1" t="s">
        <v>16</v>
      </c>
      <c r="B10" s="6">
        <v>0</v>
      </c>
      <c r="C10" s="1">
        <v>0</v>
      </c>
      <c r="D10" s="1">
        <v>0</v>
      </c>
      <c r="E10" s="1">
        <v>0</v>
      </c>
      <c r="F10" s="1">
        <v>0</v>
      </c>
      <c r="G10" s="9">
        <f>SUM(CA_FINANCIAL)</f>
        <v>0</v>
      </c>
      <c r="I10" s="13" t="s">
        <v>17</v>
      </c>
      <c r="J10" s="16">
        <v>469244803.90501571</v>
      </c>
      <c r="L10" s="6"/>
      <c r="V10" s="9"/>
    </row>
    <row r="11" spans="1:22">
      <c r="A11" s="1" t="s">
        <v>18</v>
      </c>
      <c r="B11" s="6">
        <v>0</v>
      </c>
      <c r="C11" s="1">
        <v>2228192.848127333</v>
      </c>
      <c r="D11" s="1">
        <v>0</v>
      </c>
      <c r="E11" s="1">
        <v>0</v>
      </c>
      <c r="F11" s="1">
        <v>0</v>
      </c>
      <c r="G11" s="9">
        <f>SUM(CO_FINANCIAL)</f>
        <v>2228192.848127333</v>
      </c>
      <c r="I11" s="13"/>
      <c r="J11" s="16"/>
      <c r="L11" s="6"/>
      <c r="V11" s="9"/>
    </row>
    <row r="12" spans="1:22">
      <c r="A12" s="1" t="s">
        <v>19</v>
      </c>
      <c r="B12" s="6">
        <v>0</v>
      </c>
      <c r="C12" s="1">
        <v>0</v>
      </c>
      <c r="D12" s="1">
        <v>0</v>
      </c>
      <c r="E12" s="1">
        <v>0</v>
      </c>
      <c r="F12" s="1">
        <v>0</v>
      </c>
      <c r="G12" s="9">
        <f>SUM(CT_FINANCIAL)</f>
        <v>0</v>
      </c>
      <c r="I12" s="13" t="s">
        <v>20</v>
      </c>
      <c r="J12" s="16"/>
      <c r="L12" s="6"/>
      <c r="V12" s="9"/>
    </row>
    <row r="13" spans="1:22">
      <c r="A13" s="1" t="s">
        <v>21</v>
      </c>
      <c r="B13" s="6">
        <v>0</v>
      </c>
      <c r="C13" s="1">
        <v>406527.12582516077</v>
      </c>
      <c r="D13" s="1">
        <v>0</v>
      </c>
      <c r="E13" s="1">
        <v>0</v>
      </c>
      <c r="F13" s="1">
        <v>0</v>
      </c>
      <c r="G13" s="9">
        <f>SUM(DE_FINANCIAL)</f>
        <v>406527.12582516077</v>
      </c>
      <c r="I13" s="13" t="s">
        <v>22</v>
      </c>
      <c r="J13" s="16">
        <v>0</v>
      </c>
      <c r="L13" s="6">
        <v>0</v>
      </c>
      <c r="M13" s="1">
        <v>0</v>
      </c>
      <c r="O13" s="1">
        <v>500000</v>
      </c>
      <c r="P13" s="1">
        <v>0</v>
      </c>
      <c r="R13" s="1">
        <v>0</v>
      </c>
      <c r="S13" s="1">
        <v>0</v>
      </c>
      <c r="U13" s="1">
        <v>0</v>
      </c>
      <c r="V13" s="9">
        <v>0</v>
      </c>
    </row>
    <row r="14" spans="1:22">
      <c r="A14" s="1" t="s">
        <v>23</v>
      </c>
      <c r="B14" s="6">
        <v>0</v>
      </c>
      <c r="C14" s="1">
        <v>197669.58966340177</v>
      </c>
      <c r="D14" s="1">
        <v>0</v>
      </c>
      <c r="E14" s="1">
        <v>0</v>
      </c>
      <c r="F14" s="1">
        <v>0</v>
      </c>
      <c r="G14" s="9">
        <f>SUM(DC_FINANCIAL)</f>
        <v>197669.58966340177</v>
      </c>
      <c r="I14" s="13" t="s">
        <v>24</v>
      </c>
      <c r="J14" s="16">
        <v>0</v>
      </c>
      <c r="L14" s="6">
        <v>0</v>
      </c>
      <c r="M14" s="1">
        <v>0</v>
      </c>
      <c r="O14" s="1">
        <v>267000</v>
      </c>
      <c r="P14" s="1">
        <v>0</v>
      </c>
      <c r="R14" s="1">
        <v>0</v>
      </c>
      <c r="S14" s="1">
        <v>0</v>
      </c>
      <c r="U14" s="1">
        <v>0</v>
      </c>
      <c r="V14" s="9">
        <v>0</v>
      </c>
    </row>
    <row r="15" spans="1:22">
      <c r="A15" s="1" t="s">
        <v>25</v>
      </c>
      <c r="B15" s="6">
        <v>0</v>
      </c>
      <c r="C15" s="1">
        <v>57857046.336372897</v>
      </c>
      <c r="D15" s="1">
        <v>0</v>
      </c>
      <c r="E15" s="1">
        <v>0</v>
      </c>
      <c r="F15" s="1">
        <v>0</v>
      </c>
      <c r="G15" s="9">
        <f>SUM(FL_FINANCIAL)</f>
        <v>57857046.336372897</v>
      </c>
      <c r="I15" s="13" t="s">
        <v>26</v>
      </c>
      <c r="J15" s="16">
        <v>7322754.0000000009</v>
      </c>
      <c r="L15" s="6">
        <v>0</v>
      </c>
      <c r="M15" s="1">
        <v>0</v>
      </c>
      <c r="O15" s="1">
        <v>71600000</v>
      </c>
      <c r="P15" s="1">
        <v>0</v>
      </c>
      <c r="R15" s="1">
        <v>0</v>
      </c>
      <c r="S15" s="1">
        <v>0</v>
      </c>
      <c r="U15" s="1">
        <v>0</v>
      </c>
      <c r="V15" s="9">
        <v>0</v>
      </c>
    </row>
    <row r="16" spans="1:22">
      <c r="A16" s="1" t="s">
        <v>27</v>
      </c>
      <c r="B16" s="6">
        <v>0</v>
      </c>
      <c r="C16" s="1">
        <v>9052470.6120834816</v>
      </c>
      <c r="D16" s="1">
        <v>0</v>
      </c>
      <c r="E16" s="1">
        <v>0</v>
      </c>
      <c r="F16" s="1">
        <v>0</v>
      </c>
      <c r="G16" s="9">
        <f>SUM(GA_FINANCIAL)</f>
        <v>9052470.6120834816</v>
      </c>
      <c r="I16" s="13" t="s">
        <v>28</v>
      </c>
      <c r="J16" s="16">
        <v>339244803.90501583</v>
      </c>
      <c r="L16" s="6"/>
      <c r="V16" s="9"/>
    </row>
    <row r="17" spans="1:22">
      <c r="A17" s="1" t="s">
        <v>29</v>
      </c>
      <c r="B17" s="6">
        <v>0</v>
      </c>
      <c r="C17" s="1">
        <v>316176.4896216318</v>
      </c>
      <c r="D17" s="1">
        <v>0</v>
      </c>
      <c r="E17" s="1">
        <v>0</v>
      </c>
      <c r="F17" s="1">
        <v>0</v>
      </c>
      <c r="G17" s="9">
        <f>SUM(HI_FINANCIAL)</f>
        <v>316176.4896216318</v>
      </c>
      <c r="I17" s="13"/>
      <c r="J17" s="16"/>
      <c r="L17" s="6"/>
      <c r="V17" s="9"/>
    </row>
    <row r="18" spans="1:22">
      <c r="A18" s="1" t="s">
        <v>30</v>
      </c>
      <c r="B18" s="6">
        <v>0</v>
      </c>
      <c r="C18" s="1">
        <v>1574812.4047221907</v>
      </c>
      <c r="D18" s="1">
        <v>0</v>
      </c>
      <c r="E18" s="1">
        <v>0</v>
      </c>
      <c r="F18" s="1">
        <v>0</v>
      </c>
      <c r="G18" s="9">
        <f>SUM(ID_FINANCIAL)</f>
        <v>1574812.4047221907</v>
      </c>
      <c r="I18" s="13" t="s">
        <v>31</v>
      </c>
      <c r="J18" s="16"/>
      <c r="L18" s="6">
        <v>0</v>
      </c>
      <c r="M18" s="1">
        <v>0</v>
      </c>
      <c r="O18" s="1">
        <v>2300000</v>
      </c>
      <c r="P18" s="1">
        <v>0</v>
      </c>
      <c r="R18" s="1">
        <v>0</v>
      </c>
      <c r="S18" s="1">
        <v>0</v>
      </c>
      <c r="U18" s="1">
        <v>0</v>
      </c>
      <c r="V18" s="9">
        <v>0</v>
      </c>
    </row>
    <row r="19" spans="1:22">
      <c r="A19" s="1" t="s">
        <v>32</v>
      </c>
      <c r="B19" s="6">
        <v>0</v>
      </c>
      <c r="C19" s="1">
        <v>10052481.24049983</v>
      </c>
      <c r="D19" s="1">
        <v>0</v>
      </c>
      <c r="E19" s="1">
        <v>0</v>
      </c>
      <c r="F19" s="1">
        <v>0</v>
      </c>
      <c r="G19" s="9">
        <f>SUM(IL_FINANCIAL)</f>
        <v>10052481.24049983</v>
      </c>
      <c r="I19" s="13" t="s">
        <v>33</v>
      </c>
      <c r="J19" s="16">
        <v>129999999.99999999</v>
      </c>
      <c r="L19" s="6">
        <v>0</v>
      </c>
      <c r="M19" s="1">
        <v>0</v>
      </c>
      <c r="O19" s="1">
        <v>15000000</v>
      </c>
      <c r="P19" s="1">
        <v>0</v>
      </c>
      <c r="R19" s="1">
        <v>0</v>
      </c>
      <c r="S19" s="1">
        <v>0</v>
      </c>
      <c r="U19" s="1">
        <v>0</v>
      </c>
      <c r="V19" s="9">
        <v>0</v>
      </c>
    </row>
    <row r="20" spans="1:22">
      <c r="A20" s="1" t="s">
        <v>34</v>
      </c>
      <c r="B20" s="6">
        <v>0</v>
      </c>
      <c r="C20" s="1">
        <v>15123955.599383058</v>
      </c>
      <c r="D20" s="1">
        <v>0</v>
      </c>
      <c r="E20" s="1">
        <v>0</v>
      </c>
      <c r="F20" s="1">
        <v>0</v>
      </c>
      <c r="G20" s="9">
        <f>SUM(IN_FINANCIAL)</f>
        <v>15123955.599383058</v>
      </c>
      <c r="I20" s="13" t="s">
        <v>35</v>
      </c>
      <c r="J20" s="16">
        <v>339244803.90501583</v>
      </c>
      <c r="L20" s="6">
        <v>0</v>
      </c>
      <c r="M20" s="1">
        <v>0</v>
      </c>
      <c r="O20" s="1">
        <v>14492776</v>
      </c>
      <c r="P20" s="1">
        <v>0</v>
      </c>
      <c r="R20" s="1">
        <v>0</v>
      </c>
      <c r="S20" s="1">
        <v>0</v>
      </c>
      <c r="U20" s="1">
        <v>0</v>
      </c>
      <c r="V20" s="9">
        <v>0</v>
      </c>
    </row>
    <row r="21" spans="1:22">
      <c r="A21" s="1" t="s">
        <v>36</v>
      </c>
      <c r="B21" s="6">
        <v>0</v>
      </c>
      <c r="C21" s="1">
        <v>0</v>
      </c>
      <c r="D21" s="1">
        <v>0</v>
      </c>
      <c r="E21" s="1">
        <v>0</v>
      </c>
      <c r="F21" s="1">
        <v>0</v>
      </c>
      <c r="G21" s="9">
        <f>SUM(IA_FINANCIAL)</f>
        <v>0</v>
      </c>
      <c r="I21" s="13" t="s">
        <v>37</v>
      </c>
      <c r="J21" s="16"/>
      <c r="L21" s="6"/>
      <c r="V21" s="9"/>
    </row>
    <row r="22" spans="1:22">
      <c r="A22" s="1" t="s">
        <v>38</v>
      </c>
      <c r="B22" s="6">
        <v>0</v>
      </c>
      <c r="C22" s="1">
        <v>7533430.3290576534</v>
      </c>
      <c r="D22" s="1">
        <v>0</v>
      </c>
      <c r="E22" s="1">
        <v>0</v>
      </c>
      <c r="F22" s="1">
        <v>0</v>
      </c>
      <c r="G22" s="9">
        <f>SUM(KS_FINANCIAL)</f>
        <v>7533430.3290576534</v>
      </c>
      <c r="I22" s="13" t="s">
        <v>39</v>
      </c>
      <c r="J22" s="16">
        <v>0</v>
      </c>
      <c r="L22" s="6">
        <v>0</v>
      </c>
      <c r="M22" s="1">
        <v>0</v>
      </c>
      <c r="O22" s="1">
        <v>0</v>
      </c>
      <c r="P22" s="1">
        <v>0</v>
      </c>
      <c r="R22" s="1">
        <v>0</v>
      </c>
      <c r="S22" s="1">
        <v>0</v>
      </c>
      <c r="U22" s="1">
        <v>0</v>
      </c>
      <c r="V22" s="9">
        <v>0</v>
      </c>
    </row>
    <row r="23" spans="1:22">
      <c r="A23" s="1" t="s">
        <v>40</v>
      </c>
      <c r="B23" s="6">
        <v>0</v>
      </c>
      <c r="C23" s="1">
        <v>22373555.572801951</v>
      </c>
      <c r="D23" s="1">
        <v>0</v>
      </c>
      <c r="E23" s="1">
        <v>0</v>
      </c>
      <c r="F23" s="1">
        <v>0</v>
      </c>
      <c r="G23" s="9">
        <f>SUM(KY_FINANCIAL)</f>
        <v>22373555.572801951</v>
      </c>
      <c r="I23" s="13" t="s">
        <v>41</v>
      </c>
      <c r="J23" s="16"/>
      <c r="L23" s="6">
        <v>0</v>
      </c>
      <c r="M23" s="1">
        <v>0</v>
      </c>
      <c r="O23" s="1">
        <v>30500000</v>
      </c>
      <c r="P23" s="1">
        <v>0</v>
      </c>
      <c r="R23" s="1">
        <v>0</v>
      </c>
      <c r="S23" s="1">
        <v>0</v>
      </c>
      <c r="U23" s="1">
        <v>0</v>
      </c>
      <c r="V23" s="9">
        <v>0</v>
      </c>
    </row>
    <row r="24" spans="1:22">
      <c r="A24" s="1" t="s">
        <v>42</v>
      </c>
      <c r="B24" s="6">
        <v>0</v>
      </c>
      <c r="C24" s="1">
        <v>5628011.0512034437</v>
      </c>
      <c r="D24" s="1">
        <v>0</v>
      </c>
      <c r="E24" s="1">
        <v>0</v>
      </c>
      <c r="F24" s="1">
        <v>0</v>
      </c>
      <c r="G24" s="9">
        <f>SUM(LA_FINANCIAL)</f>
        <v>5628011.0512034437</v>
      </c>
      <c r="I24" s="13" t="s">
        <v>43</v>
      </c>
      <c r="J24" s="16">
        <v>0</v>
      </c>
      <c r="L24" s="6">
        <v>0</v>
      </c>
      <c r="M24" s="1">
        <v>0</v>
      </c>
      <c r="O24" s="1">
        <v>0</v>
      </c>
      <c r="P24" s="1">
        <v>0</v>
      </c>
      <c r="R24" s="1">
        <v>0</v>
      </c>
      <c r="S24" s="1">
        <v>0</v>
      </c>
      <c r="U24" s="1">
        <v>0</v>
      </c>
      <c r="V24" s="9">
        <v>0</v>
      </c>
    </row>
    <row r="25" spans="1:22">
      <c r="A25" s="1" t="s">
        <v>44</v>
      </c>
      <c r="B25" s="6">
        <v>0</v>
      </c>
      <c r="C25" s="1">
        <v>0</v>
      </c>
      <c r="D25" s="1">
        <v>0</v>
      </c>
      <c r="E25" s="1">
        <v>0</v>
      </c>
      <c r="F25" s="1">
        <v>0</v>
      </c>
      <c r="G25" s="9">
        <f>SUM(ME_FINANCIAL)</f>
        <v>0</v>
      </c>
      <c r="I25" s="13"/>
      <c r="J25" s="16"/>
      <c r="L25" s="6"/>
      <c r="V25" s="9"/>
    </row>
    <row r="26" spans="1:22">
      <c r="A26" s="1" t="s">
        <v>45</v>
      </c>
      <c r="B26" s="6">
        <v>0</v>
      </c>
      <c r="C26" s="1">
        <v>4275850.5214928556</v>
      </c>
      <c r="D26" s="1">
        <v>0</v>
      </c>
      <c r="E26" s="1">
        <v>0</v>
      </c>
      <c r="F26" s="1">
        <v>0</v>
      </c>
      <c r="G26" s="9">
        <f>SUM(MD_FINANCIAL)</f>
        <v>4275850.5214928556</v>
      </c>
      <c r="I26" s="13" t="s">
        <v>46</v>
      </c>
      <c r="J26" s="16">
        <f>SUM(ADD_FINANCIAL)-SUM(LESS_FINANCIAL)</f>
        <v>346567557.90501571</v>
      </c>
      <c r="L26" s="6">
        <v>0</v>
      </c>
      <c r="M26" s="1">
        <v>0</v>
      </c>
      <c r="O26" s="1">
        <v>9000000</v>
      </c>
      <c r="P26" s="1">
        <v>0</v>
      </c>
      <c r="R26" s="1">
        <v>0</v>
      </c>
      <c r="S26" s="1">
        <v>0</v>
      </c>
      <c r="U26" s="1">
        <v>0</v>
      </c>
      <c r="V26" s="9">
        <v>0</v>
      </c>
    </row>
    <row r="27" spans="1:22">
      <c r="A27" s="1" t="s">
        <v>47</v>
      </c>
      <c r="B27" s="6">
        <v>0</v>
      </c>
      <c r="C27" s="1">
        <v>0</v>
      </c>
      <c r="D27" s="1">
        <v>0</v>
      </c>
      <c r="E27" s="1">
        <v>0</v>
      </c>
      <c r="F27" s="1">
        <v>0</v>
      </c>
      <c r="G27" s="9">
        <f>SUM(MA_FINANCIAL)</f>
        <v>0</v>
      </c>
      <c r="I27" s="13" t="s">
        <v>48</v>
      </c>
      <c r="J27" s="16">
        <f>SUM(ALL_BLOCKS)</f>
        <v>346567557.90501577</v>
      </c>
      <c r="L27" s="6"/>
      <c r="V27" s="9"/>
    </row>
    <row r="28" spans="1:22">
      <c r="A28" s="1" t="s">
        <v>49</v>
      </c>
      <c r="B28" s="6">
        <v>0</v>
      </c>
      <c r="C28" s="1">
        <v>7782135.6329744486</v>
      </c>
      <c r="D28" s="1">
        <v>0</v>
      </c>
      <c r="E28" s="1">
        <v>0</v>
      </c>
      <c r="F28" s="1">
        <v>0</v>
      </c>
      <c r="G28" s="9">
        <f>SUM(MI_FINANCIAL)</f>
        <v>7782135.6329744486</v>
      </c>
      <c r="I28" s="14"/>
      <c r="J28" s="17"/>
      <c r="L28" s="6">
        <v>0</v>
      </c>
      <c r="M28" s="1">
        <v>0</v>
      </c>
      <c r="O28" s="1">
        <v>10497895</v>
      </c>
      <c r="P28" s="1">
        <v>0</v>
      </c>
      <c r="R28" s="1">
        <v>0</v>
      </c>
      <c r="S28" s="1">
        <v>0</v>
      </c>
      <c r="U28" s="1">
        <v>0</v>
      </c>
      <c r="V28" s="9">
        <v>0</v>
      </c>
    </row>
    <row r="29" spans="1:22">
      <c r="A29" s="1" t="s">
        <v>50</v>
      </c>
      <c r="B29" s="6">
        <v>0</v>
      </c>
      <c r="C29" s="1">
        <v>3269207.9117790908</v>
      </c>
      <c r="D29" s="1">
        <v>0</v>
      </c>
      <c r="E29" s="1">
        <v>0</v>
      </c>
      <c r="F29" s="1">
        <v>0</v>
      </c>
      <c r="G29" s="9">
        <f>SUM(MN_FINANCIAL)</f>
        <v>3269207.9117790908</v>
      </c>
      <c r="L29" s="6"/>
      <c r="V29" s="9"/>
    </row>
    <row r="30" spans="1:22">
      <c r="A30" s="1" t="s">
        <v>51</v>
      </c>
      <c r="B30" s="6">
        <v>0</v>
      </c>
      <c r="C30" s="1">
        <v>2853827.6043877522</v>
      </c>
      <c r="D30" s="1">
        <v>0</v>
      </c>
      <c r="E30" s="1">
        <v>0</v>
      </c>
      <c r="F30" s="1">
        <v>0</v>
      </c>
      <c r="G30" s="9">
        <f>SUM(MS_FINANCIAL)</f>
        <v>2853827.6043877522</v>
      </c>
      <c r="L30" s="6"/>
      <c r="V30" s="9"/>
    </row>
    <row r="31" spans="1:22">
      <c r="A31" s="1" t="s">
        <v>52</v>
      </c>
      <c r="B31" s="6">
        <v>0</v>
      </c>
      <c r="C31" s="1">
        <v>9196903.7290123887</v>
      </c>
      <c r="D31" s="1">
        <v>0</v>
      </c>
      <c r="E31" s="1">
        <v>0</v>
      </c>
      <c r="F31" s="1">
        <v>0</v>
      </c>
      <c r="G31" s="9">
        <f>SUM(MO_FINANCIAL)</f>
        <v>9196903.7290123887</v>
      </c>
      <c r="L31" s="6">
        <v>0</v>
      </c>
      <c r="M31" s="1">
        <v>0</v>
      </c>
      <c r="O31" s="1">
        <v>9600000</v>
      </c>
      <c r="P31" s="1">
        <v>0</v>
      </c>
      <c r="R31" s="1">
        <v>0</v>
      </c>
      <c r="S31" s="1">
        <v>0</v>
      </c>
      <c r="U31" s="1">
        <v>0</v>
      </c>
      <c r="V31" s="9">
        <v>0</v>
      </c>
    </row>
    <row r="32" spans="1:22">
      <c r="A32" s="1" t="s">
        <v>53</v>
      </c>
      <c r="B32" s="6">
        <v>0</v>
      </c>
      <c r="C32" s="1">
        <v>171171.86707003828</v>
      </c>
      <c r="D32" s="1">
        <v>0</v>
      </c>
      <c r="E32" s="1">
        <v>0</v>
      </c>
      <c r="F32" s="1">
        <v>0</v>
      </c>
      <c r="G32" s="9">
        <f>SUM(MT_FINANCIAL)</f>
        <v>171171.86707003828</v>
      </c>
      <c r="L32" s="6">
        <v>0</v>
      </c>
      <c r="M32" s="1">
        <v>0</v>
      </c>
      <c r="O32" s="1">
        <v>310000</v>
      </c>
      <c r="P32" s="1">
        <v>0</v>
      </c>
      <c r="R32" s="1">
        <v>0</v>
      </c>
      <c r="S32" s="1">
        <v>0</v>
      </c>
      <c r="U32" s="1">
        <v>0</v>
      </c>
      <c r="V32" s="9">
        <v>0</v>
      </c>
    </row>
    <row r="33" spans="1:22">
      <c r="A33" s="1" t="s">
        <v>54</v>
      </c>
      <c r="B33" s="6">
        <v>0</v>
      </c>
      <c r="C33" s="1">
        <v>4177353.1116269538</v>
      </c>
      <c r="D33" s="1">
        <v>0</v>
      </c>
      <c r="E33" s="1">
        <v>0</v>
      </c>
      <c r="F33" s="1">
        <v>0</v>
      </c>
      <c r="G33" s="9">
        <f>SUM(NE_FINANCIAL)</f>
        <v>4177353.1116269538</v>
      </c>
      <c r="L33" s="6"/>
      <c r="V33" s="9"/>
    </row>
    <row r="34" spans="1:22">
      <c r="A34" s="1" t="s">
        <v>55</v>
      </c>
      <c r="B34" s="6">
        <v>0</v>
      </c>
      <c r="C34" s="1">
        <v>1529640.203801176</v>
      </c>
      <c r="D34" s="1">
        <v>0</v>
      </c>
      <c r="E34" s="1">
        <v>0</v>
      </c>
      <c r="F34" s="1">
        <v>0</v>
      </c>
      <c r="G34" s="9">
        <f>SUM(NV_FINANCIAL)</f>
        <v>1529640.203801176</v>
      </c>
      <c r="L34" s="6">
        <v>0</v>
      </c>
      <c r="M34" s="1">
        <v>0</v>
      </c>
      <c r="O34" s="1">
        <v>2300000</v>
      </c>
      <c r="P34" s="1">
        <v>0</v>
      </c>
      <c r="R34" s="1">
        <v>0</v>
      </c>
      <c r="S34" s="1">
        <v>0</v>
      </c>
      <c r="U34" s="1">
        <v>0</v>
      </c>
      <c r="V34" s="9">
        <v>0</v>
      </c>
    </row>
    <row r="35" spans="1:22">
      <c r="A35" s="1" t="s">
        <v>56</v>
      </c>
      <c r="B35" s="6">
        <v>0</v>
      </c>
      <c r="C35" s="1">
        <v>0</v>
      </c>
      <c r="D35" s="1">
        <v>0</v>
      </c>
      <c r="E35" s="1">
        <v>0</v>
      </c>
      <c r="F35" s="1">
        <v>0</v>
      </c>
      <c r="G35" s="9">
        <f>SUM(NH_FINANCIAL)</f>
        <v>0</v>
      </c>
      <c r="L35" s="6"/>
      <c r="V35" s="9"/>
    </row>
    <row r="36" spans="1:22">
      <c r="A36" s="1" t="s">
        <v>57</v>
      </c>
      <c r="B36" s="6">
        <v>0</v>
      </c>
      <c r="C36" s="1">
        <v>0</v>
      </c>
      <c r="D36" s="1">
        <v>0</v>
      </c>
      <c r="E36" s="1">
        <v>0</v>
      </c>
      <c r="F36" s="1">
        <v>0</v>
      </c>
      <c r="G36" s="9">
        <f>SUM(NJ_FINANCIAL)</f>
        <v>0</v>
      </c>
      <c r="L36" s="6"/>
      <c r="V36" s="9"/>
    </row>
    <row r="37" spans="1:22">
      <c r="A37" s="1" t="s">
        <v>58</v>
      </c>
      <c r="B37" s="6">
        <v>0</v>
      </c>
      <c r="C37" s="1">
        <v>1266138.5819776899</v>
      </c>
      <c r="D37" s="1">
        <v>0</v>
      </c>
      <c r="E37" s="1">
        <v>0</v>
      </c>
      <c r="F37" s="1">
        <v>0</v>
      </c>
      <c r="G37" s="9">
        <f>SUM(NM_FINANCIAL)</f>
        <v>1266138.5819776899</v>
      </c>
      <c r="L37" s="6">
        <v>0</v>
      </c>
      <c r="M37" s="1">
        <v>0</v>
      </c>
      <c r="O37" s="1">
        <v>1500000</v>
      </c>
      <c r="P37" s="1">
        <v>0</v>
      </c>
      <c r="R37" s="1">
        <v>0</v>
      </c>
      <c r="S37" s="1">
        <v>0</v>
      </c>
      <c r="U37" s="1">
        <v>0</v>
      </c>
      <c r="V37" s="9">
        <v>0</v>
      </c>
    </row>
    <row r="38" spans="1:22">
      <c r="A38" s="1" t="s">
        <v>59</v>
      </c>
      <c r="B38" s="6">
        <v>0</v>
      </c>
      <c r="C38" s="1">
        <v>0</v>
      </c>
      <c r="D38" s="1">
        <v>0</v>
      </c>
      <c r="E38" s="1">
        <v>0</v>
      </c>
      <c r="F38" s="1">
        <v>0</v>
      </c>
      <c r="G38" s="9">
        <f>SUM(NY_FINANCIAL)</f>
        <v>0</v>
      </c>
      <c r="L38" s="6"/>
      <c r="V38" s="9"/>
    </row>
    <row r="39" spans="1:22">
      <c r="A39" s="1" t="s">
        <v>60</v>
      </c>
      <c r="B39" s="6">
        <v>0</v>
      </c>
      <c r="C39" s="1">
        <v>11704823.288617708</v>
      </c>
      <c r="D39" s="1">
        <v>0</v>
      </c>
      <c r="E39" s="1">
        <v>0</v>
      </c>
      <c r="F39" s="1">
        <v>0</v>
      </c>
      <c r="G39" s="9">
        <f>SUM(NC_FINANCIAL)</f>
        <v>11704823.288617708</v>
      </c>
      <c r="L39" s="6">
        <v>0</v>
      </c>
      <c r="M39" s="1">
        <v>0</v>
      </c>
      <c r="O39" s="1">
        <v>16800000</v>
      </c>
      <c r="P39" s="1">
        <v>0</v>
      </c>
      <c r="R39" s="1">
        <v>0</v>
      </c>
      <c r="S39" s="1">
        <v>0</v>
      </c>
      <c r="U39" s="1">
        <v>0</v>
      </c>
      <c r="V39" s="9">
        <v>0</v>
      </c>
    </row>
    <row r="40" spans="1:22">
      <c r="A40" s="1" t="s">
        <v>61</v>
      </c>
      <c r="B40" s="6">
        <v>0</v>
      </c>
      <c r="C40" s="1">
        <v>6362960.3612363162</v>
      </c>
      <c r="D40" s="1">
        <v>0</v>
      </c>
      <c r="E40" s="1">
        <v>0</v>
      </c>
      <c r="F40" s="1">
        <v>0</v>
      </c>
      <c r="G40" s="9">
        <f>SUM(ND_FINANCIAL)</f>
        <v>6362960.3612363162</v>
      </c>
      <c r="L40" s="6">
        <v>0</v>
      </c>
      <c r="M40" s="1">
        <v>0</v>
      </c>
      <c r="O40" s="1">
        <v>6740000</v>
      </c>
      <c r="P40" s="1">
        <v>0</v>
      </c>
      <c r="R40" s="1">
        <v>0</v>
      </c>
      <c r="S40" s="1">
        <v>0</v>
      </c>
      <c r="U40" s="1">
        <v>0</v>
      </c>
      <c r="V40" s="9">
        <v>0</v>
      </c>
    </row>
    <row r="41" spans="1:22">
      <c r="A41" s="1" t="s">
        <v>62</v>
      </c>
      <c r="B41" s="6">
        <v>0</v>
      </c>
      <c r="C41" s="1">
        <v>11253287.084931664</v>
      </c>
      <c r="D41" s="1">
        <v>0</v>
      </c>
      <c r="E41" s="1">
        <v>0</v>
      </c>
      <c r="F41" s="1">
        <v>0</v>
      </c>
      <c r="G41" s="9">
        <f>SUM(OH_FINANCIAL)</f>
        <v>11253287.084931664</v>
      </c>
      <c r="L41" s="6">
        <v>0</v>
      </c>
      <c r="M41" s="1">
        <v>0</v>
      </c>
      <c r="O41" s="1">
        <v>7800000</v>
      </c>
      <c r="P41" s="1">
        <v>0</v>
      </c>
      <c r="R41" s="1">
        <v>0</v>
      </c>
      <c r="S41" s="1">
        <v>0</v>
      </c>
      <c r="U41" s="1">
        <v>0</v>
      </c>
      <c r="V41" s="9">
        <v>0</v>
      </c>
    </row>
    <row r="42" spans="1:22">
      <c r="A42" s="1" t="s">
        <v>63</v>
      </c>
      <c r="B42" s="6">
        <v>0</v>
      </c>
      <c r="C42" s="1">
        <v>3183401.121620995</v>
      </c>
      <c r="D42" s="1">
        <v>0</v>
      </c>
      <c r="E42" s="1">
        <v>0</v>
      </c>
      <c r="F42" s="1">
        <v>0</v>
      </c>
      <c r="G42" s="9">
        <f>SUM(OK_FINANCIAL)</f>
        <v>3183401.121620995</v>
      </c>
      <c r="L42" s="6">
        <v>1200000</v>
      </c>
      <c r="M42" s="1">
        <v>0</v>
      </c>
      <c r="O42" s="1">
        <v>5500000</v>
      </c>
      <c r="P42" s="1">
        <v>0</v>
      </c>
      <c r="R42" s="1">
        <v>0</v>
      </c>
      <c r="S42" s="1">
        <v>0</v>
      </c>
      <c r="U42" s="1">
        <v>0</v>
      </c>
      <c r="V42" s="9">
        <v>0</v>
      </c>
    </row>
    <row r="43" spans="1:22">
      <c r="A43" s="1" t="s">
        <v>64</v>
      </c>
      <c r="B43" s="6">
        <v>0</v>
      </c>
      <c r="C43" s="1">
        <v>0</v>
      </c>
      <c r="D43" s="1">
        <v>0</v>
      </c>
      <c r="E43" s="1">
        <v>0</v>
      </c>
      <c r="F43" s="1">
        <v>0</v>
      </c>
      <c r="G43" s="9">
        <f>SUM(OR_FINANCIAL)</f>
        <v>0</v>
      </c>
      <c r="L43" s="6"/>
      <c r="V43" s="9"/>
    </row>
    <row r="44" spans="1:22">
      <c r="A44" s="1" t="s">
        <v>65</v>
      </c>
      <c r="B44" s="6">
        <v>0</v>
      </c>
      <c r="C44" s="1">
        <v>14159140.028743397</v>
      </c>
      <c r="D44" s="1">
        <v>0</v>
      </c>
      <c r="E44" s="1">
        <v>0</v>
      </c>
      <c r="F44" s="1">
        <v>0</v>
      </c>
      <c r="G44" s="9">
        <f>SUM(PA_FINANCIAL)</f>
        <v>14159140.028743397</v>
      </c>
      <c r="L44" s="6">
        <v>0</v>
      </c>
      <c r="M44" s="1">
        <v>0</v>
      </c>
      <c r="O44" s="1">
        <v>19616896</v>
      </c>
      <c r="P44" s="1">
        <v>0</v>
      </c>
      <c r="R44" s="1">
        <v>0</v>
      </c>
      <c r="S44" s="1">
        <v>0</v>
      </c>
      <c r="U44" s="1">
        <v>0</v>
      </c>
      <c r="V44" s="9">
        <v>0</v>
      </c>
    </row>
    <row r="45" spans="1:22">
      <c r="A45" s="1" t="s">
        <v>66</v>
      </c>
      <c r="B45" s="6">
        <v>0</v>
      </c>
      <c r="C45" s="1">
        <v>0</v>
      </c>
      <c r="D45" s="1">
        <v>0</v>
      </c>
      <c r="E45" s="1">
        <v>0</v>
      </c>
      <c r="F45" s="1">
        <v>0</v>
      </c>
      <c r="G45" s="9">
        <f>SUM(PR_FINANCIAL)</f>
        <v>0</v>
      </c>
      <c r="L45" s="6"/>
      <c r="V45" s="9"/>
    </row>
    <row r="46" spans="1:22">
      <c r="A46" s="1" t="s">
        <v>67</v>
      </c>
      <c r="B46" s="6">
        <v>0</v>
      </c>
      <c r="C46" s="1">
        <v>0</v>
      </c>
      <c r="D46" s="1">
        <v>0</v>
      </c>
      <c r="E46" s="1">
        <v>0</v>
      </c>
      <c r="F46" s="1">
        <v>0</v>
      </c>
      <c r="G46" s="9">
        <f>SUM(RI_FINANCIAL)</f>
        <v>0</v>
      </c>
      <c r="L46" s="6"/>
      <c r="V46" s="9"/>
    </row>
    <row r="47" spans="1:22">
      <c r="A47" s="1" t="s">
        <v>68</v>
      </c>
      <c r="B47" s="6">
        <v>0</v>
      </c>
      <c r="C47" s="1">
        <v>7115744.9750136109</v>
      </c>
      <c r="D47" s="1">
        <v>0</v>
      </c>
      <c r="E47" s="1">
        <v>0</v>
      </c>
      <c r="F47" s="1">
        <v>0</v>
      </c>
      <c r="G47" s="9">
        <f>SUM(SC_FINANCIAL)</f>
        <v>7115744.9750136109</v>
      </c>
      <c r="L47" s="6">
        <v>0</v>
      </c>
      <c r="M47" s="1">
        <v>0</v>
      </c>
      <c r="O47" s="1">
        <v>0</v>
      </c>
      <c r="P47" s="1">
        <v>0</v>
      </c>
      <c r="R47" s="1">
        <v>0</v>
      </c>
      <c r="S47" s="1">
        <v>0</v>
      </c>
      <c r="U47" s="1">
        <v>0</v>
      </c>
      <c r="V47" s="9">
        <v>0</v>
      </c>
    </row>
    <row r="48" spans="1:22">
      <c r="A48" s="1" t="s">
        <v>69</v>
      </c>
      <c r="B48" s="6">
        <v>0</v>
      </c>
      <c r="C48" s="1">
        <v>1985563.8348745184</v>
      </c>
      <c r="D48" s="1">
        <v>0</v>
      </c>
      <c r="E48" s="1">
        <v>0</v>
      </c>
      <c r="F48" s="1">
        <v>0</v>
      </c>
      <c r="G48" s="9">
        <f>SUM(SD_FINANCIAL)</f>
        <v>1985563.8348745184</v>
      </c>
      <c r="L48" s="6">
        <v>0</v>
      </c>
      <c r="M48" s="1">
        <v>0</v>
      </c>
      <c r="O48" s="1">
        <v>2672240</v>
      </c>
      <c r="P48" s="1">
        <v>0</v>
      </c>
      <c r="R48" s="1">
        <v>0</v>
      </c>
      <c r="S48" s="1">
        <v>0</v>
      </c>
      <c r="U48" s="1">
        <v>0</v>
      </c>
      <c r="V48" s="9">
        <v>0</v>
      </c>
    </row>
    <row r="49" spans="1:22">
      <c r="A49" s="1" t="s">
        <v>70</v>
      </c>
      <c r="B49" s="6">
        <v>0</v>
      </c>
      <c r="C49" s="1">
        <v>23276063.664635424</v>
      </c>
      <c r="D49" s="1">
        <v>0</v>
      </c>
      <c r="E49" s="1">
        <v>0</v>
      </c>
      <c r="F49" s="1">
        <v>0</v>
      </c>
      <c r="G49" s="9">
        <f>SUM(TN_FINANCIAL)</f>
        <v>23276063.664635424</v>
      </c>
      <c r="L49" s="6">
        <v>0</v>
      </c>
      <c r="M49" s="1">
        <v>0</v>
      </c>
      <c r="O49" s="1">
        <v>32341084</v>
      </c>
      <c r="P49" s="1">
        <v>0</v>
      </c>
      <c r="R49" s="1">
        <v>0</v>
      </c>
      <c r="S49" s="1">
        <v>0</v>
      </c>
      <c r="U49" s="1">
        <v>0</v>
      </c>
      <c r="V49" s="9">
        <v>0</v>
      </c>
    </row>
    <row r="50" spans="1:22">
      <c r="A50" s="1" t="s">
        <v>71</v>
      </c>
      <c r="B50" s="6">
        <v>0</v>
      </c>
      <c r="C50" s="1">
        <v>38117787.116400711</v>
      </c>
      <c r="D50" s="1">
        <v>0</v>
      </c>
      <c r="E50" s="1">
        <v>0</v>
      </c>
      <c r="F50" s="1">
        <v>0</v>
      </c>
      <c r="G50" s="9">
        <f>SUM(TX_FINANCIAL)</f>
        <v>38117787.116400711</v>
      </c>
      <c r="L50" s="6">
        <v>0</v>
      </c>
      <c r="M50" s="1">
        <v>0</v>
      </c>
      <c r="O50" s="1">
        <v>53962155</v>
      </c>
      <c r="P50" s="1">
        <v>0</v>
      </c>
      <c r="R50" s="1">
        <v>0</v>
      </c>
      <c r="S50" s="1">
        <v>0</v>
      </c>
      <c r="U50" s="1">
        <v>0</v>
      </c>
      <c r="V50" s="9">
        <v>0</v>
      </c>
    </row>
    <row r="51" spans="1:22">
      <c r="A51" s="1" t="s">
        <v>72</v>
      </c>
      <c r="B51" s="6">
        <v>0</v>
      </c>
      <c r="C51" s="1">
        <v>20553140.471075326</v>
      </c>
      <c r="D51" s="1">
        <v>0</v>
      </c>
      <c r="E51" s="1">
        <v>0</v>
      </c>
      <c r="F51" s="1">
        <v>0</v>
      </c>
      <c r="G51" s="9">
        <f>SUM(UT_FINANCIAL)</f>
        <v>20553140.471075326</v>
      </c>
      <c r="L51" s="6"/>
      <c r="V51" s="9"/>
    </row>
    <row r="52" spans="1:22">
      <c r="A52" s="1" t="s">
        <v>73</v>
      </c>
      <c r="B52" s="6">
        <v>0</v>
      </c>
      <c r="C52" s="1">
        <v>0</v>
      </c>
      <c r="D52" s="1">
        <v>0</v>
      </c>
      <c r="E52" s="1">
        <v>0</v>
      </c>
      <c r="F52" s="1">
        <v>0</v>
      </c>
      <c r="G52" s="9">
        <f>SUM(VT_FINANCIAL)</f>
        <v>0</v>
      </c>
      <c r="L52" s="6"/>
      <c r="V52" s="9"/>
    </row>
    <row r="53" spans="1:22">
      <c r="A53" s="1" t="s">
        <v>74</v>
      </c>
      <c r="B53" s="6">
        <v>0</v>
      </c>
      <c r="C53" s="1">
        <v>8190883.324726277</v>
      </c>
      <c r="D53" s="1">
        <v>0</v>
      </c>
      <c r="E53" s="1">
        <v>0</v>
      </c>
      <c r="F53" s="1">
        <v>0</v>
      </c>
      <c r="G53" s="9">
        <f>SUM(VA_FINANCIAL)</f>
        <v>8190883.324726277</v>
      </c>
      <c r="L53" s="6">
        <v>0</v>
      </c>
      <c r="M53" s="1">
        <v>0</v>
      </c>
      <c r="O53" s="1">
        <v>9100000</v>
      </c>
      <c r="P53" s="1">
        <v>0</v>
      </c>
      <c r="R53" s="1">
        <v>0</v>
      </c>
      <c r="S53" s="1">
        <v>0</v>
      </c>
      <c r="U53" s="1">
        <v>0</v>
      </c>
      <c r="V53" s="9">
        <v>0</v>
      </c>
    </row>
    <row r="54" spans="1:22">
      <c r="A54" s="1" t="s">
        <v>75</v>
      </c>
      <c r="B54" s="6">
        <v>0</v>
      </c>
      <c r="C54" s="1">
        <v>17264827.458495867</v>
      </c>
      <c r="D54" s="1">
        <v>0</v>
      </c>
      <c r="E54" s="1">
        <v>0</v>
      </c>
      <c r="F54" s="1">
        <v>0</v>
      </c>
      <c r="G54" s="9">
        <f>SUM(WA_FINANCIAL)</f>
        <v>17264827.458495867</v>
      </c>
      <c r="L54" s="6">
        <v>0</v>
      </c>
      <c r="M54" s="1">
        <v>0</v>
      </c>
      <c r="O54" s="1">
        <v>23830000</v>
      </c>
      <c r="P54" s="1">
        <v>0</v>
      </c>
      <c r="R54" s="1">
        <v>0</v>
      </c>
      <c r="S54" s="1">
        <v>0</v>
      </c>
      <c r="U54" s="1">
        <v>0</v>
      </c>
      <c r="V54" s="9">
        <v>0</v>
      </c>
    </row>
    <row r="55" spans="1:22">
      <c r="A55" s="1" t="s">
        <v>76</v>
      </c>
      <c r="B55" s="6">
        <v>0</v>
      </c>
      <c r="C55" s="1">
        <v>1958721.7838515055</v>
      </c>
      <c r="D55" s="1">
        <v>0</v>
      </c>
      <c r="E55" s="1">
        <v>0</v>
      </c>
      <c r="F55" s="1">
        <v>0</v>
      </c>
      <c r="G55" s="9">
        <f>SUM(WV_FINANCIAL)</f>
        <v>1958721.7838515055</v>
      </c>
      <c r="L55" s="6">
        <v>0</v>
      </c>
      <c r="M55" s="1">
        <v>0</v>
      </c>
      <c r="O55" s="1">
        <v>2730138</v>
      </c>
      <c r="P55" s="1">
        <v>0</v>
      </c>
      <c r="R55" s="1">
        <v>0</v>
      </c>
      <c r="S55" s="1">
        <v>0</v>
      </c>
      <c r="U55" s="1">
        <v>0</v>
      </c>
      <c r="V55" s="9">
        <v>0</v>
      </c>
    </row>
    <row r="56" spans="1:22">
      <c r="A56" s="1" t="s">
        <v>77</v>
      </c>
      <c r="B56" s="6">
        <v>0</v>
      </c>
      <c r="C56" s="1">
        <v>0</v>
      </c>
      <c r="D56" s="1">
        <v>0</v>
      </c>
      <c r="E56" s="1">
        <v>0</v>
      </c>
      <c r="F56" s="1">
        <v>0</v>
      </c>
      <c r="G56" s="9">
        <f>SUM(WI_FINANCIAL)</f>
        <v>0</v>
      </c>
      <c r="L56" s="6"/>
      <c r="V56" s="9"/>
    </row>
    <row r="57" spans="1:22">
      <c r="A57" s="1" t="s">
        <v>78</v>
      </c>
      <c r="B57" s="6">
        <v>0</v>
      </c>
      <c r="C57" s="1">
        <v>1064882.5194372875</v>
      </c>
      <c r="D57" s="1">
        <v>0</v>
      </c>
      <c r="E57" s="1">
        <v>0</v>
      </c>
      <c r="F57" s="1">
        <v>0</v>
      </c>
      <c r="G57" s="9">
        <f>SUM(WY_FINANCIAL)</f>
        <v>1064882.5194372875</v>
      </c>
      <c r="L57" s="6"/>
      <c r="V57" s="9"/>
    </row>
    <row r="58" spans="1:22">
      <c r="A58" s="1" t="s">
        <v>79</v>
      </c>
      <c r="B58" s="6">
        <v>0</v>
      </c>
      <c r="C58" s="1">
        <v>0</v>
      </c>
      <c r="D58" s="1">
        <v>0</v>
      </c>
      <c r="E58" s="1">
        <v>0</v>
      </c>
      <c r="F58" s="1">
        <v>0</v>
      </c>
      <c r="G58" s="9">
        <f>SUM(OT_FINANCIAL)</f>
        <v>0</v>
      </c>
      <c r="L58" s="6"/>
      <c r="V58" s="9"/>
    </row>
    <row r="59" spans="1:22">
      <c r="B59" s="6"/>
      <c r="G59" s="9"/>
      <c r="L59" s="6"/>
      <c r="V59" s="9"/>
    </row>
    <row r="60" spans="1:22">
      <c r="A60" s="1" t="s">
        <v>8</v>
      </c>
      <c r="B60" s="6">
        <f>SUM(LIFE)</f>
        <v>0</v>
      </c>
      <c r="C60" s="1">
        <f>SUM(ALLOCATED)</f>
        <v>346567557.90501577</v>
      </c>
      <c r="D60" s="1">
        <f>SUM(HEALTH)</f>
        <v>0</v>
      </c>
      <c r="E60" s="1">
        <f>SUM(UNALLOCATED)</f>
        <v>0</v>
      </c>
      <c r="F60" s="1">
        <f>SUM(LTC)</f>
        <v>0</v>
      </c>
      <c r="G60" s="9">
        <f>SUM(ALL_BLOCKS)</f>
        <v>346567557.90501577</v>
      </c>
      <c r="L60" s="6">
        <f>SUM(LIFE_CALLED)</f>
        <v>1200000</v>
      </c>
      <c r="M60" s="1">
        <f>SUM(LIFE_REFUNDED)</f>
        <v>0</v>
      </c>
      <c r="O60" s="1">
        <f>SUM(ALLOC_CALLED)</f>
        <v>354476194</v>
      </c>
      <c r="P60" s="1">
        <f>SUM(ALLOC_REFUNDED)</f>
        <v>0</v>
      </c>
      <c r="R60" s="1">
        <f>SUM(HEALTH_CALLED)</f>
        <v>0</v>
      </c>
      <c r="S60" s="1">
        <f>SUM(HEALTH_REFUNDED)</f>
        <v>0</v>
      </c>
      <c r="U60" s="1">
        <f>SUM(UNALLOC_CALLED)</f>
        <v>0</v>
      </c>
      <c r="V60" s="9">
        <f>SUM(UNALLOC_REFUNDED)</f>
        <v>0</v>
      </c>
    </row>
    <row r="61" spans="1:22" ht="5.0999999999999996" customHeight="1">
      <c r="B61" s="6"/>
      <c r="G61" s="9"/>
      <c r="L61" s="6"/>
      <c r="V61" s="9"/>
    </row>
    <row r="62" spans="1:22">
      <c r="B62" s="6"/>
      <c r="G62" s="9"/>
      <c r="L62" s="78" t="s">
        <v>80</v>
      </c>
      <c r="M62" s="79"/>
      <c r="N62" s="79"/>
      <c r="O62" s="79"/>
      <c r="P62" s="79"/>
      <c r="Q62" s="79"/>
      <c r="R62" s="79"/>
      <c r="S62" s="79"/>
      <c r="T62" s="79"/>
      <c r="U62" s="79"/>
      <c r="V62" s="80"/>
    </row>
    <row r="63" spans="1:22">
      <c r="B63" s="6"/>
      <c r="G63" s="9"/>
      <c r="L63" s="81"/>
      <c r="M63" s="79"/>
      <c r="N63" s="79"/>
      <c r="O63" s="79"/>
      <c r="P63" s="79"/>
      <c r="Q63" s="79"/>
      <c r="R63" s="79"/>
      <c r="S63" s="79"/>
      <c r="T63" s="79"/>
      <c r="U63" s="79"/>
      <c r="V63" s="80"/>
    </row>
    <row r="64" spans="1:22">
      <c r="B64" s="8"/>
      <c r="C64" s="5"/>
      <c r="D64" s="5"/>
      <c r="E64" s="5"/>
      <c r="F64" s="5"/>
      <c r="G64" s="11"/>
      <c r="L64" s="82"/>
      <c r="M64" s="83"/>
      <c r="N64" s="83"/>
      <c r="O64" s="83"/>
      <c r="P64" s="83"/>
      <c r="Q64" s="83"/>
      <c r="R64" s="83"/>
      <c r="S64" s="83"/>
      <c r="T64" s="83"/>
      <c r="U64" s="83"/>
      <c r="V64" s="84"/>
    </row>
  </sheetData>
  <mergeCells count="8">
    <mergeCell ref="L62:V64"/>
    <mergeCell ref="A1:G1"/>
    <mergeCell ref="B3:G3"/>
    <mergeCell ref="L3:V3"/>
    <mergeCell ref="L4:M4"/>
    <mergeCell ref="O4:P4"/>
    <mergeCell ref="R4:S4"/>
    <mergeCell ref="U4:V4"/>
  </mergeCells>
  <pageMargins left="0" right="0" top="0" bottom="0" header="0" footer="0"/>
  <pageSetup scale="48"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V64"/>
  <sheetViews>
    <sheetView zoomScale="75" workbookViewId="0">
      <selection sqref="A1:G1"/>
    </sheetView>
  </sheetViews>
  <sheetFormatPr defaultColWidth="9.109375" defaultRowHeight="14.4"/>
  <cols>
    <col min="1" max="1" width="20" style="1" customWidth="1"/>
    <col min="2" max="7" width="15" style="1" customWidth="1"/>
    <col min="8" max="8" width="1" style="1" customWidth="1"/>
    <col min="9" max="9" width="30" style="1" customWidth="1"/>
    <col min="10" max="10" width="15" style="1" customWidth="1"/>
    <col min="11" max="11" width="1" style="1" customWidth="1"/>
    <col min="12" max="13" width="15" style="1" customWidth="1"/>
    <col min="14" max="14" width="1" style="1" customWidth="1"/>
    <col min="15" max="16" width="15" style="1" customWidth="1"/>
    <col min="17" max="17" width="1" style="1" customWidth="1"/>
    <col min="18" max="19" width="15" style="1" customWidth="1"/>
    <col min="20" max="20" width="1" style="1" customWidth="1"/>
    <col min="21" max="22" width="15" style="1" customWidth="1"/>
    <col min="23" max="23" width="9.109375" style="1" customWidth="1"/>
    <col min="24" max="16384" width="9.109375" style="1"/>
  </cols>
  <sheetData>
    <row r="1" spans="1:22">
      <c r="A1" s="85" t="s">
        <v>95</v>
      </c>
      <c r="B1" s="79"/>
      <c r="C1" s="79"/>
      <c r="D1" s="79"/>
      <c r="E1" s="79"/>
      <c r="F1" s="79"/>
      <c r="G1" s="79"/>
    </row>
    <row r="3" spans="1:22">
      <c r="B3" s="86" t="s">
        <v>1</v>
      </c>
      <c r="C3" s="87"/>
      <c r="D3" s="87"/>
      <c r="E3" s="87"/>
      <c r="F3" s="87"/>
      <c r="G3" s="88"/>
      <c r="L3" s="89" t="s">
        <v>2</v>
      </c>
      <c r="M3" s="90"/>
      <c r="N3" s="90"/>
      <c r="O3" s="90"/>
      <c r="P3" s="90"/>
      <c r="Q3" s="90"/>
      <c r="R3" s="90"/>
      <c r="S3" s="90"/>
      <c r="T3" s="90"/>
      <c r="U3" s="90"/>
      <c r="V3" s="91"/>
    </row>
    <row r="4" spans="1:22">
      <c r="B4" s="6"/>
      <c r="G4" s="9"/>
      <c r="L4" s="92" t="s">
        <v>3</v>
      </c>
      <c r="M4" s="93"/>
      <c r="N4" s="3"/>
      <c r="O4" s="94" t="s">
        <v>4</v>
      </c>
      <c r="P4" s="93"/>
      <c r="Q4" s="3"/>
      <c r="R4" s="94" t="s">
        <v>5</v>
      </c>
      <c r="S4" s="93"/>
      <c r="T4" s="3"/>
      <c r="U4" s="94" t="s">
        <v>6</v>
      </c>
      <c r="V4" s="95"/>
    </row>
    <row r="5" spans="1:22" ht="60" customHeight="1">
      <c r="B5" s="7" t="s">
        <v>3</v>
      </c>
      <c r="C5" s="4" t="s">
        <v>4</v>
      </c>
      <c r="D5" s="4" t="s">
        <v>5</v>
      </c>
      <c r="E5" s="4" t="s">
        <v>6</v>
      </c>
      <c r="F5" s="4" t="s">
        <v>7</v>
      </c>
      <c r="G5" s="10" t="s">
        <v>8</v>
      </c>
      <c r="L5" s="19" t="s">
        <v>9</v>
      </c>
      <c r="M5" s="18" t="s">
        <v>10</v>
      </c>
      <c r="N5" s="18"/>
      <c r="O5" s="18" t="s">
        <v>9</v>
      </c>
      <c r="P5" s="18" t="s">
        <v>10</v>
      </c>
      <c r="Q5" s="18"/>
      <c r="R5" s="18" t="s">
        <v>9</v>
      </c>
      <c r="S5" s="18" t="s">
        <v>10</v>
      </c>
      <c r="T5" s="18"/>
      <c r="U5" s="18" t="s">
        <v>9</v>
      </c>
      <c r="V5" s="20" t="s">
        <v>10</v>
      </c>
    </row>
    <row r="6" spans="1:22">
      <c r="A6" s="1" t="s">
        <v>11</v>
      </c>
      <c r="B6" s="6">
        <v>0</v>
      </c>
      <c r="C6" s="1">
        <v>0</v>
      </c>
      <c r="D6" s="1">
        <v>36428.174697515737</v>
      </c>
      <c r="E6" s="1">
        <v>0</v>
      </c>
      <c r="F6" s="1">
        <v>0</v>
      </c>
      <c r="G6" s="9">
        <f>SUM(AL_FINANCIAL)</f>
        <v>36428.174697515737</v>
      </c>
      <c r="L6" s="6"/>
      <c r="V6" s="9"/>
    </row>
    <row r="7" spans="1:22">
      <c r="A7" s="1" t="s">
        <v>12</v>
      </c>
      <c r="B7" s="6">
        <v>0</v>
      </c>
      <c r="C7" s="1">
        <v>0</v>
      </c>
      <c r="D7" s="1">
        <v>0</v>
      </c>
      <c r="E7" s="1">
        <v>0</v>
      </c>
      <c r="F7" s="1">
        <v>0</v>
      </c>
      <c r="G7" s="9">
        <f>SUM(AK_FINANCIAL)</f>
        <v>0</v>
      </c>
      <c r="I7" s="12"/>
      <c r="J7" s="15"/>
      <c r="L7" s="6"/>
      <c r="V7" s="9"/>
    </row>
    <row r="8" spans="1:22">
      <c r="A8" s="1" t="s">
        <v>13</v>
      </c>
      <c r="B8" s="6">
        <v>0</v>
      </c>
      <c r="C8" s="1">
        <v>0</v>
      </c>
      <c r="D8" s="1">
        <v>43059.278464134957</v>
      </c>
      <c r="E8" s="1">
        <v>0</v>
      </c>
      <c r="F8" s="1">
        <v>0</v>
      </c>
      <c r="G8" s="9">
        <f>SUM(AZ_FINANCIAL)</f>
        <v>43059.278464134957</v>
      </c>
      <c r="I8" s="13" t="s">
        <v>14</v>
      </c>
      <c r="J8" s="16"/>
      <c r="L8" s="6"/>
      <c r="V8" s="9"/>
    </row>
    <row r="9" spans="1:22">
      <c r="A9" s="1" t="s">
        <v>15</v>
      </c>
      <c r="B9" s="6">
        <v>10582.577602051215</v>
      </c>
      <c r="C9" s="1">
        <v>0</v>
      </c>
      <c r="D9" s="1">
        <v>1716389.6634682189</v>
      </c>
      <c r="E9" s="1">
        <v>0</v>
      </c>
      <c r="F9" s="1">
        <v>0</v>
      </c>
      <c r="G9" s="9">
        <f>SUM(AR_FINANCIAL)</f>
        <v>1726972.2410702701</v>
      </c>
      <c r="I9" s="13"/>
      <c r="J9" s="16"/>
      <c r="L9" s="6">
        <v>0</v>
      </c>
      <c r="M9" s="1">
        <v>0</v>
      </c>
      <c r="O9" s="1">
        <v>0</v>
      </c>
      <c r="P9" s="1">
        <v>0</v>
      </c>
      <c r="R9" s="1">
        <v>3284134</v>
      </c>
      <c r="S9" s="1">
        <v>0</v>
      </c>
      <c r="U9" s="1">
        <v>0</v>
      </c>
      <c r="V9" s="9">
        <v>0</v>
      </c>
    </row>
    <row r="10" spans="1:22">
      <c r="A10" s="1" t="s">
        <v>16</v>
      </c>
      <c r="B10" s="6">
        <v>0</v>
      </c>
      <c r="C10" s="1">
        <v>0</v>
      </c>
      <c r="D10" s="1">
        <v>0</v>
      </c>
      <c r="E10" s="1">
        <v>0</v>
      </c>
      <c r="F10" s="1">
        <v>0</v>
      </c>
      <c r="G10" s="9">
        <f>SUM(CA_FINANCIAL)</f>
        <v>0</v>
      </c>
      <c r="I10" s="13" t="s">
        <v>17</v>
      </c>
      <c r="J10" s="16">
        <v>51277703.869999968</v>
      </c>
      <c r="L10" s="6"/>
      <c r="V10" s="9"/>
    </row>
    <row r="11" spans="1:22">
      <c r="A11" s="1" t="s">
        <v>18</v>
      </c>
      <c r="B11" s="6">
        <v>0</v>
      </c>
      <c r="C11" s="1">
        <v>0</v>
      </c>
      <c r="D11" s="1">
        <v>55823.737676768462</v>
      </c>
      <c r="E11" s="1">
        <v>0</v>
      </c>
      <c r="F11" s="1">
        <v>0</v>
      </c>
      <c r="G11" s="9">
        <f>SUM(CO_FINANCIAL)</f>
        <v>55823.737676768462</v>
      </c>
      <c r="I11" s="13"/>
      <c r="J11" s="16"/>
      <c r="L11" s="6">
        <v>0</v>
      </c>
      <c r="M11" s="1">
        <v>0</v>
      </c>
      <c r="O11" s="1">
        <v>0</v>
      </c>
      <c r="P11" s="1">
        <v>0</v>
      </c>
      <c r="R11" s="1">
        <v>106857</v>
      </c>
      <c r="S11" s="1">
        <v>0</v>
      </c>
      <c r="U11" s="1">
        <v>0</v>
      </c>
      <c r="V11" s="9">
        <v>0</v>
      </c>
    </row>
    <row r="12" spans="1:22">
      <c r="A12" s="1" t="s">
        <v>19</v>
      </c>
      <c r="B12" s="6">
        <v>0</v>
      </c>
      <c r="C12" s="1">
        <v>0</v>
      </c>
      <c r="D12" s="1">
        <v>0</v>
      </c>
      <c r="E12" s="1">
        <v>0</v>
      </c>
      <c r="F12" s="1">
        <v>0</v>
      </c>
      <c r="G12" s="9">
        <f>SUM(CT_FINANCIAL)</f>
        <v>0</v>
      </c>
      <c r="I12" s="13" t="s">
        <v>20</v>
      </c>
      <c r="J12" s="16"/>
      <c r="L12" s="6"/>
      <c r="V12" s="9"/>
    </row>
    <row r="13" spans="1:22">
      <c r="A13" s="1" t="s">
        <v>21</v>
      </c>
      <c r="B13" s="6">
        <v>0</v>
      </c>
      <c r="C13" s="1">
        <v>0</v>
      </c>
      <c r="D13" s="1">
        <v>0</v>
      </c>
      <c r="E13" s="1">
        <v>0</v>
      </c>
      <c r="F13" s="1">
        <v>0</v>
      </c>
      <c r="G13" s="9">
        <f>SUM(DE_FINANCIAL)</f>
        <v>0</v>
      </c>
      <c r="I13" s="13" t="s">
        <v>22</v>
      </c>
      <c r="J13" s="16">
        <v>51277703.869999968</v>
      </c>
      <c r="L13" s="6"/>
      <c r="V13" s="9"/>
    </row>
    <row r="14" spans="1:22">
      <c r="A14" s="1" t="s">
        <v>23</v>
      </c>
      <c r="B14" s="6">
        <v>0</v>
      </c>
      <c r="C14" s="1">
        <v>0</v>
      </c>
      <c r="D14" s="1">
        <v>0</v>
      </c>
      <c r="E14" s="1">
        <v>0</v>
      </c>
      <c r="F14" s="1">
        <v>0</v>
      </c>
      <c r="G14" s="9">
        <f>SUM(DC_FINANCIAL)</f>
        <v>0</v>
      </c>
      <c r="I14" s="13" t="s">
        <v>24</v>
      </c>
      <c r="J14" s="16">
        <v>1055443.5100000002</v>
      </c>
      <c r="L14" s="6"/>
      <c r="V14" s="9"/>
    </row>
    <row r="15" spans="1:22">
      <c r="A15" s="1" t="s">
        <v>25</v>
      </c>
      <c r="B15" s="6">
        <v>0</v>
      </c>
      <c r="C15" s="1">
        <v>0</v>
      </c>
      <c r="D15" s="1">
        <v>0</v>
      </c>
      <c r="E15" s="1">
        <v>0</v>
      </c>
      <c r="F15" s="1">
        <v>0</v>
      </c>
      <c r="G15" s="9">
        <f>SUM(FL_FINANCIAL)</f>
        <v>0</v>
      </c>
      <c r="I15" s="13" t="s">
        <v>26</v>
      </c>
      <c r="J15" s="16">
        <v>1015019.9099999998</v>
      </c>
      <c r="L15" s="6"/>
      <c r="V15" s="9"/>
    </row>
    <row r="16" spans="1:22">
      <c r="A16" s="1" t="s">
        <v>27</v>
      </c>
      <c r="B16" s="6">
        <v>0</v>
      </c>
      <c r="C16" s="1">
        <v>0</v>
      </c>
      <c r="D16" s="1">
        <v>1806208.4180910168</v>
      </c>
      <c r="E16" s="1">
        <v>0</v>
      </c>
      <c r="F16" s="1">
        <v>0</v>
      </c>
      <c r="G16" s="9">
        <f>SUM(GA_FINANCIAL)</f>
        <v>1806208.4180910168</v>
      </c>
      <c r="I16" s="13" t="s">
        <v>28</v>
      </c>
      <c r="J16" s="16">
        <v>0</v>
      </c>
      <c r="L16" s="6">
        <v>0</v>
      </c>
      <c r="M16" s="1">
        <v>0</v>
      </c>
      <c r="O16" s="1">
        <v>0</v>
      </c>
      <c r="P16" s="1">
        <v>0</v>
      </c>
      <c r="R16" s="1">
        <v>1957882</v>
      </c>
      <c r="S16" s="1">
        <v>0</v>
      </c>
      <c r="U16" s="1">
        <v>0</v>
      </c>
      <c r="V16" s="9">
        <v>0</v>
      </c>
    </row>
    <row r="17" spans="1:22">
      <c r="A17" s="1" t="s">
        <v>29</v>
      </c>
      <c r="B17" s="6">
        <v>0</v>
      </c>
      <c r="C17" s="1">
        <v>0</v>
      </c>
      <c r="D17" s="1">
        <v>0</v>
      </c>
      <c r="E17" s="1">
        <v>0</v>
      </c>
      <c r="F17" s="1">
        <v>0</v>
      </c>
      <c r="G17" s="9">
        <f>SUM(HI_FINANCIAL)</f>
        <v>0</v>
      </c>
      <c r="I17" s="13"/>
      <c r="J17" s="16"/>
      <c r="L17" s="6"/>
      <c r="V17" s="9"/>
    </row>
    <row r="18" spans="1:22">
      <c r="A18" s="1" t="s">
        <v>30</v>
      </c>
      <c r="B18" s="6">
        <v>0</v>
      </c>
      <c r="C18" s="1">
        <v>0</v>
      </c>
      <c r="D18" s="1">
        <v>2669.4134667182661</v>
      </c>
      <c r="E18" s="1">
        <v>0</v>
      </c>
      <c r="F18" s="1">
        <v>0</v>
      </c>
      <c r="G18" s="9">
        <f>SUM(ID_FINANCIAL)</f>
        <v>2669.4134667182661</v>
      </c>
      <c r="I18" s="13" t="s">
        <v>31</v>
      </c>
      <c r="J18" s="16"/>
      <c r="L18" s="6">
        <v>0</v>
      </c>
      <c r="M18" s="1">
        <v>0</v>
      </c>
      <c r="O18" s="1">
        <v>0</v>
      </c>
      <c r="P18" s="1">
        <v>0</v>
      </c>
      <c r="R18" s="1">
        <v>13000</v>
      </c>
      <c r="S18" s="1">
        <v>0</v>
      </c>
      <c r="U18" s="1">
        <v>0</v>
      </c>
      <c r="V18" s="9">
        <v>0</v>
      </c>
    </row>
    <row r="19" spans="1:22">
      <c r="A19" s="1" t="s">
        <v>32</v>
      </c>
      <c r="B19" s="6">
        <v>0</v>
      </c>
      <c r="C19" s="1">
        <v>0</v>
      </c>
      <c r="D19" s="1">
        <v>0</v>
      </c>
      <c r="E19" s="1">
        <v>0</v>
      </c>
      <c r="F19" s="1">
        <v>0</v>
      </c>
      <c r="G19" s="9">
        <f>SUM(IL_FINANCIAL)</f>
        <v>0</v>
      </c>
      <c r="I19" s="13" t="s">
        <v>33</v>
      </c>
      <c r="J19" s="16">
        <v>0</v>
      </c>
      <c r="L19" s="6"/>
      <c r="V19" s="9"/>
    </row>
    <row r="20" spans="1:22">
      <c r="A20" s="1" t="s">
        <v>34</v>
      </c>
      <c r="B20" s="6">
        <v>0</v>
      </c>
      <c r="C20" s="1">
        <v>0</v>
      </c>
      <c r="D20" s="1">
        <v>10050563.41584296</v>
      </c>
      <c r="E20" s="1">
        <v>0</v>
      </c>
      <c r="F20" s="1">
        <v>0</v>
      </c>
      <c r="G20" s="9">
        <f>SUM(IN_FINANCIAL)</f>
        <v>10050563.41584296</v>
      </c>
      <c r="I20" s="13" t="s">
        <v>35</v>
      </c>
      <c r="J20" s="16">
        <v>51277703.869999968</v>
      </c>
      <c r="L20" s="6">
        <v>0</v>
      </c>
      <c r="M20" s="1">
        <v>0</v>
      </c>
      <c r="O20" s="1">
        <v>0</v>
      </c>
      <c r="P20" s="1">
        <v>0</v>
      </c>
      <c r="R20" s="1">
        <v>17500000</v>
      </c>
      <c r="S20" s="1">
        <v>0</v>
      </c>
      <c r="U20" s="1">
        <v>0</v>
      </c>
      <c r="V20" s="9">
        <v>0</v>
      </c>
    </row>
    <row r="21" spans="1:22">
      <c r="A21" s="1" t="s">
        <v>36</v>
      </c>
      <c r="B21" s="6">
        <v>0</v>
      </c>
      <c r="C21" s="1">
        <v>0</v>
      </c>
      <c r="D21" s="1">
        <v>98107.055915977733</v>
      </c>
      <c r="E21" s="1">
        <v>0</v>
      </c>
      <c r="F21" s="1">
        <v>0</v>
      </c>
      <c r="G21" s="9">
        <f>SUM(IA_FINANCIAL)</f>
        <v>98107.055915977733</v>
      </c>
      <c r="I21" s="13" t="s">
        <v>37</v>
      </c>
      <c r="J21" s="16"/>
      <c r="L21" s="6"/>
      <c r="V21" s="9"/>
    </row>
    <row r="22" spans="1:22">
      <c r="A22" s="1" t="s">
        <v>38</v>
      </c>
      <c r="B22" s="6">
        <v>0</v>
      </c>
      <c r="C22" s="1">
        <v>0</v>
      </c>
      <c r="D22" s="1">
        <v>920471.76055953407</v>
      </c>
      <c r="E22" s="1">
        <v>0</v>
      </c>
      <c r="F22" s="1">
        <v>0</v>
      </c>
      <c r="G22" s="9">
        <f>SUM(KS_FINANCIAL)</f>
        <v>920471.76055953407</v>
      </c>
      <c r="I22" s="13" t="s">
        <v>39</v>
      </c>
      <c r="J22" s="16">
        <v>0</v>
      </c>
      <c r="L22" s="6">
        <v>0</v>
      </c>
      <c r="M22" s="1">
        <v>0</v>
      </c>
      <c r="O22" s="1">
        <v>0</v>
      </c>
      <c r="P22" s="1">
        <v>0</v>
      </c>
      <c r="R22" s="1">
        <v>1150000</v>
      </c>
      <c r="S22" s="1">
        <v>0</v>
      </c>
      <c r="U22" s="1">
        <v>0</v>
      </c>
      <c r="V22" s="9">
        <v>0</v>
      </c>
    </row>
    <row r="23" spans="1:22">
      <c r="A23" s="1" t="s">
        <v>40</v>
      </c>
      <c r="B23" s="6">
        <v>0</v>
      </c>
      <c r="C23" s="1">
        <v>0</v>
      </c>
      <c r="D23" s="1">
        <v>156163.23530233343</v>
      </c>
      <c r="E23" s="1">
        <v>0</v>
      </c>
      <c r="F23" s="1">
        <v>0</v>
      </c>
      <c r="G23" s="9">
        <f>SUM(KY_FINANCIAL)</f>
        <v>156163.23530233343</v>
      </c>
      <c r="I23" s="13" t="s">
        <v>41</v>
      </c>
      <c r="J23" s="16"/>
      <c r="L23" s="6"/>
      <c r="V23" s="9"/>
    </row>
    <row r="24" spans="1:22">
      <c r="A24" s="1" t="s">
        <v>42</v>
      </c>
      <c r="B24" s="6">
        <v>0</v>
      </c>
      <c r="C24" s="1">
        <v>0</v>
      </c>
      <c r="D24" s="1">
        <v>21873.228267894821</v>
      </c>
      <c r="E24" s="1">
        <v>0</v>
      </c>
      <c r="F24" s="1">
        <v>0</v>
      </c>
      <c r="G24" s="9">
        <f>SUM(LA_FINANCIAL)</f>
        <v>21873.228267894821</v>
      </c>
      <c r="I24" s="13" t="s">
        <v>43</v>
      </c>
      <c r="J24" s="16">
        <v>26900838.999011036</v>
      </c>
      <c r="L24" s="6"/>
      <c r="V24" s="9"/>
    </row>
    <row r="25" spans="1:22">
      <c r="A25" s="1" t="s">
        <v>44</v>
      </c>
      <c r="B25" s="6">
        <v>0</v>
      </c>
      <c r="C25" s="1">
        <v>0</v>
      </c>
      <c r="D25" s="1">
        <v>0</v>
      </c>
      <c r="E25" s="1">
        <v>0</v>
      </c>
      <c r="F25" s="1">
        <v>0</v>
      </c>
      <c r="G25" s="9">
        <f>SUM(ME_FINANCIAL)</f>
        <v>0</v>
      </c>
      <c r="I25" s="13"/>
      <c r="J25" s="16"/>
      <c r="L25" s="6"/>
      <c r="V25" s="9"/>
    </row>
    <row r="26" spans="1:22">
      <c r="A26" s="1" t="s">
        <v>45</v>
      </c>
      <c r="B26" s="6">
        <v>0</v>
      </c>
      <c r="C26" s="1">
        <v>0</v>
      </c>
      <c r="D26" s="1">
        <v>0</v>
      </c>
      <c r="E26" s="1">
        <v>0</v>
      </c>
      <c r="F26" s="1">
        <v>0</v>
      </c>
      <c r="G26" s="9">
        <f>SUM(MD_FINANCIAL)</f>
        <v>0</v>
      </c>
      <c r="I26" s="13" t="s">
        <v>46</v>
      </c>
      <c r="J26" s="16">
        <f>SUM(ADD_FINANCIAL)-SUM(LESS_FINANCIAL)</f>
        <v>26447328.290988937</v>
      </c>
      <c r="L26" s="6"/>
      <c r="V26" s="9"/>
    </row>
    <row r="27" spans="1:22">
      <c r="A27" s="1" t="s">
        <v>47</v>
      </c>
      <c r="B27" s="6">
        <v>0</v>
      </c>
      <c r="C27" s="1">
        <v>0</v>
      </c>
      <c r="D27" s="1">
        <v>0</v>
      </c>
      <c r="E27" s="1">
        <v>0</v>
      </c>
      <c r="F27" s="1">
        <v>0</v>
      </c>
      <c r="G27" s="9">
        <f>SUM(MA_FINANCIAL)</f>
        <v>0</v>
      </c>
      <c r="I27" s="13" t="s">
        <v>48</v>
      </c>
      <c r="J27" s="16">
        <f>SUM(ALL_BLOCKS)</f>
        <v>26447328.290988941</v>
      </c>
      <c r="L27" s="6"/>
      <c r="V27" s="9"/>
    </row>
    <row r="28" spans="1:22">
      <c r="A28" s="1" t="s">
        <v>49</v>
      </c>
      <c r="B28" s="6">
        <v>0</v>
      </c>
      <c r="C28" s="1">
        <v>0</v>
      </c>
      <c r="D28" s="1">
        <v>0</v>
      </c>
      <c r="E28" s="1">
        <v>0</v>
      </c>
      <c r="F28" s="1">
        <v>0</v>
      </c>
      <c r="G28" s="9">
        <f>SUM(MI_FINANCIAL)</f>
        <v>0</v>
      </c>
      <c r="I28" s="14"/>
      <c r="J28" s="17"/>
      <c r="L28" s="6"/>
      <c r="V28" s="9"/>
    </row>
    <row r="29" spans="1:22">
      <c r="A29" s="1" t="s">
        <v>50</v>
      </c>
      <c r="B29" s="6">
        <v>0</v>
      </c>
      <c r="C29" s="1">
        <v>0</v>
      </c>
      <c r="D29" s="1">
        <v>0</v>
      </c>
      <c r="E29" s="1">
        <v>0</v>
      </c>
      <c r="F29" s="1">
        <v>0</v>
      </c>
      <c r="G29" s="9">
        <f>SUM(MN_FINANCIAL)</f>
        <v>0</v>
      </c>
      <c r="L29" s="6"/>
      <c r="V29" s="9"/>
    </row>
    <row r="30" spans="1:22">
      <c r="A30" s="1" t="s">
        <v>51</v>
      </c>
      <c r="B30" s="6">
        <v>0</v>
      </c>
      <c r="C30" s="1">
        <v>0</v>
      </c>
      <c r="D30" s="1">
        <v>4693.4517244306926</v>
      </c>
      <c r="E30" s="1">
        <v>0</v>
      </c>
      <c r="F30" s="1">
        <v>0</v>
      </c>
      <c r="G30" s="9">
        <f>SUM(MS_FINANCIAL)</f>
        <v>4693.4517244306926</v>
      </c>
      <c r="L30" s="6"/>
      <c r="V30" s="9"/>
    </row>
    <row r="31" spans="1:22">
      <c r="A31" s="1" t="s">
        <v>52</v>
      </c>
      <c r="B31" s="6">
        <v>0</v>
      </c>
      <c r="C31" s="1">
        <v>0</v>
      </c>
      <c r="D31" s="1">
        <v>2747048.3948437632</v>
      </c>
      <c r="E31" s="1">
        <v>0</v>
      </c>
      <c r="F31" s="1">
        <v>0</v>
      </c>
      <c r="G31" s="9">
        <f>SUM(MO_FINANCIAL)</f>
        <v>2747048.3948437632</v>
      </c>
      <c r="L31" s="6"/>
      <c r="V31" s="9"/>
    </row>
    <row r="32" spans="1:22">
      <c r="A32" s="1" t="s">
        <v>53</v>
      </c>
      <c r="B32" s="6">
        <v>0</v>
      </c>
      <c r="C32" s="1">
        <v>0</v>
      </c>
      <c r="D32" s="1">
        <v>0</v>
      </c>
      <c r="E32" s="1">
        <v>0</v>
      </c>
      <c r="F32" s="1">
        <v>0</v>
      </c>
      <c r="G32" s="9">
        <f>SUM(MT_FINANCIAL)</f>
        <v>0</v>
      </c>
      <c r="L32" s="6"/>
      <c r="V32" s="9"/>
    </row>
    <row r="33" spans="1:22">
      <c r="A33" s="1" t="s">
        <v>54</v>
      </c>
      <c r="B33" s="6">
        <v>0</v>
      </c>
      <c r="C33" s="1">
        <v>0</v>
      </c>
      <c r="D33" s="1">
        <v>2426888.0021896353</v>
      </c>
      <c r="E33" s="1">
        <v>0</v>
      </c>
      <c r="F33" s="1">
        <v>0</v>
      </c>
      <c r="G33" s="9">
        <f>SUM(NE_FINANCIAL)</f>
        <v>2426888.0021896353</v>
      </c>
      <c r="L33" s="6">
        <v>0</v>
      </c>
      <c r="M33" s="1">
        <v>0</v>
      </c>
      <c r="O33" s="1">
        <v>0</v>
      </c>
      <c r="P33" s="1">
        <v>0</v>
      </c>
      <c r="R33" s="1">
        <v>1000000</v>
      </c>
      <c r="S33" s="1">
        <v>0</v>
      </c>
      <c r="U33" s="1">
        <v>0</v>
      </c>
      <c r="V33" s="9">
        <v>0</v>
      </c>
    </row>
    <row r="34" spans="1:22">
      <c r="A34" s="1" t="s">
        <v>55</v>
      </c>
      <c r="B34" s="6">
        <v>-3681.5914833602556</v>
      </c>
      <c r="C34" s="1">
        <v>0</v>
      </c>
      <c r="D34" s="1">
        <v>3168364.7976642824</v>
      </c>
      <c r="E34" s="1">
        <v>0</v>
      </c>
      <c r="F34" s="1">
        <v>0</v>
      </c>
      <c r="G34" s="9">
        <f>SUM(NV_FINANCIAL)</f>
        <v>3164683.2061809222</v>
      </c>
      <c r="L34" s="6">
        <v>0</v>
      </c>
      <c r="M34" s="1">
        <v>0</v>
      </c>
      <c r="O34" s="1">
        <v>0</v>
      </c>
      <c r="P34" s="1">
        <v>0</v>
      </c>
      <c r="R34" s="1">
        <v>10000000</v>
      </c>
      <c r="S34" s="1">
        <v>0</v>
      </c>
      <c r="U34" s="1">
        <v>0</v>
      </c>
      <c r="V34" s="9">
        <v>0</v>
      </c>
    </row>
    <row r="35" spans="1:22">
      <c r="A35" s="1" t="s">
        <v>56</v>
      </c>
      <c r="B35" s="6">
        <v>0</v>
      </c>
      <c r="C35" s="1">
        <v>0</v>
      </c>
      <c r="D35" s="1">
        <v>0</v>
      </c>
      <c r="E35" s="1">
        <v>0</v>
      </c>
      <c r="F35" s="1">
        <v>0</v>
      </c>
      <c r="G35" s="9">
        <f>SUM(NH_FINANCIAL)</f>
        <v>0</v>
      </c>
      <c r="L35" s="6"/>
      <c r="V35" s="9"/>
    </row>
    <row r="36" spans="1:22">
      <c r="A36" s="1" t="s">
        <v>57</v>
      </c>
      <c r="B36" s="6">
        <v>0</v>
      </c>
      <c r="C36" s="1">
        <v>0</v>
      </c>
      <c r="D36" s="1">
        <v>0</v>
      </c>
      <c r="E36" s="1">
        <v>0</v>
      </c>
      <c r="F36" s="1">
        <v>0</v>
      </c>
      <c r="G36" s="9">
        <f>SUM(NJ_FINANCIAL)</f>
        <v>0</v>
      </c>
      <c r="L36" s="6"/>
      <c r="V36" s="9"/>
    </row>
    <row r="37" spans="1:22">
      <c r="A37" s="1" t="s">
        <v>58</v>
      </c>
      <c r="B37" s="6">
        <v>0</v>
      </c>
      <c r="C37" s="1">
        <v>0</v>
      </c>
      <c r="D37" s="1">
        <v>-99491.772587995569</v>
      </c>
      <c r="E37" s="1">
        <v>0</v>
      </c>
      <c r="F37" s="1">
        <v>0</v>
      </c>
      <c r="G37" s="9">
        <f>SUM(NM_FINANCIAL)</f>
        <v>-99491.772587995569</v>
      </c>
      <c r="L37" s="6"/>
      <c r="V37" s="9"/>
    </row>
    <row r="38" spans="1:22">
      <c r="A38" s="1" t="s">
        <v>59</v>
      </c>
      <c r="B38" s="6">
        <v>0</v>
      </c>
      <c r="C38" s="1">
        <v>0</v>
      </c>
      <c r="D38" s="1">
        <v>0</v>
      </c>
      <c r="E38" s="1">
        <v>0</v>
      </c>
      <c r="F38" s="1">
        <v>0</v>
      </c>
      <c r="G38" s="9">
        <f>SUM(NY_FINANCIAL)</f>
        <v>0</v>
      </c>
      <c r="L38" s="6"/>
      <c r="V38" s="9"/>
    </row>
    <row r="39" spans="1:22">
      <c r="A39" s="1" t="s">
        <v>60</v>
      </c>
      <c r="B39" s="6">
        <v>0</v>
      </c>
      <c r="C39" s="1">
        <v>0</v>
      </c>
      <c r="D39" s="1">
        <v>-382266.11603530648</v>
      </c>
      <c r="E39" s="1">
        <v>0</v>
      </c>
      <c r="F39" s="1">
        <v>0</v>
      </c>
      <c r="G39" s="9">
        <f>SUM(NC_FINANCIAL)</f>
        <v>-382266.11603530648</v>
      </c>
      <c r="L39" s="6"/>
      <c r="V39" s="9"/>
    </row>
    <row r="40" spans="1:22">
      <c r="A40" s="1" t="s">
        <v>61</v>
      </c>
      <c r="B40" s="6">
        <v>0</v>
      </c>
      <c r="C40" s="1">
        <v>0</v>
      </c>
      <c r="D40" s="1">
        <v>631.39529757050332</v>
      </c>
      <c r="E40" s="1">
        <v>0</v>
      </c>
      <c r="F40" s="1">
        <v>0</v>
      </c>
      <c r="G40" s="9">
        <f>SUM(ND_FINANCIAL)</f>
        <v>631.39529757050332</v>
      </c>
      <c r="L40" s="6"/>
      <c r="V40" s="9"/>
    </row>
    <row r="41" spans="1:22">
      <c r="A41" s="1" t="s">
        <v>62</v>
      </c>
      <c r="B41" s="6">
        <v>0</v>
      </c>
      <c r="C41" s="1">
        <v>0</v>
      </c>
      <c r="D41" s="1">
        <v>1902142.6215274963</v>
      </c>
      <c r="E41" s="1">
        <v>0</v>
      </c>
      <c r="F41" s="1">
        <v>0</v>
      </c>
      <c r="G41" s="9">
        <f>SUM(OH_FINANCIAL)</f>
        <v>1902142.6215274963</v>
      </c>
      <c r="L41" s="6">
        <v>0</v>
      </c>
      <c r="M41" s="1">
        <v>0</v>
      </c>
      <c r="O41" s="1">
        <v>0</v>
      </c>
      <c r="P41" s="1">
        <v>0</v>
      </c>
      <c r="R41" s="1">
        <v>1000000</v>
      </c>
      <c r="S41" s="1">
        <v>0</v>
      </c>
      <c r="U41" s="1">
        <v>0</v>
      </c>
      <c r="V41" s="9">
        <v>0</v>
      </c>
    </row>
    <row r="42" spans="1:22">
      <c r="A42" s="1" t="s">
        <v>63</v>
      </c>
      <c r="B42" s="6">
        <v>0</v>
      </c>
      <c r="C42" s="1">
        <v>0</v>
      </c>
      <c r="D42" s="1">
        <v>47328.610999703975</v>
      </c>
      <c r="E42" s="1">
        <v>0</v>
      </c>
      <c r="F42" s="1">
        <v>0</v>
      </c>
      <c r="G42" s="9">
        <f>SUM(OK_FINANCIAL)</f>
        <v>47328.610999703975</v>
      </c>
      <c r="L42" s="6">
        <v>0</v>
      </c>
      <c r="M42" s="1">
        <v>0</v>
      </c>
      <c r="O42" s="1">
        <v>0</v>
      </c>
      <c r="P42" s="1">
        <v>0</v>
      </c>
      <c r="R42" s="1">
        <v>150000</v>
      </c>
      <c r="S42" s="1">
        <v>0</v>
      </c>
      <c r="U42" s="1">
        <v>0</v>
      </c>
      <c r="V42" s="9">
        <v>0</v>
      </c>
    </row>
    <row r="43" spans="1:22">
      <c r="A43" s="1" t="s">
        <v>64</v>
      </c>
      <c r="B43" s="6">
        <v>0</v>
      </c>
      <c r="C43" s="1">
        <v>0</v>
      </c>
      <c r="D43" s="1">
        <v>9597.7793326444516</v>
      </c>
      <c r="E43" s="1">
        <v>0</v>
      </c>
      <c r="F43" s="1">
        <v>0</v>
      </c>
      <c r="G43" s="9">
        <f>SUM(OR_FINANCIAL)</f>
        <v>9597.7793326444516</v>
      </c>
      <c r="L43" s="6"/>
      <c r="V43" s="9"/>
    </row>
    <row r="44" spans="1:22">
      <c r="A44" s="1" t="s">
        <v>65</v>
      </c>
      <c r="B44" s="6">
        <v>0</v>
      </c>
      <c r="C44" s="1">
        <v>0</v>
      </c>
      <c r="D44" s="1">
        <v>0</v>
      </c>
      <c r="E44" s="1">
        <v>0</v>
      </c>
      <c r="F44" s="1">
        <v>0</v>
      </c>
      <c r="G44" s="9">
        <f>SUM(PA_FINANCIAL)</f>
        <v>0</v>
      </c>
      <c r="L44" s="6"/>
      <c r="V44" s="9"/>
    </row>
    <row r="45" spans="1:22">
      <c r="A45" s="1" t="s">
        <v>66</v>
      </c>
      <c r="B45" s="6">
        <v>0</v>
      </c>
      <c r="C45" s="1">
        <v>0</v>
      </c>
      <c r="D45" s="1">
        <v>0</v>
      </c>
      <c r="E45" s="1">
        <v>0</v>
      </c>
      <c r="F45" s="1">
        <v>0</v>
      </c>
      <c r="G45" s="9">
        <f>SUM(PR_FINANCIAL)</f>
        <v>0</v>
      </c>
      <c r="L45" s="6"/>
      <c r="V45" s="9"/>
    </row>
    <row r="46" spans="1:22">
      <c r="A46" s="1" t="s">
        <v>67</v>
      </c>
      <c r="B46" s="6">
        <v>0</v>
      </c>
      <c r="C46" s="1">
        <v>0</v>
      </c>
      <c r="D46" s="1">
        <v>0</v>
      </c>
      <c r="E46" s="1">
        <v>0</v>
      </c>
      <c r="F46" s="1">
        <v>0</v>
      </c>
      <c r="G46" s="9">
        <f>SUM(RI_FINANCIAL)</f>
        <v>0</v>
      </c>
      <c r="L46" s="6"/>
      <c r="V46" s="9"/>
    </row>
    <row r="47" spans="1:22">
      <c r="A47" s="1" t="s">
        <v>68</v>
      </c>
      <c r="B47" s="6">
        <v>0</v>
      </c>
      <c r="C47" s="1">
        <v>0</v>
      </c>
      <c r="D47" s="1">
        <v>-109815.52575597487</v>
      </c>
      <c r="E47" s="1">
        <v>0</v>
      </c>
      <c r="F47" s="1">
        <v>0</v>
      </c>
      <c r="G47" s="9">
        <f>SUM(SC_FINANCIAL)</f>
        <v>-109815.52575597487</v>
      </c>
      <c r="L47" s="6"/>
      <c r="V47" s="9"/>
    </row>
    <row r="48" spans="1:22">
      <c r="A48" s="1" t="s">
        <v>69</v>
      </c>
      <c r="B48" s="6">
        <v>0</v>
      </c>
      <c r="C48" s="1">
        <v>0</v>
      </c>
      <c r="D48" s="1">
        <v>8143.3854024852881</v>
      </c>
      <c r="E48" s="1">
        <v>0</v>
      </c>
      <c r="F48" s="1">
        <v>0</v>
      </c>
      <c r="G48" s="9">
        <f>SUM(SD_FINANCIAL)</f>
        <v>8143.3854024852881</v>
      </c>
      <c r="L48" s="6"/>
      <c r="V48" s="9"/>
    </row>
    <row r="49" spans="1:22">
      <c r="A49" s="1" t="s">
        <v>70</v>
      </c>
      <c r="B49" s="6">
        <v>5296.9490647595803</v>
      </c>
      <c r="C49" s="1">
        <v>0</v>
      </c>
      <c r="D49" s="1">
        <v>1527966.0951160064</v>
      </c>
      <c r="E49" s="1">
        <v>0</v>
      </c>
      <c r="F49" s="1">
        <v>0</v>
      </c>
      <c r="G49" s="9">
        <f>SUM(TN_FINANCIAL)</f>
        <v>1533263.044180766</v>
      </c>
      <c r="L49" s="6">
        <v>0</v>
      </c>
      <c r="M49" s="1">
        <v>0</v>
      </c>
      <c r="O49" s="1">
        <v>0</v>
      </c>
      <c r="P49" s="1">
        <v>0</v>
      </c>
      <c r="R49" s="1">
        <v>2500000</v>
      </c>
      <c r="S49" s="1">
        <v>0</v>
      </c>
      <c r="U49" s="1">
        <v>0</v>
      </c>
      <c r="V49" s="9">
        <v>0</v>
      </c>
    </row>
    <row r="50" spans="1:22">
      <c r="A50" s="1" t="s">
        <v>71</v>
      </c>
      <c r="B50" s="6">
        <v>0</v>
      </c>
      <c r="C50" s="1">
        <v>0</v>
      </c>
      <c r="D50" s="1">
        <v>163550.12781663865</v>
      </c>
      <c r="E50" s="1">
        <v>0</v>
      </c>
      <c r="F50" s="1">
        <v>0</v>
      </c>
      <c r="G50" s="9">
        <f>SUM(TX_FINANCIAL)</f>
        <v>163550.12781663865</v>
      </c>
      <c r="L50" s="6">
        <v>0</v>
      </c>
      <c r="M50" s="1">
        <v>0</v>
      </c>
      <c r="O50" s="1">
        <v>0</v>
      </c>
      <c r="P50" s="1">
        <v>0</v>
      </c>
      <c r="R50" s="1">
        <v>129979</v>
      </c>
      <c r="S50" s="1">
        <v>0</v>
      </c>
      <c r="U50" s="1">
        <v>0</v>
      </c>
      <c r="V50" s="9">
        <v>0</v>
      </c>
    </row>
    <row r="51" spans="1:22">
      <c r="A51" s="1" t="s">
        <v>72</v>
      </c>
      <c r="B51" s="6">
        <v>0</v>
      </c>
      <c r="C51" s="1">
        <v>0</v>
      </c>
      <c r="D51" s="1">
        <v>55102.187376867492</v>
      </c>
      <c r="E51" s="1">
        <v>0</v>
      </c>
      <c r="F51" s="1">
        <v>0</v>
      </c>
      <c r="G51" s="9">
        <f>SUM(UT_FINANCIAL)</f>
        <v>55102.187376867492</v>
      </c>
      <c r="L51" s="6"/>
      <c r="V51" s="9"/>
    </row>
    <row r="52" spans="1:22">
      <c r="A52" s="1" t="s">
        <v>73</v>
      </c>
      <c r="B52" s="6">
        <v>0</v>
      </c>
      <c r="C52" s="1">
        <v>0</v>
      </c>
      <c r="D52" s="1">
        <v>0</v>
      </c>
      <c r="E52" s="1">
        <v>0</v>
      </c>
      <c r="F52" s="1">
        <v>0</v>
      </c>
      <c r="G52" s="9">
        <f>SUM(VT_FINANCIAL)</f>
        <v>0</v>
      </c>
      <c r="L52" s="6"/>
      <c r="V52" s="9"/>
    </row>
    <row r="53" spans="1:22">
      <c r="A53" s="1" t="s">
        <v>74</v>
      </c>
      <c r="B53" s="6">
        <v>0</v>
      </c>
      <c r="C53" s="1">
        <v>0</v>
      </c>
      <c r="D53" s="1">
        <v>0</v>
      </c>
      <c r="E53" s="1">
        <v>0</v>
      </c>
      <c r="F53" s="1">
        <v>0</v>
      </c>
      <c r="G53" s="9">
        <f>SUM(VA_FINANCIAL)</f>
        <v>0</v>
      </c>
      <c r="L53" s="6"/>
      <c r="V53" s="9"/>
    </row>
    <row r="54" spans="1:22">
      <c r="A54" s="1" t="s">
        <v>75</v>
      </c>
      <c r="B54" s="6">
        <v>0</v>
      </c>
      <c r="C54" s="1">
        <v>0</v>
      </c>
      <c r="D54" s="1">
        <v>0</v>
      </c>
      <c r="E54" s="1">
        <v>0</v>
      </c>
      <c r="F54" s="1">
        <v>0</v>
      </c>
      <c r="G54" s="9">
        <f>SUM(WA_FINANCIAL)</f>
        <v>0</v>
      </c>
      <c r="L54" s="6"/>
      <c r="V54" s="9"/>
    </row>
    <row r="55" spans="1:22">
      <c r="A55" s="1" t="s">
        <v>76</v>
      </c>
      <c r="B55" s="6">
        <v>0</v>
      </c>
      <c r="C55" s="1">
        <v>0</v>
      </c>
      <c r="D55" s="1">
        <v>0</v>
      </c>
      <c r="E55" s="1">
        <v>0</v>
      </c>
      <c r="F55" s="1">
        <v>0</v>
      </c>
      <c r="G55" s="9">
        <f>SUM(WV_FINANCIAL)</f>
        <v>0</v>
      </c>
      <c r="L55" s="6"/>
      <c r="V55" s="9"/>
    </row>
    <row r="56" spans="1:22">
      <c r="A56" s="1" t="s">
        <v>77</v>
      </c>
      <c r="B56" s="6">
        <v>0</v>
      </c>
      <c r="C56" s="1">
        <v>0</v>
      </c>
      <c r="D56" s="1">
        <v>0</v>
      </c>
      <c r="E56" s="1">
        <v>0</v>
      </c>
      <c r="F56" s="1">
        <v>0</v>
      </c>
      <c r="G56" s="9">
        <f>SUM(WI_FINANCIAL)</f>
        <v>0</v>
      </c>
      <c r="L56" s="6"/>
      <c r="V56" s="9"/>
    </row>
    <row r="57" spans="1:22">
      <c r="A57" s="1" t="s">
        <v>78</v>
      </c>
      <c r="B57" s="6">
        <v>0</v>
      </c>
      <c r="C57" s="1">
        <v>0</v>
      </c>
      <c r="D57" s="1">
        <v>57489.539140166176</v>
      </c>
      <c r="E57" s="1">
        <v>0</v>
      </c>
      <c r="F57" s="1">
        <v>0</v>
      </c>
      <c r="G57" s="9">
        <f>SUM(WY_FINANCIAL)</f>
        <v>57489.539140166176</v>
      </c>
      <c r="L57" s="6"/>
      <c r="V57" s="9"/>
    </row>
    <row r="58" spans="1:22">
      <c r="A58" s="1" t="s">
        <v>79</v>
      </c>
      <c r="B58" s="6">
        <v>0</v>
      </c>
      <c r="C58" s="1">
        <v>0</v>
      </c>
      <c r="D58" s="1">
        <v>0</v>
      </c>
      <c r="E58" s="1">
        <v>0</v>
      </c>
      <c r="F58" s="1">
        <v>0</v>
      </c>
      <c r="G58" s="9">
        <f>SUM(OT_FINANCIAL)</f>
        <v>0</v>
      </c>
      <c r="L58" s="6"/>
      <c r="V58" s="9"/>
    </row>
    <row r="59" spans="1:22">
      <c r="B59" s="6"/>
      <c r="G59" s="9"/>
      <c r="L59" s="6"/>
      <c r="V59" s="9"/>
    </row>
    <row r="60" spans="1:22">
      <c r="A60" s="1" t="s">
        <v>8</v>
      </c>
      <c r="B60" s="6">
        <f>SUM(LIFE)</f>
        <v>12197.93518345054</v>
      </c>
      <c r="C60" s="1">
        <f>SUM(ALLOCATED)</f>
        <v>0</v>
      </c>
      <c r="D60" s="1">
        <f>SUM(HEALTH)</f>
        <v>26435130.35580549</v>
      </c>
      <c r="E60" s="1">
        <f>SUM(UNALLOCATED)</f>
        <v>0</v>
      </c>
      <c r="F60" s="1">
        <f>SUM(LTC)</f>
        <v>0</v>
      </c>
      <c r="G60" s="9">
        <f>SUM(ALL_BLOCKS)</f>
        <v>26447328.290988941</v>
      </c>
      <c r="L60" s="6">
        <f>SUM(LIFE_CALLED)</f>
        <v>0</v>
      </c>
      <c r="M60" s="1">
        <f>SUM(LIFE_REFUNDED)</f>
        <v>0</v>
      </c>
      <c r="O60" s="1">
        <f>SUM(ALLOC_CALLED)</f>
        <v>0</v>
      </c>
      <c r="P60" s="1">
        <f>SUM(ALLOC_REFUNDED)</f>
        <v>0</v>
      </c>
      <c r="R60" s="1">
        <f>SUM(HEALTH_CALLED)</f>
        <v>38791852</v>
      </c>
      <c r="S60" s="1">
        <f>SUM(HEALTH_REFUNDED)</f>
        <v>0</v>
      </c>
      <c r="U60" s="1">
        <f>SUM(UNALLOC_CALLED)</f>
        <v>0</v>
      </c>
      <c r="V60" s="9">
        <f>SUM(UNALLOC_REFUNDED)</f>
        <v>0</v>
      </c>
    </row>
    <row r="61" spans="1:22" ht="5.0999999999999996" customHeight="1">
      <c r="B61" s="6"/>
      <c r="G61" s="9"/>
      <c r="L61" s="6"/>
      <c r="V61" s="9"/>
    </row>
    <row r="62" spans="1:22">
      <c r="B62" s="6"/>
      <c r="G62" s="9"/>
      <c r="L62" s="78" t="s">
        <v>80</v>
      </c>
      <c r="M62" s="79"/>
      <c r="N62" s="79"/>
      <c r="O62" s="79"/>
      <c r="P62" s="79"/>
      <c r="Q62" s="79"/>
      <c r="R62" s="79"/>
      <c r="S62" s="79"/>
      <c r="T62" s="79"/>
      <c r="U62" s="79"/>
      <c r="V62" s="80"/>
    </row>
    <row r="63" spans="1:22">
      <c r="B63" s="6"/>
      <c r="G63" s="9"/>
      <c r="L63" s="81"/>
      <c r="M63" s="79"/>
      <c r="N63" s="79"/>
      <c r="O63" s="79"/>
      <c r="P63" s="79"/>
      <c r="Q63" s="79"/>
      <c r="R63" s="79"/>
      <c r="S63" s="79"/>
      <c r="T63" s="79"/>
      <c r="U63" s="79"/>
      <c r="V63" s="80"/>
    </row>
    <row r="64" spans="1:22">
      <c r="B64" s="8"/>
      <c r="C64" s="5"/>
      <c r="D64" s="5"/>
      <c r="E64" s="5"/>
      <c r="F64" s="5"/>
      <c r="G64" s="11"/>
      <c r="L64" s="82"/>
      <c r="M64" s="83"/>
      <c r="N64" s="83"/>
      <c r="O64" s="83"/>
      <c r="P64" s="83"/>
      <c r="Q64" s="83"/>
      <c r="R64" s="83"/>
      <c r="S64" s="83"/>
      <c r="T64" s="83"/>
      <c r="U64" s="83"/>
      <c r="V64" s="84"/>
    </row>
  </sheetData>
  <mergeCells count="8">
    <mergeCell ref="L62:V64"/>
    <mergeCell ref="A1:G1"/>
    <mergeCell ref="B3:G3"/>
    <mergeCell ref="L3:V3"/>
    <mergeCell ref="L4:M4"/>
    <mergeCell ref="O4:P4"/>
    <mergeCell ref="R4:S4"/>
    <mergeCell ref="U4:V4"/>
  </mergeCells>
  <pageMargins left="0" right="0" top="0" bottom="0" header="0" footer="0"/>
  <pageSetup scale="48"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V64"/>
  <sheetViews>
    <sheetView zoomScale="75" workbookViewId="0">
      <selection sqref="A1:G1"/>
    </sheetView>
  </sheetViews>
  <sheetFormatPr defaultColWidth="9.109375" defaultRowHeight="14.4"/>
  <cols>
    <col min="1" max="1" width="20" style="1" customWidth="1"/>
    <col min="2" max="7" width="15" style="1" customWidth="1"/>
    <col min="8" max="8" width="1" style="1" customWidth="1"/>
    <col min="9" max="9" width="30" style="1" customWidth="1"/>
    <col min="10" max="10" width="15" style="1" customWidth="1"/>
    <col min="11" max="11" width="1" style="1" customWidth="1"/>
    <col min="12" max="13" width="15" style="1" customWidth="1"/>
    <col min="14" max="14" width="1" style="1" customWidth="1"/>
    <col min="15" max="16" width="15" style="1" customWidth="1"/>
    <col min="17" max="17" width="1" style="1" customWidth="1"/>
    <col min="18" max="19" width="15" style="1" customWidth="1"/>
    <col min="20" max="20" width="1" style="1" customWidth="1"/>
    <col min="21" max="22" width="15" style="1" customWidth="1"/>
    <col min="23" max="23" width="9.109375" style="1" customWidth="1"/>
    <col min="24" max="16384" width="9.109375" style="1"/>
  </cols>
  <sheetData>
    <row r="1" spans="1:22">
      <c r="A1" s="85" t="s">
        <v>96</v>
      </c>
      <c r="B1" s="79"/>
      <c r="C1" s="79"/>
      <c r="D1" s="79"/>
      <c r="E1" s="79"/>
      <c r="F1" s="79"/>
      <c r="G1" s="79"/>
    </row>
    <row r="3" spans="1:22">
      <c r="B3" s="86" t="s">
        <v>1</v>
      </c>
      <c r="C3" s="87"/>
      <c r="D3" s="87"/>
      <c r="E3" s="87"/>
      <c r="F3" s="87"/>
      <c r="G3" s="88"/>
      <c r="L3" s="89" t="s">
        <v>2</v>
      </c>
      <c r="M3" s="90"/>
      <c r="N3" s="90"/>
      <c r="O3" s="90"/>
      <c r="P3" s="90"/>
      <c r="Q3" s="90"/>
      <c r="R3" s="90"/>
      <c r="S3" s="90"/>
      <c r="T3" s="90"/>
      <c r="U3" s="90"/>
      <c r="V3" s="91"/>
    </row>
    <row r="4" spans="1:22">
      <c r="B4" s="6"/>
      <c r="G4" s="9"/>
      <c r="L4" s="92" t="s">
        <v>3</v>
      </c>
      <c r="M4" s="93"/>
      <c r="N4" s="3"/>
      <c r="O4" s="94" t="s">
        <v>4</v>
      </c>
      <c r="P4" s="93"/>
      <c r="Q4" s="3"/>
      <c r="R4" s="94" t="s">
        <v>5</v>
      </c>
      <c r="S4" s="93"/>
      <c r="T4" s="3"/>
      <c r="U4" s="94" t="s">
        <v>6</v>
      </c>
      <c r="V4" s="95"/>
    </row>
    <row r="5" spans="1:22" ht="60" customHeight="1">
      <c r="B5" s="7" t="s">
        <v>3</v>
      </c>
      <c r="C5" s="4" t="s">
        <v>4</v>
      </c>
      <c r="D5" s="4" t="s">
        <v>5</v>
      </c>
      <c r="E5" s="4" t="s">
        <v>6</v>
      </c>
      <c r="F5" s="4" t="s">
        <v>7</v>
      </c>
      <c r="G5" s="10" t="s">
        <v>8</v>
      </c>
      <c r="L5" s="19" t="s">
        <v>9</v>
      </c>
      <c r="M5" s="18" t="s">
        <v>10</v>
      </c>
      <c r="N5" s="18"/>
      <c r="O5" s="18" t="s">
        <v>9</v>
      </c>
      <c r="P5" s="18" t="s">
        <v>10</v>
      </c>
      <c r="Q5" s="18"/>
      <c r="R5" s="18" t="s">
        <v>9</v>
      </c>
      <c r="S5" s="18" t="s">
        <v>10</v>
      </c>
      <c r="T5" s="18"/>
      <c r="U5" s="18" t="s">
        <v>9</v>
      </c>
      <c r="V5" s="20" t="s">
        <v>10</v>
      </c>
    </row>
    <row r="6" spans="1:22">
      <c r="A6" s="1" t="s">
        <v>11</v>
      </c>
      <c r="B6" s="6">
        <v>26254133.204742976</v>
      </c>
      <c r="C6" s="1">
        <v>0</v>
      </c>
      <c r="D6" s="1">
        <v>45367.019999998651</v>
      </c>
      <c r="E6" s="1">
        <v>0</v>
      </c>
      <c r="F6" s="1">
        <v>0</v>
      </c>
      <c r="G6" s="9">
        <f>SUM(AL_FINANCIAL)</f>
        <v>26299500.224742975</v>
      </c>
      <c r="L6" s="6"/>
      <c r="V6" s="9"/>
    </row>
    <row r="7" spans="1:22">
      <c r="A7" s="1" t="s">
        <v>12</v>
      </c>
      <c r="B7" s="6">
        <v>0</v>
      </c>
      <c r="C7" s="1">
        <v>0</v>
      </c>
      <c r="D7" s="1">
        <v>0</v>
      </c>
      <c r="E7" s="1">
        <v>0</v>
      </c>
      <c r="F7" s="1">
        <v>0</v>
      </c>
      <c r="G7" s="9">
        <f>SUM(AK_FINANCIAL)</f>
        <v>0</v>
      </c>
      <c r="I7" s="12"/>
      <c r="J7" s="15"/>
      <c r="L7" s="6"/>
      <c r="V7" s="9"/>
    </row>
    <row r="8" spans="1:22">
      <c r="A8" s="1" t="s">
        <v>13</v>
      </c>
      <c r="B8" s="6">
        <v>0</v>
      </c>
      <c r="C8" s="1">
        <v>0</v>
      </c>
      <c r="D8" s="1">
        <v>0</v>
      </c>
      <c r="E8" s="1">
        <v>0</v>
      </c>
      <c r="F8" s="1">
        <v>0</v>
      </c>
      <c r="G8" s="9">
        <f>SUM(AZ_FINANCIAL)</f>
        <v>0</v>
      </c>
      <c r="I8" s="13" t="s">
        <v>14</v>
      </c>
      <c r="J8" s="16"/>
      <c r="L8" s="6"/>
      <c r="V8" s="9"/>
    </row>
    <row r="9" spans="1:22">
      <c r="A9" s="1" t="s">
        <v>15</v>
      </c>
      <c r="B9" s="6">
        <v>0</v>
      </c>
      <c r="C9" s="1">
        <v>0</v>
      </c>
      <c r="D9" s="1">
        <v>0</v>
      </c>
      <c r="E9" s="1">
        <v>0</v>
      </c>
      <c r="F9" s="1">
        <v>0</v>
      </c>
      <c r="G9" s="9">
        <f>SUM(AR_FINANCIAL)</f>
        <v>0</v>
      </c>
      <c r="I9" s="13"/>
      <c r="J9" s="16"/>
      <c r="L9" s="6"/>
      <c r="V9" s="9"/>
    </row>
    <row r="10" spans="1:22">
      <c r="A10" s="1" t="s">
        <v>16</v>
      </c>
      <c r="B10" s="6">
        <v>0</v>
      </c>
      <c r="C10" s="1">
        <v>0</v>
      </c>
      <c r="D10" s="1">
        <v>0</v>
      </c>
      <c r="E10" s="1">
        <v>0</v>
      </c>
      <c r="F10" s="1">
        <v>0</v>
      </c>
      <c r="G10" s="9">
        <f>SUM(CA_FINANCIAL)</f>
        <v>0</v>
      </c>
      <c r="I10" s="13" t="s">
        <v>17</v>
      </c>
      <c r="J10" s="16">
        <v>31665022.149999931</v>
      </c>
      <c r="L10" s="6"/>
      <c r="V10" s="9"/>
    </row>
    <row r="11" spans="1:22">
      <c r="A11" s="1" t="s">
        <v>18</v>
      </c>
      <c r="B11" s="6">
        <v>0</v>
      </c>
      <c r="C11" s="1">
        <v>0</v>
      </c>
      <c r="D11" s="1">
        <v>0</v>
      </c>
      <c r="E11" s="1">
        <v>0</v>
      </c>
      <c r="F11" s="1">
        <v>0</v>
      </c>
      <c r="G11" s="9">
        <f>SUM(CO_FINANCIAL)</f>
        <v>0</v>
      </c>
      <c r="I11" s="13"/>
      <c r="J11" s="16"/>
      <c r="L11" s="6"/>
      <c r="V11" s="9"/>
    </row>
    <row r="12" spans="1:22">
      <c r="A12" s="1" t="s">
        <v>19</v>
      </c>
      <c r="B12" s="6">
        <v>0</v>
      </c>
      <c r="C12" s="1">
        <v>0</v>
      </c>
      <c r="D12" s="1">
        <v>0</v>
      </c>
      <c r="E12" s="1">
        <v>0</v>
      </c>
      <c r="F12" s="1">
        <v>0</v>
      </c>
      <c r="G12" s="9">
        <f>SUM(CT_FINANCIAL)</f>
        <v>0</v>
      </c>
      <c r="I12" s="13" t="s">
        <v>20</v>
      </c>
      <c r="J12" s="16"/>
      <c r="L12" s="6"/>
      <c r="V12" s="9"/>
    </row>
    <row r="13" spans="1:22">
      <c r="A13" s="1" t="s">
        <v>21</v>
      </c>
      <c r="B13" s="6">
        <v>0</v>
      </c>
      <c r="C13" s="1">
        <v>0</v>
      </c>
      <c r="D13" s="1">
        <v>0</v>
      </c>
      <c r="E13" s="1">
        <v>0</v>
      </c>
      <c r="F13" s="1">
        <v>0</v>
      </c>
      <c r="G13" s="9">
        <f>SUM(DE_FINANCIAL)</f>
        <v>0</v>
      </c>
      <c r="I13" s="13" t="s">
        <v>22</v>
      </c>
      <c r="J13" s="16">
        <v>9090906.9700000044</v>
      </c>
      <c r="L13" s="6"/>
      <c r="V13" s="9"/>
    </row>
    <row r="14" spans="1:22">
      <c r="A14" s="1" t="s">
        <v>23</v>
      </c>
      <c r="B14" s="6">
        <v>0</v>
      </c>
      <c r="C14" s="1">
        <v>0</v>
      </c>
      <c r="D14" s="1">
        <v>0</v>
      </c>
      <c r="E14" s="1">
        <v>0</v>
      </c>
      <c r="F14" s="1">
        <v>0</v>
      </c>
      <c r="G14" s="9">
        <f>SUM(DC_FINANCIAL)</f>
        <v>0</v>
      </c>
      <c r="I14" s="13" t="s">
        <v>24</v>
      </c>
      <c r="J14" s="16">
        <v>0</v>
      </c>
      <c r="L14" s="6"/>
      <c r="V14" s="9"/>
    </row>
    <row r="15" spans="1:22">
      <c r="A15" s="1" t="s">
        <v>25</v>
      </c>
      <c r="B15" s="6">
        <v>0</v>
      </c>
      <c r="C15" s="1">
        <v>0</v>
      </c>
      <c r="D15" s="1">
        <v>0</v>
      </c>
      <c r="E15" s="1">
        <v>0</v>
      </c>
      <c r="F15" s="1">
        <v>0</v>
      </c>
      <c r="G15" s="9">
        <f>SUM(FL_FINANCIAL)</f>
        <v>0</v>
      </c>
      <c r="I15" s="13" t="s">
        <v>26</v>
      </c>
      <c r="J15" s="16">
        <v>4807147.0783098908</v>
      </c>
      <c r="L15" s="6"/>
      <c r="V15" s="9"/>
    </row>
    <row r="16" spans="1:22">
      <c r="A16" s="1" t="s">
        <v>27</v>
      </c>
      <c r="B16" s="6">
        <v>0</v>
      </c>
      <c r="C16" s="1">
        <v>0</v>
      </c>
      <c r="D16" s="1">
        <v>0</v>
      </c>
      <c r="E16" s="1">
        <v>0</v>
      </c>
      <c r="F16" s="1">
        <v>0</v>
      </c>
      <c r="G16" s="9">
        <f>SUM(GA_FINANCIAL)</f>
        <v>0</v>
      </c>
      <c r="I16" s="13" t="s">
        <v>28</v>
      </c>
      <c r="J16" s="16">
        <v>22574115.179999929</v>
      </c>
      <c r="L16" s="6"/>
      <c r="V16" s="9"/>
    </row>
    <row r="17" spans="1:22">
      <c r="A17" s="1" t="s">
        <v>29</v>
      </c>
      <c r="B17" s="6">
        <v>0</v>
      </c>
      <c r="C17" s="1">
        <v>0</v>
      </c>
      <c r="D17" s="1">
        <v>0</v>
      </c>
      <c r="E17" s="1">
        <v>0</v>
      </c>
      <c r="F17" s="1">
        <v>0</v>
      </c>
      <c r="G17" s="9">
        <f>SUM(HI_FINANCIAL)</f>
        <v>0</v>
      </c>
      <c r="I17" s="13"/>
      <c r="J17" s="16"/>
      <c r="L17" s="6"/>
      <c r="V17" s="9"/>
    </row>
    <row r="18" spans="1:22">
      <c r="A18" s="1" t="s">
        <v>30</v>
      </c>
      <c r="B18" s="6">
        <v>0</v>
      </c>
      <c r="C18" s="1">
        <v>0</v>
      </c>
      <c r="D18" s="1">
        <v>0</v>
      </c>
      <c r="E18" s="1">
        <v>0</v>
      </c>
      <c r="F18" s="1">
        <v>0</v>
      </c>
      <c r="G18" s="9">
        <f>SUM(ID_FINANCIAL)</f>
        <v>0</v>
      </c>
      <c r="I18" s="13" t="s">
        <v>31</v>
      </c>
      <c r="J18" s="16"/>
      <c r="L18" s="6"/>
      <c r="V18" s="9"/>
    </row>
    <row r="19" spans="1:22">
      <c r="A19" s="1" t="s">
        <v>32</v>
      </c>
      <c r="B19" s="6">
        <v>0</v>
      </c>
      <c r="C19" s="1">
        <v>0</v>
      </c>
      <c r="D19" s="1">
        <v>0</v>
      </c>
      <c r="E19" s="1">
        <v>0</v>
      </c>
      <c r="F19" s="1">
        <v>0</v>
      </c>
      <c r="G19" s="9">
        <f>SUM(IL_FINANCIAL)</f>
        <v>0</v>
      </c>
      <c r="I19" s="13" t="s">
        <v>33</v>
      </c>
      <c r="J19" s="16">
        <v>0</v>
      </c>
      <c r="L19" s="6"/>
      <c r="V19" s="9"/>
    </row>
    <row r="20" spans="1:22">
      <c r="A20" s="1" t="s">
        <v>34</v>
      </c>
      <c r="B20" s="6">
        <v>0</v>
      </c>
      <c r="C20" s="1">
        <v>0</v>
      </c>
      <c r="D20" s="1">
        <v>0</v>
      </c>
      <c r="E20" s="1">
        <v>0</v>
      </c>
      <c r="F20" s="1">
        <v>0</v>
      </c>
      <c r="G20" s="9">
        <f>SUM(IN_FINANCIAL)</f>
        <v>0</v>
      </c>
      <c r="I20" s="13" t="s">
        <v>35</v>
      </c>
      <c r="J20" s="16">
        <v>31665022.149999931</v>
      </c>
      <c r="L20" s="6"/>
      <c r="V20" s="9"/>
    </row>
    <row r="21" spans="1:22">
      <c r="A21" s="1" t="s">
        <v>36</v>
      </c>
      <c r="B21" s="6">
        <v>0</v>
      </c>
      <c r="C21" s="1">
        <v>0</v>
      </c>
      <c r="D21" s="1">
        <v>0</v>
      </c>
      <c r="E21" s="1">
        <v>0</v>
      </c>
      <c r="F21" s="1">
        <v>0</v>
      </c>
      <c r="G21" s="9">
        <f>SUM(IA_FINANCIAL)</f>
        <v>0</v>
      </c>
      <c r="I21" s="13" t="s">
        <v>37</v>
      </c>
      <c r="J21" s="16"/>
      <c r="L21" s="6"/>
      <c r="V21" s="9"/>
    </row>
    <row r="22" spans="1:22">
      <c r="A22" s="1" t="s">
        <v>38</v>
      </c>
      <c r="B22" s="6">
        <v>0</v>
      </c>
      <c r="C22" s="1">
        <v>0</v>
      </c>
      <c r="D22" s="1">
        <v>0</v>
      </c>
      <c r="E22" s="1">
        <v>0</v>
      </c>
      <c r="F22" s="1">
        <v>0</v>
      </c>
      <c r="G22" s="9">
        <f>SUM(KS_FINANCIAL)</f>
        <v>0</v>
      </c>
      <c r="I22" s="13" t="s">
        <v>39</v>
      </c>
      <c r="J22" s="16">
        <v>0</v>
      </c>
      <c r="L22" s="6"/>
      <c r="V22" s="9"/>
    </row>
    <row r="23" spans="1:22">
      <c r="A23" s="1" t="s">
        <v>40</v>
      </c>
      <c r="B23" s="6">
        <v>0</v>
      </c>
      <c r="C23" s="1">
        <v>0</v>
      </c>
      <c r="D23" s="1">
        <v>0</v>
      </c>
      <c r="E23" s="1">
        <v>0</v>
      </c>
      <c r="F23" s="1">
        <v>0</v>
      </c>
      <c r="G23" s="9">
        <f>SUM(KY_FINANCIAL)</f>
        <v>0</v>
      </c>
      <c r="I23" s="13" t="s">
        <v>41</v>
      </c>
      <c r="J23" s="16"/>
      <c r="L23" s="6"/>
      <c r="V23" s="9"/>
    </row>
    <row r="24" spans="1:22">
      <c r="A24" s="1" t="s">
        <v>42</v>
      </c>
      <c r="B24" s="6">
        <v>0</v>
      </c>
      <c r="C24" s="1">
        <v>0</v>
      </c>
      <c r="D24" s="1">
        <v>0</v>
      </c>
      <c r="E24" s="1">
        <v>0</v>
      </c>
      <c r="F24" s="1">
        <v>0</v>
      </c>
      <c r="G24" s="9">
        <f>SUM(LA_FINANCIAL)</f>
        <v>0</v>
      </c>
      <c r="I24" s="13" t="s">
        <v>43</v>
      </c>
      <c r="J24" s="16">
        <v>9414106.0000000019</v>
      </c>
      <c r="L24" s="6"/>
      <c r="V24" s="9"/>
    </row>
    <row r="25" spans="1:22">
      <c r="A25" s="1" t="s">
        <v>44</v>
      </c>
      <c r="B25" s="6">
        <v>0</v>
      </c>
      <c r="C25" s="1">
        <v>0</v>
      </c>
      <c r="D25" s="1">
        <v>0</v>
      </c>
      <c r="E25" s="1">
        <v>0</v>
      </c>
      <c r="F25" s="1">
        <v>0</v>
      </c>
      <c r="G25" s="9">
        <f>SUM(ME_FINANCIAL)</f>
        <v>0</v>
      </c>
      <c r="I25" s="13"/>
      <c r="J25" s="16"/>
      <c r="L25" s="6"/>
      <c r="V25" s="9"/>
    </row>
    <row r="26" spans="1:22">
      <c r="A26" s="1" t="s">
        <v>45</v>
      </c>
      <c r="B26" s="6">
        <v>0</v>
      </c>
      <c r="C26" s="1">
        <v>0</v>
      </c>
      <c r="D26" s="1">
        <v>0</v>
      </c>
      <c r="E26" s="1">
        <v>0</v>
      </c>
      <c r="F26" s="1">
        <v>0</v>
      </c>
      <c r="G26" s="9">
        <f>SUM(MD_FINANCIAL)</f>
        <v>0</v>
      </c>
      <c r="I26" s="13" t="s">
        <v>46</v>
      </c>
      <c r="J26" s="16">
        <f>SUM(ADD_FINANCIAL)-SUM(LESS_FINANCIAL)</f>
        <v>27058063.228309825</v>
      </c>
      <c r="L26" s="6"/>
      <c r="V26" s="9"/>
    </row>
    <row r="27" spans="1:22">
      <c r="A27" s="1" t="s">
        <v>47</v>
      </c>
      <c r="B27" s="6">
        <v>0</v>
      </c>
      <c r="C27" s="1">
        <v>0</v>
      </c>
      <c r="D27" s="1">
        <v>0</v>
      </c>
      <c r="E27" s="1">
        <v>0</v>
      </c>
      <c r="F27" s="1">
        <v>0</v>
      </c>
      <c r="G27" s="9">
        <f>SUM(MA_FINANCIAL)</f>
        <v>0</v>
      </c>
      <c r="I27" s="13" t="s">
        <v>48</v>
      </c>
      <c r="J27" s="16">
        <f>SUM(ALL_BLOCKS)</f>
        <v>27058063.228309821</v>
      </c>
      <c r="L27" s="6"/>
      <c r="V27" s="9"/>
    </row>
    <row r="28" spans="1:22">
      <c r="A28" s="1" t="s">
        <v>49</v>
      </c>
      <c r="B28" s="6">
        <v>0</v>
      </c>
      <c r="C28" s="1">
        <v>0</v>
      </c>
      <c r="D28" s="1">
        <v>0</v>
      </c>
      <c r="E28" s="1">
        <v>0</v>
      </c>
      <c r="F28" s="1">
        <v>0</v>
      </c>
      <c r="G28" s="9">
        <f>SUM(MI_FINANCIAL)</f>
        <v>0</v>
      </c>
      <c r="I28" s="14"/>
      <c r="J28" s="17"/>
      <c r="L28" s="6"/>
      <c r="V28" s="9"/>
    </row>
    <row r="29" spans="1:22">
      <c r="A29" s="1" t="s">
        <v>50</v>
      </c>
      <c r="B29" s="6">
        <v>0</v>
      </c>
      <c r="C29" s="1">
        <v>0</v>
      </c>
      <c r="D29" s="1">
        <v>0</v>
      </c>
      <c r="E29" s="1">
        <v>0</v>
      </c>
      <c r="F29" s="1">
        <v>0</v>
      </c>
      <c r="G29" s="9">
        <f>SUM(MN_FINANCIAL)</f>
        <v>0</v>
      </c>
      <c r="L29" s="6"/>
      <c r="V29" s="9"/>
    </row>
    <row r="30" spans="1:22">
      <c r="A30" s="1" t="s">
        <v>51</v>
      </c>
      <c r="B30" s="6">
        <v>0</v>
      </c>
      <c r="C30" s="1">
        <v>0</v>
      </c>
      <c r="D30" s="1">
        <v>0</v>
      </c>
      <c r="E30" s="1">
        <v>0</v>
      </c>
      <c r="F30" s="1">
        <v>0</v>
      </c>
      <c r="G30" s="9">
        <f>SUM(MS_FINANCIAL)</f>
        <v>0</v>
      </c>
      <c r="L30" s="6"/>
      <c r="V30" s="9"/>
    </row>
    <row r="31" spans="1:22">
      <c r="A31" s="1" t="s">
        <v>52</v>
      </c>
      <c r="B31" s="6">
        <v>0</v>
      </c>
      <c r="C31" s="1">
        <v>0</v>
      </c>
      <c r="D31" s="1">
        <v>0</v>
      </c>
      <c r="E31" s="1">
        <v>0</v>
      </c>
      <c r="F31" s="1">
        <v>0</v>
      </c>
      <c r="G31" s="9">
        <f>SUM(MO_FINANCIAL)</f>
        <v>0</v>
      </c>
      <c r="L31" s="6"/>
      <c r="V31" s="9"/>
    </row>
    <row r="32" spans="1:22">
      <c r="A32" s="1" t="s">
        <v>53</v>
      </c>
      <c r="B32" s="6">
        <v>0</v>
      </c>
      <c r="C32" s="1">
        <v>0</v>
      </c>
      <c r="D32" s="1">
        <v>0</v>
      </c>
      <c r="E32" s="1">
        <v>0</v>
      </c>
      <c r="F32" s="1">
        <v>0</v>
      </c>
      <c r="G32" s="9">
        <f>SUM(MT_FINANCIAL)</f>
        <v>0</v>
      </c>
      <c r="L32" s="6"/>
      <c r="V32" s="9"/>
    </row>
    <row r="33" spans="1:22">
      <c r="A33" s="1" t="s">
        <v>54</v>
      </c>
      <c r="B33" s="6">
        <v>0</v>
      </c>
      <c r="C33" s="1">
        <v>0</v>
      </c>
      <c r="D33" s="1">
        <v>0</v>
      </c>
      <c r="E33" s="1">
        <v>0</v>
      </c>
      <c r="F33" s="1">
        <v>0</v>
      </c>
      <c r="G33" s="9">
        <f>SUM(NE_FINANCIAL)</f>
        <v>0</v>
      </c>
      <c r="L33" s="6"/>
      <c r="V33" s="9"/>
    </row>
    <row r="34" spans="1:22">
      <c r="A34" s="1" t="s">
        <v>55</v>
      </c>
      <c r="B34" s="6">
        <v>0</v>
      </c>
      <c r="C34" s="1">
        <v>0</v>
      </c>
      <c r="D34" s="1">
        <v>0</v>
      </c>
      <c r="E34" s="1">
        <v>0</v>
      </c>
      <c r="F34" s="1">
        <v>0</v>
      </c>
      <c r="G34" s="9">
        <f>SUM(NV_FINANCIAL)</f>
        <v>0</v>
      </c>
      <c r="L34" s="6"/>
      <c r="V34" s="9"/>
    </row>
    <row r="35" spans="1:22">
      <c r="A35" s="1" t="s">
        <v>56</v>
      </c>
      <c r="B35" s="6">
        <v>0</v>
      </c>
      <c r="C35" s="1">
        <v>0</v>
      </c>
      <c r="D35" s="1">
        <v>0</v>
      </c>
      <c r="E35" s="1">
        <v>0</v>
      </c>
      <c r="F35" s="1">
        <v>0</v>
      </c>
      <c r="G35" s="9">
        <f>SUM(NH_FINANCIAL)</f>
        <v>0</v>
      </c>
      <c r="L35" s="6"/>
      <c r="V35" s="9"/>
    </row>
    <row r="36" spans="1:22">
      <c r="A36" s="1" t="s">
        <v>57</v>
      </c>
      <c r="B36" s="6">
        <v>0</v>
      </c>
      <c r="C36" s="1">
        <v>0</v>
      </c>
      <c r="D36" s="1">
        <v>0</v>
      </c>
      <c r="E36" s="1">
        <v>0</v>
      </c>
      <c r="F36" s="1">
        <v>0</v>
      </c>
      <c r="G36" s="9">
        <f>SUM(NJ_FINANCIAL)</f>
        <v>0</v>
      </c>
      <c r="L36" s="6"/>
      <c r="V36" s="9"/>
    </row>
    <row r="37" spans="1:22">
      <c r="A37" s="1" t="s">
        <v>58</v>
      </c>
      <c r="B37" s="6">
        <v>0</v>
      </c>
      <c r="C37" s="1">
        <v>0</v>
      </c>
      <c r="D37" s="1">
        <v>0</v>
      </c>
      <c r="E37" s="1">
        <v>0</v>
      </c>
      <c r="F37" s="1">
        <v>0</v>
      </c>
      <c r="G37" s="9">
        <f>SUM(NM_FINANCIAL)</f>
        <v>0</v>
      </c>
      <c r="L37" s="6"/>
      <c r="V37" s="9"/>
    </row>
    <row r="38" spans="1:22">
      <c r="A38" s="1" t="s">
        <v>59</v>
      </c>
      <c r="B38" s="6">
        <v>0</v>
      </c>
      <c r="C38" s="1">
        <v>0</v>
      </c>
      <c r="D38" s="1">
        <v>0</v>
      </c>
      <c r="E38" s="1">
        <v>0</v>
      </c>
      <c r="F38" s="1">
        <v>0</v>
      </c>
      <c r="G38" s="9">
        <f>SUM(NY_FINANCIAL)</f>
        <v>0</v>
      </c>
      <c r="L38" s="6"/>
      <c r="V38" s="9"/>
    </row>
    <row r="39" spans="1:22">
      <c r="A39" s="1" t="s">
        <v>60</v>
      </c>
      <c r="B39" s="6">
        <v>0</v>
      </c>
      <c r="C39" s="1">
        <v>0</v>
      </c>
      <c r="D39" s="1">
        <v>0</v>
      </c>
      <c r="E39" s="1">
        <v>0</v>
      </c>
      <c r="F39" s="1">
        <v>0</v>
      </c>
      <c r="G39" s="9">
        <f>SUM(NC_FINANCIAL)</f>
        <v>0</v>
      </c>
      <c r="L39" s="6"/>
      <c r="V39" s="9"/>
    </row>
    <row r="40" spans="1:22">
      <c r="A40" s="1" t="s">
        <v>61</v>
      </c>
      <c r="B40" s="6">
        <v>0</v>
      </c>
      <c r="C40" s="1">
        <v>0</v>
      </c>
      <c r="D40" s="1">
        <v>0</v>
      </c>
      <c r="E40" s="1">
        <v>0</v>
      </c>
      <c r="F40" s="1">
        <v>0</v>
      </c>
      <c r="G40" s="9">
        <f>SUM(ND_FINANCIAL)</f>
        <v>0</v>
      </c>
      <c r="L40" s="6"/>
      <c r="V40" s="9"/>
    </row>
    <row r="41" spans="1:22">
      <c r="A41" s="1" t="s">
        <v>62</v>
      </c>
      <c r="B41" s="6">
        <v>0</v>
      </c>
      <c r="C41" s="1">
        <v>0</v>
      </c>
      <c r="D41" s="1">
        <v>0</v>
      </c>
      <c r="E41" s="1">
        <v>0</v>
      </c>
      <c r="F41" s="1">
        <v>0</v>
      </c>
      <c r="G41" s="9">
        <f>SUM(OH_FINANCIAL)</f>
        <v>0</v>
      </c>
      <c r="L41" s="6"/>
      <c r="V41" s="9"/>
    </row>
    <row r="42" spans="1:22">
      <c r="A42" s="1" t="s">
        <v>63</v>
      </c>
      <c r="B42" s="6">
        <v>0</v>
      </c>
      <c r="C42" s="1">
        <v>0</v>
      </c>
      <c r="D42" s="1">
        <v>0</v>
      </c>
      <c r="E42" s="1">
        <v>0</v>
      </c>
      <c r="F42" s="1">
        <v>0</v>
      </c>
      <c r="G42" s="9">
        <f>SUM(OK_FINANCIAL)</f>
        <v>0</v>
      </c>
      <c r="L42" s="6"/>
      <c r="V42" s="9"/>
    </row>
    <row r="43" spans="1:22">
      <c r="A43" s="1" t="s">
        <v>64</v>
      </c>
      <c r="B43" s="6">
        <v>0</v>
      </c>
      <c r="C43" s="1">
        <v>0</v>
      </c>
      <c r="D43" s="1">
        <v>0</v>
      </c>
      <c r="E43" s="1">
        <v>0</v>
      </c>
      <c r="F43" s="1">
        <v>0</v>
      </c>
      <c r="G43" s="9">
        <f>SUM(OR_FINANCIAL)</f>
        <v>0</v>
      </c>
      <c r="L43" s="6"/>
      <c r="V43" s="9"/>
    </row>
    <row r="44" spans="1:22">
      <c r="A44" s="1" t="s">
        <v>65</v>
      </c>
      <c r="B44" s="6">
        <v>0</v>
      </c>
      <c r="C44" s="1">
        <v>0</v>
      </c>
      <c r="D44" s="1">
        <v>0</v>
      </c>
      <c r="E44" s="1">
        <v>0</v>
      </c>
      <c r="F44" s="1">
        <v>0</v>
      </c>
      <c r="G44" s="9">
        <f>SUM(PA_FINANCIAL)</f>
        <v>0</v>
      </c>
      <c r="L44" s="6"/>
      <c r="V44" s="9"/>
    </row>
    <row r="45" spans="1:22">
      <c r="A45" s="1" t="s">
        <v>66</v>
      </c>
      <c r="B45" s="6">
        <v>0</v>
      </c>
      <c r="C45" s="1">
        <v>0</v>
      </c>
      <c r="D45" s="1">
        <v>0</v>
      </c>
      <c r="E45" s="1">
        <v>0</v>
      </c>
      <c r="F45" s="1">
        <v>0</v>
      </c>
      <c r="G45" s="9">
        <f>SUM(PR_FINANCIAL)</f>
        <v>0</v>
      </c>
      <c r="L45" s="6"/>
      <c r="V45" s="9"/>
    </row>
    <row r="46" spans="1:22">
      <c r="A46" s="1" t="s">
        <v>67</v>
      </c>
      <c r="B46" s="6">
        <v>0</v>
      </c>
      <c r="C46" s="1">
        <v>0</v>
      </c>
      <c r="D46" s="1">
        <v>0</v>
      </c>
      <c r="E46" s="1">
        <v>0</v>
      </c>
      <c r="F46" s="1">
        <v>0</v>
      </c>
      <c r="G46" s="9">
        <f>SUM(RI_FINANCIAL)</f>
        <v>0</v>
      </c>
      <c r="L46" s="6"/>
      <c r="V46" s="9"/>
    </row>
    <row r="47" spans="1:22">
      <c r="A47" s="1" t="s">
        <v>68</v>
      </c>
      <c r="B47" s="6">
        <v>0</v>
      </c>
      <c r="C47" s="1">
        <v>0</v>
      </c>
      <c r="D47" s="1">
        <v>0</v>
      </c>
      <c r="E47" s="1">
        <v>0</v>
      </c>
      <c r="F47" s="1">
        <v>0</v>
      </c>
      <c r="G47" s="9">
        <f>SUM(SC_FINANCIAL)</f>
        <v>0</v>
      </c>
      <c r="L47" s="6"/>
      <c r="V47" s="9"/>
    </row>
    <row r="48" spans="1:22">
      <c r="A48" s="1" t="s">
        <v>69</v>
      </c>
      <c r="B48" s="6">
        <v>0</v>
      </c>
      <c r="C48" s="1">
        <v>0</v>
      </c>
      <c r="D48" s="1">
        <v>0</v>
      </c>
      <c r="E48" s="1">
        <v>0</v>
      </c>
      <c r="F48" s="1">
        <v>0</v>
      </c>
      <c r="G48" s="9">
        <f>SUM(SD_FINANCIAL)</f>
        <v>0</v>
      </c>
      <c r="L48" s="6"/>
      <c r="V48" s="9"/>
    </row>
    <row r="49" spans="1:22">
      <c r="A49" s="1" t="s">
        <v>70</v>
      </c>
      <c r="B49" s="6">
        <v>758834.25356684742</v>
      </c>
      <c r="C49" s="1">
        <v>0</v>
      </c>
      <c r="D49" s="1">
        <v>-271.2499999999394</v>
      </c>
      <c r="E49" s="1">
        <v>0</v>
      </c>
      <c r="F49" s="1">
        <v>0</v>
      </c>
      <c r="G49" s="9">
        <f>SUM(TN_FINANCIAL)</f>
        <v>758563.00356684753</v>
      </c>
      <c r="L49" s="6"/>
      <c r="V49" s="9"/>
    </row>
    <row r="50" spans="1:22">
      <c r="A50" s="1" t="s">
        <v>71</v>
      </c>
      <c r="B50" s="6">
        <v>0</v>
      </c>
      <c r="C50" s="1">
        <v>0</v>
      </c>
      <c r="D50" s="1">
        <v>0</v>
      </c>
      <c r="E50" s="1">
        <v>0</v>
      </c>
      <c r="F50" s="1">
        <v>0</v>
      </c>
      <c r="G50" s="9">
        <f>SUM(TX_FINANCIAL)</f>
        <v>0</v>
      </c>
      <c r="L50" s="6"/>
      <c r="V50" s="9"/>
    </row>
    <row r="51" spans="1:22">
      <c r="A51" s="1" t="s">
        <v>72</v>
      </c>
      <c r="B51" s="6">
        <v>0</v>
      </c>
      <c r="C51" s="1">
        <v>0</v>
      </c>
      <c r="D51" s="1">
        <v>0</v>
      </c>
      <c r="E51" s="1">
        <v>0</v>
      </c>
      <c r="F51" s="1">
        <v>0</v>
      </c>
      <c r="G51" s="9">
        <f>SUM(UT_FINANCIAL)</f>
        <v>0</v>
      </c>
      <c r="L51" s="6"/>
      <c r="V51" s="9"/>
    </row>
    <row r="52" spans="1:22">
      <c r="A52" s="1" t="s">
        <v>73</v>
      </c>
      <c r="B52" s="6">
        <v>0</v>
      </c>
      <c r="C52" s="1">
        <v>0</v>
      </c>
      <c r="D52" s="1">
        <v>0</v>
      </c>
      <c r="E52" s="1">
        <v>0</v>
      </c>
      <c r="F52" s="1">
        <v>0</v>
      </c>
      <c r="G52" s="9">
        <f>SUM(VT_FINANCIAL)</f>
        <v>0</v>
      </c>
      <c r="L52" s="6"/>
      <c r="V52" s="9"/>
    </row>
    <row r="53" spans="1:22">
      <c r="A53" s="1" t="s">
        <v>74</v>
      </c>
      <c r="B53" s="6">
        <v>0</v>
      </c>
      <c r="C53" s="1">
        <v>0</v>
      </c>
      <c r="D53" s="1">
        <v>0</v>
      </c>
      <c r="E53" s="1">
        <v>0</v>
      </c>
      <c r="F53" s="1">
        <v>0</v>
      </c>
      <c r="G53" s="9">
        <f>SUM(VA_FINANCIAL)</f>
        <v>0</v>
      </c>
      <c r="L53" s="6"/>
      <c r="V53" s="9"/>
    </row>
    <row r="54" spans="1:22">
      <c r="A54" s="1" t="s">
        <v>75</v>
      </c>
      <c r="B54" s="6">
        <v>0</v>
      </c>
      <c r="C54" s="1">
        <v>0</v>
      </c>
      <c r="D54" s="1">
        <v>0</v>
      </c>
      <c r="E54" s="1">
        <v>0</v>
      </c>
      <c r="F54" s="1">
        <v>0</v>
      </c>
      <c r="G54" s="9">
        <f>SUM(WA_FINANCIAL)</f>
        <v>0</v>
      </c>
      <c r="L54" s="6"/>
      <c r="V54" s="9"/>
    </row>
    <row r="55" spans="1:22">
      <c r="A55" s="1" t="s">
        <v>76</v>
      </c>
      <c r="B55" s="6">
        <v>0</v>
      </c>
      <c r="C55" s="1">
        <v>0</v>
      </c>
      <c r="D55" s="1">
        <v>0</v>
      </c>
      <c r="E55" s="1">
        <v>0</v>
      </c>
      <c r="F55" s="1">
        <v>0</v>
      </c>
      <c r="G55" s="9">
        <f>SUM(WV_FINANCIAL)</f>
        <v>0</v>
      </c>
      <c r="L55" s="6"/>
      <c r="V55" s="9"/>
    </row>
    <row r="56" spans="1:22">
      <c r="A56" s="1" t="s">
        <v>77</v>
      </c>
      <c r="B56" s="6">
        <v>0</v>
      </c>
      <c r="C56" s="1">
        <v>0</v>
      </c>
      <c r="D56" s="1">
        <v>0</v>
      </c>
      <c r="E56" s="1">
        <v>0</v>
      </c>
      <c r="F56" s="1">
        <v>0</v>
      </c>
      <c r="G56" s="9">
        <f>SUM(WI_FINANCIAL)</f>
        <v>0</v>
      </c>
      <c r="L56" s="6"/>
      <c r="V56" s="9"/>
    </row>
    <row r="57" spans="1:22">
      <c r="A57" s="1" t="s">
        <v>78</v>
      </c>
      <c r="B57" s="6">
        <v>0</v>
      </c>
      <c r="C57" s="1">
        <v>0</v>
      </c>
      <c r="D57" s="1">
        <v>0</v>
      </c>
      <c r="E57" s="1">
        <v>0</v>
      </c>
      <c r="F57" s="1">
        <v>0</v>
      </c>
      <c r="G57" s="9">
        <f>SUM(WY_FINANCIAL)</f>
        <v>0</v>
      </c>
      <c r="L57" s="6"/>
      <c r="V57" s="9"/>
    </row>
    <row r="58" spans="1:22">
      <c r="A58" s="1" t="s">
        <v>79</v>
      </c>
      <c r="B58" s="6">
        <v>0</v>
      </c>
      <c r="C58" s="1">
        <v>0</v>
      </c>
      <c r="D58" s="1">
        <v>0</v>
      </c>
      <c r="E58" s="1">
        <v>0</v>
      </c>
      <c r="F58" s="1">
        <v>0</v>
      </c>
      <c r="G58" s="9">
        <f>SUM(OT_FINANCIAL)</f>
        <v>0</v>
      </c>
      <c r="L58" s="6"/>
      <c r="V58" s="9"/>
    </row>
    <row r="59" spans="1:22">
      <c r="B59" s="6"/>
      <c r="G59" s="9"/>
      <c r="L59" s="6"/>
      <c r="V59" s="9"/>
    </row>
    <row r="60" spans="1:22">
      <c r="A60" s="1" t="s">
        <v>8</v>
      </c>
      <c r="B60" s="6">
        <f>SUM(LIFE)</f>
        <v>27012967.458309822</v>
      </c>
      <c r="C60" s="1">
        <f>SUM(ALLOCATED)</f>
        <v>0</v>
      </c>
      <c r="D60" s="1">
        <f>SUM(HEALTH)</f>
        <v>45095.769999998709</v>
      </c>
      <c r="E60" s="1">
        <f>SUM(UNALLOCATED)</f>
        <v>0</v>
      </c>
      <c r="F60" s="1">
        <f>SUM(LTC)</f>
        <v>0</v>
      </c>
      <c r="G60" s="9">
        <f>SUM(ALL_BLOCKS)</f>
        <v>27058063.228309821</v>
      </c>
      <c r="L60" s="6">
        <f>SUM(LIFE_CALLED)</f>
        <v>0</v>
      </c>
      <c r="M60" s="1">
        <f>SUM(LIFE_REFUNDED)</f>
        <v>0</v>
      </c>
      <c r="O60" s="1">
        <f>SUM(ALLOC_CALLED)</f>
        <v>0</v>
      </c>
      <c r="P60" s="1">
        <f>SUM(ALLOC_REFUNDED)</f>
        <v>0</v>
      </c>
      <c r="R60" s="1">
        <f>SUM(HEALTH_CALLED)</f>
        <v>0</v>
      </c>
      <c r="S60" s="1">
        <f>SUM(HEALTH_REFUNDED)</f>
        <v>0</v>
      </c>
      <c r="U60" s="1">
        <f>SUM(UNALLOC_CALLED)</f>
        <v>0</v>
      </c>
      <c r="V60" s="9">
        <f>SUM(UNALLOC_REFUNDED)</f>
        <v>0</v>
      </c>
    </row>
    <row r="61" spans="1:22" ht="5.0999999999999996" customHeight="1">
      <c r="B61" s="6"/>
      <c r="G61" s="9"/>
      <c r="L61" s="6"/>
      <c r="V61" s="9"/>
    </row>
    <row r="62" spans="1:22">
      <c r="B62" s="6"/>
      <c r="G62" s="9"/>
      <c r="L62" s="78" t="s">
        <v>80</v>
      </c>
      <c r="M62" s="79"/>
      <c r="N62" s="79"/>
      <c r="O62" s="79"/>
      <c r="P62" s="79"/>
      <c r="Q62" s="79"/>
      <c r="R62" s="79"/>
      <c r="S62" s="79"/>
      <c r="T62" s="79"/>
      <c r="U62" s="79"/>
      <c r="V62" s="80"/>
    </row>
    <row r="63" spans="1:22">
      <c r="B63" s="6"/>
      <c r="G63" s="9"/>
      <c r="L63" s="81"/>
      <c r="M63" s="79"/>
      <c r="N63" s="79"/>
      <c r="O63" s="79"/>
      <c r="P63" s="79"/>
      <c r="Q63" s="79"/>
      <c r="R63" s="79"/>
      <c r="S63" s="79"/>
      <c r="T63" s="79"/>
      <c r="U63" s="79"/>
      <c r="V63" s="80"/>
    </row>
    <row r="64" spans="1:22">
      <c r="B64" s="8"/>
      <c r="C64" s="5"/>
      <c r="D64" s="5"/>
      <c r="E64" s="5"/>
      <c r="F64" s="5"/>
      <c r="G64" s="11"/>
      <c r="L64" s="82"/>
      <c r="M64" s="83"/>
      <c r="N64" s="83"/>
      <c r="O64" s="83"/>
      <c r="P64" s="83"/>
      <c r="Q64" s="83"/>
      <c r="R64" s="83"/>
      <c r="S64" s="83"/>
      <c r="T64" s="83"/>
      <c r="U64" s="83"/>
      <c r="V64" s="84"/>
    </row>
  </sheetData>
  <mergeCells count="8">
    <mergeCell ref="L62:V64"/>
    <mergeCell ref="A1:G1"/>
    <mergeCell ref="B3:G3"/>
    <mergeCell ref="L3:V3"/>
    <mergeCell ref="L4:M4"/>
    <mergeCell ref="O4:P4"/>
    <mergeCell ref="R4:S4"/>
    <mergeCell ref="U4:V4"/>
  </mergeCells>
  <pageMargins left="0" right="0" top="0" bottom="0" header="0" footer="0"/>
  <pageSetup scale="48"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V64"/>
  <sheetViews>
    <sheetView zoomScale="75" workbookViewId="0">
      <selection sqref="A1:G1"/>
    </sheetView>
  </sheetViews>
  <sheetFormatPr defaultColWidth="9.109375" defaultRowHeight="14.4"/>
  <cols>
    <col min="1" max="1" width="20" style="1" customWidth="1"/>
    <col min="2" max="7" width="15" style="1" customWidth="1"/>
    <col min="8" max="8" width="1" style="1" customWidth="1"/>
    <col min="9" max="9" width="30" style="1" customWidth="1"/>
    <col min="10" max="10" width="15" style="1" customWidth="1"/>
    <col min="11" max="11" width="1" style="1" customWidth="1"/>
    <col min="12" max="13" width="15" style="1" customWidth="1"/>
    <col min="14" max="14" width="1" style="1" customWidth="1"/>
    <col min="15" max="16" width="15" style="1" customWidth="1"/>
    <col min="17" max="17" width="1" style="1" customWidth="1"/>
    <col min="18" max="19" width="15" style="1" customWidth="1"/>
    <col min="20" max="20" width="1" style="1" customWidth="1"/>
    <col min="21" max="22" width="15" style="1" customWidth="1"/>
    <col min="23" max="23" width="9.109375" style="1" customWidth="1"/>
    <col min="24" max="16384" width="9.109375" style="1"/>
  </cols>
  <sheetData>
    <row r="1" spans="1:22">
      <c r="A1" s="85" t="s">
        <v>97</v>
      </c>
      <c r="B1" s="79"/>
      <c r="C1" s="79"/>
      <c r="D1" s="79"/>
      <c r="E1" s="79"/>
      <c r="F1" s="79"/>
      <c r="G1" s="79"/>
    </row>
    <row r="3" spans="1:22">
      <c r="B3" s="86" t="s">
        <v>1</v>
      </c>
      <c r="C3" s="87"/>
      <c r="D3" s="87"/>
      <c r="E3" s="87"/>
      <c r="F3" s="87"/>
      <c r="G3" s="88"/>
      <c r="L3" s="89" t="s">
        <v>2</v>
      </c>
      <c r="M3" s="90"/>
      <c r="N3" s="90"/>
      <c r="O3" s="90"/>
      <c r="P3" s="90"/>
      <c r="Q3" s="90"/>
      <c r="R3" s="90"/>
      <c r="S3" s="90"/>
      <c r="T3" s="90"/>
      <c r="U3" s="90"/>
      <c r="V3" s="91"/>
    </row>
    <row r="4" spans="1:22">
      <c r="B4" s="6"/>
      <c r="G4" s="9"/>
      <c r="L4" s="92" t="s">
        <v>3</v>
      </c>
      <c r="M4" s="93"/>
      <c r="N4" s="3"/>
      <c r="O4" s="94" t="s">
        <v>4</v>
      </c>
      <c r="P4" s="93"/>
      <c r="Q4" s="3"/>
      <c r="R4" s="94" t="s">
        <v>5</v>
      </c>
      <c r="S4" s="93"/>
      <c r="T4" s="3"/>
      <c r="U4" s="94" t="s">
        <v>6</v>
      </c>
      <c r="V4" s="95"/>
    </row>
    <row r="5" spans="1:22" ht="60" customHeight="1">
      <c r="B5" s="7" t="s">
        <v>3</v>
      </c>
      <c r="C5" s="4" t="s">
        <v>4</v>
      </c>
      <c r="D5" s="4" t="s">
        <v>5</v>
      </c>
      <c r="E5" s="4" t="s">
        <v>6</v>
      </c>
      <c r="F5" s="4" t="s">
        <v>7</v>
      </c>
      <c r="G5" s="10" t="s">
        <v>8</v>
      </c>
      <c r="L5" s="19" t="s">
        <v>9</v>
      </c>
      <c r="M5" s="18" t="s">
        <v>10</v>
      </c>
      <c r="N5" s="18"/>
      <c r="O5" s="18" t="s">
        <v>9</v>
      </c>
      <c r="P5" s="18" t="s">
        <v>10</v>
      </c>
      <c r="Q5" s="18"/>
      <c r="R5" s="18" t="s">
        <v>9</v>
      </c>
      <c r="S5" s="18" t="s">
        <v>10</v>
      </c>
      <c r="T5" s="18"/>
      <c r="U5" s="18" t="s">
        <v>9</v>
      </c>
      <c r="V5" s="20" t="s">
        <v>10</v>
      </c>
    </row>
    <row r="6" spans="1:22">
      <c r="A6" s="1" t="s">
        <v>11</v>
      </c>
      <c r="B6" s="6">
        <v>0</v>
      </c>
      <c r="C6" s="1">
        <v>0</v>
      </c>
      <c r="D6" s="1">
        <v>3874.9445934012765</v>
      </c>
      <c r="E6" s="1">
        <v>0</v>
      </c>
      <c r="F6" s="1">
        <v>0</v>
      </c>
      <c r="G6" s="9">
        <f>SUM(AL_FINANCIAL)</f>
        <v>3874.9445934012765</v>
      </c>
      <c r="L6" s="6"/>
      <c r="V6" s="9"/>
    </row>
    <row r="7" spans="1:22">
      <c r="A7" s="1" t="s">
        <v>12</v>
      </c>
      <c r="B7" s="6">
        <v>0</v>
      </c>
      <c r="C7" s="1">
        <v>0</v>
      </c>
      <c r="D7" s="1">
        <v>-3166.1138870076393</v>
      </c>
      <c r="E7" s="1">
        <v>0</v>
      </c>
      <c r="F7" s="1">
        <v>0</v>
      </c>
      <c r="G7" s="9">
        <f>SUM(AK_FINANCIAL)</f>
        <v>-3166.1138870076393</v>
      </c>
      <c r="I7" s="12"/>
      <c r="J7" s="15"/>
      <c r="L7" s="6">
        <v>0</v>
      </c>
      <c r="M7" s="1">
        <v>0</v>
      </c>
      <c r="O7" s="1">
        <v>0</v>
      </c>
      <c r="P7" s="1">
        <v>0</v>
      </c>
      <c r="R7" s="1">
        <v>25000</v>
      </c>
      <c r="S7" s="1">
        <v>20000</v>
      </c>
      <c r="U7" s="1">
        <v>0</v>
      </c>
      <c r="V7" s="9">
        <v>0</v>
      </c>
    </row>
    <row r="8" spans="1:22">
      <c r="A8" s="1" t="s">
        <v>13</v>
      </c>
      <c r="B8" s="6">
        <v>0</v>
      </c>
      <c r="C8" s="1">
        <v>0</v>
      </c>
      <c r="D8" s="1">
        <v>55238.048798403004</v>
      </c>
      <c r="E8" s="1">
        <v>0</v>
      </c>
      <c r="F8" s="1">
        <v>0</v>
      </c>
      <c r="G8" s="9">
        <f>SUM(AZ_FINANCIAL)</f>
        <v>55238.048798403004</v>
      </c>
      <c r="I8" s="13" t="s">
        <v>14</v>
      </c>
      <c r="J8" s="16"/>
      <c r="L8" s="6">
        <v>0</v>
      </c>
      <c r="M8" s="1">
        <v>0</v>
      </c>
      <c r="O8" s="1">
        <v>0</v>
      </c>
      <c r="P8" s="1">
        <v>0</v>
      </c>
      <c r="R8" s="1">
        <v>0</v>
      </c>
      <c r="S8" s="1">
        <v>0</v>
      </c>
      <c r="U8" s="1">
        <v>0</v>
      </c>
      <c r="V8" s="9">
        <v>0</v>
      </c>
    </row>
    <row r="9" spans="1:22">
      <c r="A9" s="1" t="s">
        <v>15</v>
      </c>
      <c r="B9" s="6">
        <v>0</v>
      </c>
      <c r="C9" s="1">
        <v>0</v>
      </c>
      <c r="D9" s="1">
        <v>19304.551228166325</v>
      </c>
      <c r="E9" s="1">
        <v>0</v>
      </c>
      <c r="F9" s="1">
        <v>0</v>
      </c>
      <c r="G9" s="9">
        <f>SUM(AR_FINANCIAL)</f>
        <v>19304.551228166325</v>
      </c>
      <c r="I9" s="13"/>
      <c r="J9" s="16"/>
      <c r="L9" s="6">
        <v>0</v>
      </c>
      <c r="M9" s="1">
        <v>0</v>
      </c>
      <c r="O9" s="1">
        <v>0</v>
      </c>
      <c r="P9" s="1">
        <v>0</v>
      </c>
      <c r="R9" s="1">
        <v>822261</v>
      </c>
      <c r="S9" s="1">
        <v>0</v>
      </c>
      <c r="U9" s="1">
        <v>0</v>
      </c>
      <c r="V9" s="9">
        <v>0</v>
      </c>
    </row>
    <row r="10" spans="1:22">
      <c r="A10" s="1" t="s">
        <v>16</v>
      </c>
      <c r="B10" s="6">
        <v>0</v>
      </c>
      <c r="C10" s="1">
        <v>0</v>
      </c>
      <c r="D10" s="1">
        <v>568284.05454954412</v>
      </c>
      <c r="E10" s="1">
        <v>0</v>
      </c>
      <c r="F10" s="1">
        <v>0</v>
      </c>
      <c r="G10" s="9">
        <f>SUM(CA_FINANCIAL)</f>
        <v>568284.05454954412</v>
      </c>
      <c r="I10" s="13" t="s">
        <v>17</v>
      </c>
      <c r="J10" s="16">
        <v>60742961.978204124</v>
      </c>
      <c r="L10" s="6">
        <v>0</v>
      </c>
      <c r="M10" s="1">
        <v>0</v>
      </c>
      <c r="O10" s="1">
        <v>0</v>
      </c>
      <c r="P10" s="1">
        <v>0</v>
      </c>
      <c r="R10" s="1">
        <v>4000000</v>
      </c>
      <c r="S10" s="1">
        <v>3125000</v>
      </c>
      <c r="U10" s="1">
        <v>0</v>
      </c>
      <c r="V10" s="9">
        <v>0</v>
      </c>
    </row>
    <row r="11" spans="1:22">
      <c r="A11" s="1" t="s">
        <v>18</v>
      </c>
      <c r="B11" s="6">
        <v>0</v>
      </c>
      <c r="C11" s="1">
        <v>0</v>
      </c>
      <c r="D11" s="1">
        <v>4171.9436351596378</v>
      </c>
      <c r="E11" s="1">
        <v>0</v>
      </c>
      <c r="F11" s="1">
        <v>0</v>
      </c>
      <c r="G11" s="9">
        <f>SUM(CO_FINANCIAL)</f>
        <v>4171.9436351596378</v>
      </c>
      <c r="I11" s="13"/>
      <c r="J11" s="16"/>
      <c r="L11" s="6">
        <v>0</v>
      </c>
      <c r="M11" s="1">
        <v>0</v>
      </c>
      <c r="O11" s="1">
        <v>0</v>
      </c>
      <c r="P11" s="1">
        <v>0</v>
      </c>
      <c r="R11" s="1">
        <v>768000</v>
      </c>
      <c r="S11" s="1">
        <v>777442</v>
      </c>
      <c r="U11" s="1">
        <v>0</v>
      </c>
      <c r="V11" s="9">
        <v>0</v>
      </c>
    </row>
    <row r="12" spans="1:22">
      <c r="A12" s="1" t="s">
        <v>19</v>
      </c>
      <c r="B12" s="6">
        <v>0</v>
      </c>
      <c r="C12" s="1">
        <v>0</v>
      </c>
      <c r="D12" s="1">
        <v>-9352.1965238164557</v>
      </c>
      <c r="E12" s="1">
        <v>0</v>
      </c>
      <c r="F12" s="1">
        <v>0</v>
      </c>
      <c r="G12" s="9">
        <f>SUM(CT_FINANCIAL)</f>
        <v>-9352.1965238164557</v>
      </c>
      <c r="I12" s="13" t="s">
        <v>20</v>
      </c>
      <c r="J12" s="16"/>
      <c r="L12" s="6"/>
      <c r="V12" s="9"/>
    </row>
    <row r="13" spans="1:22">
      <c r="A13" s="1" t="s">
        <v>21</v>
      </c>
      <c r="B13" s="6">
        <v>0</v>
      </c>
      <c r="C13" s="1">
        <v>0</v>
      </c>
      <c r="D13" s="1">
        <v>-78220.837883310975</v>
      </c>
      <c r="E13" s="1">
        <v>0</v>
      </c>
      <c r="F13" s="1">
        <v>0</v>
      </c>
      <c r="G13" s="9">
        <f>SUM(DE_FINANCIAL)</f>
        <v>-78220.837883310975</v>
      </c>
      <c r="I13" s="13" t="s">
        <v>22</v>
      </c>
      <c r="J13" s="16">
        <v>41580577.440000005</v>
      </c>
      <c r="L13" s="6">
        <v>0</v>
      </c>
      <c r="M13" s="1">
        <v>0</v>
      </c>
      <c r="O13" s="1">
        <v>0</v>
      </c>
      <c r="P13" s="1">
        <v>0</v>
      </c>
      <c r="R13" s="1">
        <v>375000</v>
      </c>
      <c r="S13" s="1">
        <v>0</v>
      </c>
      <c r="U13" s="1">
        <v>0</v>
      </c>
      <c r="V13" s="9">
        <v>0</v>
      </c>
    </row>
    <row r="14" spans="1:22">
      <c r="A14" s="1" t="s">
        <v>23</v>
      </c>
      <c r="B14" s="6">
        <v>0</v>
      </c>
      <c r="C14" s="1">
        <v>0</v>
      </c>
      <c r="D14" s="1">
        <v>-8620.9350126974732</v>
      </c>
      <c r="E14" s="1">
        <v>0</v>
      </c>
      <c r="F14" s="1">
        <v>0</v>
      </c>
      <c r="G14" s="9">
        <f>SUM(DC_FINANCIAL)</f>
        <v>-8620.9350126974732</v>
      </c>
      <c r="I14" s="13" t="s">
        <v>24</v>
      </c>
      <c r="J14" s="16">
        <v>3742009.03</v>
      </c>
      <c r="L14" s="6"/>
      <c r="V14" s="9"/>
    </row>
    <row r="15" spans="1:22">
      <c r="A15" s="1" t="s">
        <v>25</v>
      </c>
      <c r="B15" s="6">
        <v>0</v>
      </c>
      <c r="C15" s="1">
        <v>0</v>
      </c>
      <c r="D15" s="1">
        <v>237851.78580260929</v>
      </c>
      <c r="E15" s="1">
        <v>0</v>
      </c>
      <c r="F15" s="1">
        <v>0</v>
      </c>
      <c r="G15" s="9">
        <f>SUM(FL_FINANCIAL)</f>
        <v>237851.78580260929</v>
      </c>
      <c r="I15" s="13" t="s">
        <v>26</v>
      </c>
      <c r="J15" s="16">
        <v>2499316.1999999997</v>
      </c>
      <c r="L15" s="6"/>
      <c r="V15" s="9"/>
    </row>
    <row r="16" spans="1:22">
      <c r="A16" s="1" t="s">
        <v>27</v>
      </c>
      <c r="B16" s="6">
        <v>0</v>
      </c>
      <c r="C16" s="1">
        <v>0</v>
      </c>
      <c r="D16" s="1">
        <v>-169823.37518123584</v>
      </c>
      <c r="E16" s="1">
        <v>0</v>
      </c>
      <c r="F16" s="1">
        <v>0</v>
      </c>
      <c r="G16" s="9">
        <f>SUM(GA_FINANCIAL)</f>
        <v>-169823.37518123584</v>
      </c>
      <c r="I16" s="13" t="s">
        <v>28</v>
      </c>
      <c r="J16" s="16">
        <v>0</v>
      </c>
      <c r="L16" s="6"/>
      <c r="V16" s="9"/>
    </row>
    <row r="17" spans="1:22">
      <c r="A17" s="1" t="s">
        <v>29</v>
      </c>
      <c r="B17" s="6">
        <v>0</v>
      </c>
      <c r="C17" s="1">
        <v>0</v>
      </c>
      <c r="D17" s="1">
        <v>-88980.786807353637</v>
      </c>
      <c r="E17" s="1">
        <v>0</v>
      </c>
      <c r="F17" s="1">
        <v>0</v>
      </c>
      <c r="G17" s="9">
        <f>SUM(HI_FINANCIAL)</f>
        <v>-88980.786807353637</v>
      </c>
      <c r="I17" s="13"/>
      <c r="J17" s="16"/>
      <c r="L17" s="6"/>
      <c r="V17" s="9"/>
    </row>
    <row r="18" spans="1:22">
      <c r="A18" s="1" t="s">
        <v>30</v>
      </c>
      <c r="B18" s="6">
        <v>0</v>
      </c>
      <c r="C18" s="1">
        <v>0</v>
      </c>
      <c r="D18" s="1">
        <v>-17215.527643896865</v>
      </c>
      <c r="E18" s="1">
        <v>0</v>
      </c>
      <c r="F18" s="1">
        <v>0</v>
      </c>
      <c r="G18" s="9">
        <f>SUM(ID_FINANCIAL)</f>
        <v>-17215.527643896865</v>
      </c>
      <c r="I18" s="13" t="s">
        <v>31</v>
      </c>
      <c r="J18" s="16"/>
      <c r="L18" s="6"/>
      <c r="V18" s="9"/>
    </row>
    <row r="19" spans="1:22">
      <c r="A19" s="1" t="s">
        <v>32</v>
      </c>
      <c r="B19" s="6">
        <v>0</v>
      </c>
      <c r="C19" s="1">
        <v>0</v>
      </c>
      <c r="D19" s="1">
        <v>-200180.71585663455</v>
      </c>
      <c r="E19" s="1">
        <v>0</v>
      </c>
      <c r="F19" s="1">
        <v>0</v>
      </c>
      <c r="G19" s="9">
        <f>SUM(IL_FINANCIAL)</f>
        <v>-200180.71585663455</v>
      </c>
      <c r="I19" s="13" t="s">
        <v>33</v>
      </c>
      <c r="J19" s="16">
        <v>19253402.569149315</v>
      </c>
      <c r="L19" s="6">
        <v>500000</v>
      </c>
      <c r="M19" s="1">
        <v>600000</v>
      </c>
      <c r="O19" s="1">
        <v>100000</v>
      </c>
      <c r="P19" s="1">
        <v>50000</v>
      </c>
      <c r="R19" s="1">
        <v>4000000</v>
      </c>
      <c r="S19" s="1">
        <v>4350000</v>
      </c>
      <c r="U19" s="1">
        <v>0</v>
      </c>
      <c r="V19" s="9">
        <v>0</v>
      </c>
    </row>
    <row r="20" spans="1:22">
      <c r="A20" s="1" t="s">
        <v>34</v>
      </c>
      <c r="B20" s="6">
        <v>0</v>
      </c>
      <c r="C20" s="1">
        <v>0</v>
      </c>
      <c r="D20" s="1">
        <v>-81617.468767016195</v>
      </c>
      <c r="E20" s="1">
        <v>0</v>
      </c>
      <c r="F20" s="1">
        <v>0</v>
      </c>
      <c r="G20" s="9">
        <f>SUM(IN_FINANCIAL)</f>
        <v>-81617.468767016195</v>
      </c>
      <c r="I20" s="13" t="s">
        <v>35</v>
      </c>
      <c r="J20" s="16">
        <v>41580577.440000005</v>
      </c>
      <c r="L20" s="6">
        <v>0</v>
      </c>
      <c r="M20" s="1">
        <v>0</v>
      </c>
      <c r="O20" s="1">
        <v>0</v>
      </c>
      <c r="P20" s="1">
        <v>0</v>
      </c>
      <c r="R20" s="1">
        <v>1899405</v>
      </c>
      <c r="S20" s="1">
        <v>0</v>
      </c>
      <c r="U20" s="1">
        <v>0</v>
      </c>
      <c r="V20" s="9">
        <v>0</v>
      </c>
    </row>
    <row r="21" spans="1:22">
      <c r="A21" s="1" t="s">
        <v>36</v>
      </c>
      <c r="B21" s="6">
        <v>0</v>
      </c>
      <c r="C21" s="1">
        <v>0</v>
      </c>
      <c r="D21" s="1">
        <v>-33887.072379988938</v>
      </c>
      <c r="E21" s="1">
        <v>0</v>
      </c>
      <c r="F21" s="1">
        <v>0</v>
      </c>
      <c r="G21" s="9">
        <f>SUM(IA_FINANCIAL)</f>
        <v>-33887.072379988938</v>
      </c>
      <c r="I21" s="13" t="s">
        <v>37</v>
      </c>
      <c r="J21" s="16"/>
      <c r="L21" s="6"/>
      <c r="V21" s="9"/>
    </row>
    <row r="22" spans="1:22">
      <c r="A22" s="1" t="s">
        <v>38</v>
      </c>
      <c r="B22" s="6">
        <v>0</v>
      </c>
      <c r="C22" s="1">
        <v>0</v>
      </c>
      <c r="D22" s="1">
        <v>300577.7467150609</v>
      </c>
      <c r="E22" s="1">
        <v>0</v>
      </c>
      <c r="F22" s="1">
        <v>0</v>
      </c>
      <c r="G22" s="9">
        <f>SUM(KS_FINANCIAL)</f>
        <v>300577.7467150609</v>
      </c>
      <c r="I22" s="13" t="s">
        <v>39</v>
      </c>
      <c r="J22" s="16">
        <v>0</v>
      </c>
      <c r="L22" s="6"/>
      <c r="V22" s="9"/>
    </row>
    <row r="23" spans="1:22">
      <c r="A23" s="1" t="s">
        <v>40</v>
      </c>
      <c r="B23" s="6">
        <v>0</v>
      </c>
      <c r="C23" s="1">
        <v>0</v>
      </c>
      <c r="D23" s="1">
        <v>18668.675945510331</v>
      </c>
      <c r="E23" s="1">
        <v>0</v>
      </c>
      <c r="F23" s="1">
        <v>0</v>
      </c>
      <c r="G23" s="9">
        <f>SUM(KY_FINANCIAL)</f>
        <v>18668.675945510331</v>
      </c>
      <c r="I23" s="13" t="s">
        <v>41</v>
      </c>
      <c r="J23" s="16"/>
      <c r="L23" s="6"/>
      <c r="V23" s="9"/>
    </row>
    <row r="24" spans="1:22">
      <c r="A24" s="1" t="s">
        <v>42</v>
      </c>
      <c r="B24" s="6">
        <v>0</v>
      </c>
      <c r="C24" s="1">
        <v>0</v>
      </c>
      <c r="D24" s="1">
        <v>-61397.366331062745</v>
      </c>
      <c r="E24" s="1">
        <v>0</v>
      </c>
      <c r="F24" s="1">
        <v>0</v>
      </c>
      <c r="G24" s="9">
        <f>SUM(LA_FINANCIAL)</f>
        <v>-61397.366331062745</v>
      </c>
      <c r="I24" s="13" t="s">
        <v>43</v>
      </c>
      <c r="J24" s="16">
        <v>47911525.687784433</v>
      </c>
      <c r="L24" s="6">
        <v>8479</v>
      </c>
      <c r="M24" s="1">
        <v>0</v>
      </c>
      <c r="O24" s="1">
        <v>0</v>
      </c>
      <c r="P24" s="1">
        <v>0</v>
      </c>
      <c r="R24" s="1">
        <v>893521</v>
      </c>
      <c r="S24" s="1">
        <v>0</v>
      </c>
      <c r="U24" s="1">
        <v>0</v>
      </c>
      <c r="V24" s="9">
        <v>0</v>
      </c>
    </row>
    <row r="25" spans="1:22">
      <c r="A25" s="1" t="s">
        <v>44</v>
      </c>
      <c r="B25" s="6">
        <v>0</v>
      </c>
      <c r="C25" s="1">
        <v>0</v>
      </c>
      <c r="D25" s="1">
        <v>-6398.9049238634225</v>
      </c>
      <c r="E25" s="1">
        <v>0</v>
      </c>
      <c r="F25" s="1">
        <v>0</v>
      </c>
      <c r="G25" s="9">
        <f>SUM(ME_FINANCIAL)</f>
        <v>-6398.9049238634225</v>
      </c>
      <c r="I25" s="13"/>
      <c r="J25" s="16"/>
      <c r="L25" s="6"/>
      <c r="V25" s="9"/>
    </row>
    <row r="26" spans="1:22">
      <c r="A26" s="1" t="s">
        <v>45</v>
      </c>
      <c r="B26" s="6">
        <v>0</v>
      </c>
      <c r="C26" s="1">
        <v>0</v>
      </c>
      <c r="D26" s="1">
        <v>-1009.7255070811152</v>
      </c>
      <c r="E26" s="1">
        <v>0</v>
      </c>
      <c r="F26" s="1">
        <v>0</v>
      </c>
      <c r="G26" s="9">
        <f>SUM(MD_FINANCIAL)</f>
        <v>-1009.7255070811152</v>
      </c>
      <c r="I26" s="13" t="s">
        <v>46</v>
      </c>
      <c r="J26" s="16">
        <f>SUM(ADD_FINANCIAL)-SUM(LESS_FINANCIAL)</f>
        <v>-180641.04872961342</v>
      </c>
      <c r="L26" s="6"/>
      <c r="V26" s="9"/>
    </row>
    <row r="27" spans="1:22">
      <c r="A27" s="1" t="s">
        <v>47</v>
      </c>
      <c r="B27" s="6">
        <v>0</v>
      </c>
      <c r="C27" s="1">
        <v>0</v>
      </c>
      <c r="D27" s="1">
        <v>6300.6936214035959</v>
      </c>
      <c r="E27" s="1">
        <v>0</v>
      </c>
      <c r="F27" s="1">
        <v>0</v>
      </c>
      <c r="G27" s="9">
        <f>SUM(MA_FINANCIAL)</f>
        <v>6300.6936214035959</v>
      </c>
      <c r="I27" s="13" t="s">
        <v>48</v>
      </c>
      <c r="J27" s="16">
        <f>SUM(ALL_BLOCKS)</f>
        <v>-180641.04872965094</v>
      </c>
      <c r="L27" s="6"/>
      <c r="V27" s="9"/>
    </row>
    <row r="28" spans="1:22">
      <c r="A28" s="1" t="s">
        <v>49</v>
      </c>
      <c r="B28" s="6">
        <v>10961</v>
      </c>
      <c r="C28" s="1">
        <v>0</v>
      </c>
      <c r="D28" s="1">
        <v>-265205.13900687784</v>
      </c>
      <c r="E28" s="1">
        <v>0</v>
      </c>
      <c r="F28" s="1">
        <v>0</v>
      </c>
      <c r="G28" s="9">
        <f>SUM(MI_FINANCIAL)</f>
        <v>-254244.13900687784</v>
      </c>
      <c r="I28" s="14"/>
      <c r="J28" s="17"/>
      <c r="L28" s="6"/>
      <c r="V28" s="9"/>
    </row>
    <row r="29" spans="1:22">
      <c r="A29" s="1" t="s">
        <v>50</v>
      </c>
      <c r="B29" s="6">
        <v>0</v>
      </c>
      <c r="C29" s="1">
        <v>0</v>
      </c>
      <c r="D29" s="1">
        <v>-27620.434546913762</v>
      </c>
      <c r="E29" s="1">
        <v>0</v>
      </c>
      <c r="F29" s="1">
        <v>0</v>
      </c>
      <c r="G29" s="9">
        <f>SUM(MN_FINANCIAL)</f>
        <v>-27620.434546913762</v>
      </c>
      <c r="L29" s="6">
        <v>0</v>
      </c>
      <c r="M29" s="1">
        <v>0</v>
      </c>
      <c r="O29" s="1">
        <v>0</v>
      </c>
      <c r="P29" s="1">
        <v>0</v>
      </c>
      <c r="R29" s="1">
        <v>300000</v>
      </c>
      <c r="S29" s="1">
        <v>0</v>
      </c>
      <c r="U29" s="1">
        <v>0</v>
      </c>
      <c r="V29" s="9">
        <v>0</v>
      </c>
    </row>
    <row r="30" spans="1:22">
      <c r="A30" s="1" t="s">
        <v>51</v>
      </c>
      <c r="B30" s="6">
        <v>0</v>
      </c>
      <c r="C30" s="1">
        <v>0</v>
      </c>
      <c r="D30" s="1">
        <v>38456.264529145905</v>
      </c>
      <c r="E30" s="1">
        <v>0</v>
      </c>
      <c r="F30" s="1">
        <v>0</v>
      </c>
      <c r="G30" s="9">
        <f>SUM(MS_FINANCIAL)</f>
        <v>38456.264529145905</v>
      </c>
      <c r="L30" s="6"/>
      <c r="V30" s="9"/>
    </row>
    <row r="31" spans="1:22">
      <c r="A31" s="1" t="s">
        <v>52</v>
      </c>
      <c r="B31" s="6">
        <v>0</v>
      </c>
      <c r="C31" s="1">
        <v>0</v>
      </c>
      <c r="D31" s="1">
        <v>33611.529028830701</v>
      </c>
      <c r="E31" s="1">
        <v>0</v>
      </c>
      <c r="F31" s="1">
        <v>0</v>
      </c>
      <c r="G31" s="9">
        <f>SUM(MO_FINANCIAL)</f>
        <v>33611.529028830701</v>
      </c>
      <c r="L31" s="6"/>
      <c r="V31" s="9"/>
    </row>
    <row r="32" spans="1:22">
      <c r="A32" s="1" t="s">
        <v>53</v>
      </c>
      <c r="B32" s="6">
        <v>0</v>
      </c>
      <c r="C32" s="1">
        <v>0</v>
      </c>
      <c r="D32" s="1">
        <v>-10628.114116534009</v>
      </c>
      <c r="E32" s="1">
        <v>0</v>
      </c>
      <c r="F32" s="1">
        <v>0</v>
      </c>
      <c r="G32" s="9">
        <f>SUM(MT_FINANCIAL)</f>
        <v>-10628.114116534009</v>
      </c>
      <c r="L32" s="6">
        <v>0</v>
      </c>
      <c r="M32" s="1">
        <v>0</v>
      </c>
      <c r="O32" s="1">
        <v>0</v>
      </c>
      <c r="P32" s="1">
        <v>0</v>
      </c>
      <c r="R32" s="1">
        <v>120000</v>
      </c>
      <c r="S32" s="1">
        <v>0</v>
      </c>
      <c r="U32" s="1">
        <v>0</v>
      </c>
      <c r="V32" s="9">
        <v>0</v>
      </c>
    </row>
    <row r="33" spans="1:22">
      <c r="A33" s="1" t="s">
        <v>54</v>
      </c>
      <c r="B33" s="6">
        <v>0</v>
      </c>
      <c r="C33" s="1">
        <v>0</v>
      </c>
      <c r="D33" s="1">
        <v>-15623.362177608295</v>
      </c>
      <c r="E33" s="1">
        <v>0</v>
      </c>
      <c r="F33" s="1">
        <v>0</v>
      </c>
      <c r="G33" s="9">
        <f>SUM(NE_FINANCIAL)</f>
        <v>-15623.362177608295</v>
      </c>
      <c r="L33" s="6"/>
      <c r="V33" s="9"/>
    </row>
    <row r="34" spans="1:22">
      <c r="A34" s="1" t="s">
        <v>55</v>
      </c>
      <c r="B34" s="6">
        <v>0</v>
      </c>
      <c r="C34" s="1">
        <v>0</v>
      </c>
      <c r="D34" s="1">
        <v>14589.027110384894</v>
      </c>
      <c r="E34" s="1">
        <v>0</v>
      </c>
      <c r="F34" s="1">
        <v>0</v>
      </c>
      <c r="G34" s="9">
        <f>SUM(NV_FINANCIAL)</f>
        <v>14589.027110384894</v>
      </c>
      <c r="L34" s="6">
        <v>0</v>
      </c>
      <c r="M34" s="1">
        <v>0</v>
      </c>
      <c r="O34" s="1">
        <v>0</v>
      </c>
      <c r="P34" s="1">
        <v>0</v>
      </c>
      <c r="R34" s="1">
        <v>759000</v>
      </c>
      <c r="S34" s="1">
        <v>0</v>
      </c>
      <c r="U34" s="1">
        <v>0</v>
      </c>
      <c r="V34" s="9">
        <v>0</v>
      </c>
    </row>
    <row r="35" spans="1:22">
      <c r="A35" s="1" t="s">
        <v>56</v>
      </c>
      <c r="B35" s="6">
        <v>0</v>
      </c>
      <c r="C35" s="1">
        <v>0</v>
      </c>
      <c r="D35" s="1">
        <v>-6041.26163744925</v>
      </c>
      <c r="E35" s="1">
        <v>0</v>
      </c>
      <c r="F35" s="1">
        <v>0</v>
      </c>
      <c r="G35" s="9">
        <f>SUM(NH_FINANCIAL)</f>
        <v>-6041.26163744925</v>
      </c>
      <c r="L35" s="6"/>
      <c r="V35" s="9"/>
    </row>
    <row r="36" spans="1:22">
      <c r="A36" s="1" t="s">
        <v>57</v>
      </c>
      <c r="B36" s="6">
        <v>0</v>
      </c>
      <c r="C36" s="1">
        <v>0</v>
      </c>
      <c r="D36" s="1">
        <v>-51625.752553811762</v>
      </c>
      <c r="E36" s="1">
        <v>0</v>
      </c>
      <c r="F36" s="1">
        <v>0</v>
      </c>
      <c r="G36" s="9">
        <f>SUM(NJ_FINANCIAL)</f>
        <v>-51625.752553811762</v>
      </c>
      <c r="L36" s="6">
        <v>0</v>
      </c>
      <c r="M36" s="1">
        <v>0</v>
      </c>
      <c r="O36" s="1">
        <v>0</v>
      </c>
      <c r="P36" s="1">
        <v>0</v>
      </c>
      <c r="R36" s="1">
        <v>75000</v>
      </c>
      <c r="S36" s="1">
        <v>0</v>
      </c>
      <c r="U36" s="1">
        <v>0</v>
      </c>
      <c r="V36" s="9">
        <v>0</v>
      </c>
    </row>
    <row r="37" spans="1:22">
      <c r="A37" s="1" t="s">
        <v>58</v>
      </c>
      <c r="B37" s="6">
        <v>0</v>
      </c>
      <c r="C37" s="1">
        <v>0</v>
      </c>
      <c r="D37" s="1">
        <v>-110124.61545875872</v>
      </c>
      <c r="E37" s="1">
        <v>0</v>
      </c>
      <c r="F37" s="1">
        <v>0</v>
      </c>
      <c r="G37" s="9">
        <f>SUM(NM_FINANCIAL)</f>
        <v>-110124.61545875872</v>
      </c>
      <c r="L37" s="6"/>
      <c r="V37" s="9"/>
    </row>
    <row r="38" spans="1:22">
      <c r="A38" s="1" t="s">
        <v>59</v>
      </c>
      <c r="B38" s="6">
        <v>0</v>
      </c>
      <c r="C38" s="1">
        <v>0</v>
      </c>
      <c r="D38" s="1">
        <v>-148294.45468900117</v>
      </c>
      <c r="E38" s="1">
        <v>0</v>
      </c>
      <c r="F38" s="1">
        <v>0</v>
      </c>
      <c r="G38" s="9">
        <f>SUM(NY_FINANCIAL)</f>
        <v>-148294.45468900117</v>
      </c>
      <c r="L38" s="6"/>
      <c r="V38" s="9"/>
    </row>
    <row r="39" spans="1:22">
      <c r="A39" s="1" t="s">
        <v>60</v>
      </c>
      <c r="B39" s="6">
        <v>0</v>
      </c>
      <c r="C39" s="1">
        <v>0</v>
      </c>
      <c r="D39" s="1">
        <v>44794.752755964641</v>
      </c>
      <c r="E39" s="1">
        <v>0</v>
      </c>
      <c r="F39" s="1">
        <v>0</v>
      </c>
      <c r="G39" s="9">
        <f>SUM(NC_FINANCIAL)</f>
        <v>44794.752755964641</v>
      </c>
      <c r="L39" s="6">
        <v>190000</v>
      </c>
      <c r="M39" s="1">
        <v>0</v>
      </c>
      <c r="O39" s="1">
        <v>0</v>
      </c>
      <c r="P39" s="1">
        <v>0</v>
      </c>
      <c r="R39" s="1">
        <v>310000</v>
      </c>
      <c r="S39" s="1">
        <v>0</v>
      </c>
      <c r="U39" s="1">
        <v>0</v>
      </c>
      <c r="V39" s="9">
        <v>0</v>
      </c>
    </row>
    <row r="40" spans="1:22">
      <c r="A40" s="1" t="s">
        <v>61</v>
      </c>
      <c r="B40" s="6">
        <v>0</v>
      </c>
      <c r="C40" s="1">
        <v>0</v>
      </c>
      <c r="D40" s="1">
        <v>1025.1314272001364</v>
      </c>
      <c r="E40" s="1">
        <v>0</v>
      </c>
      <c r="F40" s="1">
        <v>0</v>
      </c>
      <c r="G40" s="9">
        <f>SUM(ND_FINANCIAL)</f>
        <v>1025.1314272001364</v>
      </c>
      <c r="L40" s="6"/>
      <c r="V40" s="9"/>
    </row>
    <row r="41" spans="1:22">
      <c r="A41" s="1" t="s">
        <v>62</v>
      </c>
      <c r="B41" s="6">
        <v>0</v>
      </c>
      <c r="C41" s="1">
        <v>0</v>
      </c>
      <c r="D41" s="1">
        <v>-19388.193628902081</v>
      </c>
      <c r="E41" s="1">
        <v>0</v>
      </c>
      <c r="F41" s="1">
        <v>0</v>
      </c>
      <c r="G41" s="9">
        <f>SUM(OH_FINANCIAL)</f>
        <v>-19388.193628902081</v>
      </c>
      <c r="L41" s="6"/>
      <c r="V41" s="9"/>
    </row>
    <row r="42" spans="1:22">
      <c r="A42" s="1" t="s">
        <v>63</v>
      </c>
      <c r="B42" s="6">
        <v>0</v>
      </c>
      <c r="C42" s="1">
        <v>0</v>
      </c>
      <c r="D42" s="1">
        <v>19124.527547587408</v>
      </c>
      <c r="E42" s="1">
        <v>0</v>
      </c>
      <c r="F42" s="1">
        <v>0</v>
      </c>
      <c r="G42" s="9">
        <f>SUM(OK_FINANCIAL)</f>
        <v>19124.527547587408</v>
      </c>
      <c r="L42" s="6">
        <v>40000</v>
      </c>
      <c r="M42" s="1">
        <v>42800</v>
      </c>
      <c r="O42" s="1">
        <v>0</v>
      </c>
      <c r="P42" s="1">
        <v>0</v>
      </c>
      <c r="R42" s="1">
        <v>1960000</v>
      </c>
      <c r="S42" s="1">
        <v>2032200</v>
      </c>
      <c r="U42" s="1">
        <v>0</v>
      </c>
      <c r="V42" s="9">
        <v>0</v>
      </c>
    </row>
    <row r="43" spans="1:22">
      <c r="A43" s="1" t="s">
        <v>64</v>
      </c>
      <c r="B43" s="6">
        <v>0</v>
      </c>
      <c r="C43" s="1">
        <v>0</v>
      </c>
      <c r="D43" s="1">
        <v>21952.044262305018</v>
      </c>
      <c r="E43" s="1">
        <v>0</v>
      </c>
      <c r="F43" s="1">
        <v>0</v>
      </c>
      <c r="G43" s="9">
        <f>SUM(OR_FINANCIAL)</f>
        <v>21952.044262305018</v>
      </c>
      <c r="L43" s="6"/>
      <c r="V43" s="9"/>
    </row>
    <row r="44" spans="1:22">
      <c r="A44" s="1" t="s">
        <v>65</v>
      </c>
      <c r="B44" s="6">
        <v>0</v>
      </c>
      <c r="C44" s="1">
        <v>0</v>
      </c>
      <c r="D44" s="1">
        <v>10456.801959780511</v>
      </c>
      <c r="E44" s="1">
        <v>0</v>
      </c>
      <c r="F44" s="1">
        <v>0</v>
      </c>
      <c r="G44" s="9">
        <f>SUM(PA_FINANCIAL)</f>
        <v>10456.801959780511</v>
      </c>
      <c r="L44" s="6"/>
      <c r="V44" s="9"/>
    </row>
    <row r="45" spans="1:22">
      <c r="A45" s="1" t="s">
        <v>66</v>
      </c>
      <c r="B45" s="6">
        <v>0</v>
      </c>
      <c r="C45" s="1">
        <v>0</v>
      </c>
      <c r="D45" s="1">
        <v>-7567.2698410309822</v>
      </c>
      <c r="E45" s="1">
        <v>0</v>
      </c>
      <c r="F45" s="1">
        <v>0</v>
      </c>
      <c r="G45" s="9">
        <f>SUM(PR_FINANCIAL)</f>
        <v>-7567.2698410309822</v>
      </c>
      <c r="L45" s="6">
        <v>0</v>
      </c>
      <c r="M45" s="1">
        <v>0</v>
      </c>
      <c r="O45" s="1">
        <v>0</v>
      </c>
      <c r="P45" s="1">
        <v>0</v>
      </c>
      <c r="R45" s="1">
        <v>108788</v>
      </c>
      <c r="S45" s="1">
        <v>0</v>
      </c>
      <c r="U45" s="1">
        <v>0</v>
      </c>
      <c r="V45" s="9">
        <v>0</v>
      </c>
    </row>
    <row r="46" spans="1:22">
      <c r="A46" s="1" t="s">
        <v>67</v>
      </c>
      <c r="B46" s="6">
        <v>0</v>
      </c>
      <c r="C46" s="1">
        <v>0</v>
      </c>
      <c r="D46" s="1">
        <v>-3988.27860882506</v>
      </c>
      <c r="E46" s="1">
        <v>0</v>
      </c>
      <c r="F46" s="1">
        <v>0</v>
      </c>
      <c r="G46" s="9">
        <f>SUM(RI_FINANCIAL)</f>
        <v>-3988.27860882506</v>
      </c>
      <c r="L46" s="6"/>
      <c r="V46" s="9"/>
    </row>
    <row r="47" spans="1:22">
      <c r="A47" s="1" t="s">
        <v>68</v>
      </c>
      <c r="B47" s="6">
        <v>4801</v>
      </c>
      <c r="C47" s="1">
        <v>0</v>
      </c>
      <c r="D47" s="1">
        <v>58303.789837433491</v>
      </c>
      <c r="E47" s="1">
        <v>0</v>
      </c>
      <c r="F47" s="1">
        <v>0</v>
      </c>
      <c r="G47" s="9">
        <f>SUM(SC_FINANCIAL)</f>
        <v>63104.789837433491</v>
      </c>
      <c r="L47" s="6"/>
      <c r="V47" s="9"/>
    </row>
    <row r="48" spans="1:22">
      <c r="A48" s="1" t="s">
        <v>69</v>
      </c>
      <c r="B48" s="6">
        <v>0</v>
      </c>
      <c r="C48" s="1">
        <v>0</v>
      </c>
      <c r="D48" s="1">
        <v>-20438.225363189376</v>
      </c>
      <c r="E48" s="1">
        <v>0</v>
      </c>
      <c r="F48" s="1">
        <v>0</v>
      </c>
      <c r="G48" s="9">
        <f>SUM(SD_FINANCIAL)</f>
        <v>-20438.225363189376</v>
      </c>
      <c r="L48" s="6"/>
      <c r="V48" s="9"/>
    </row>
    <row r="49" spans="1:22">
      <c r="A49" s="1" t="s">
        <v>70</v>
      </c>
      <c r="B49" s="6">
        <v>0</v>
      </c>
      <c r="C49" s="1">
        <v>0</v>
      </c>
      <c r="D49" s="1">
        <v>75717.26813775138</v>
      </c>
      <c r="E49" s="1">
        <v>0</v>
      </c>
      <c r="F49" s="1">
        <v>0</v>
      </c>
      <c r="G49" s="9">
        <f>SUM(TN_FINANCIAL)</f>
        <v>75717.26813775138</v>
      </c>
      <c r="L49" s="6"/>
      <c r="V49" s="9"/>
    </row>
    <row r="50" spans="1:22">
      <c r="A50" s="1" t="s">
        <v>71</v>
      </c>
      <c r="B50" s="6">
        <v>0</v>
      </c>
      <c r="C50" s="1">
        <v>0</v>
      </c>
      <c r="D50" s="1">
        <v>85484.769795624539</v>
      </c>
      <c r="E50" s="1">
        <v>0</v>
      </c>
      <c r="F50" s="1">
        <v>0</v>
      </c>
      <c r="G50" s="9">
        <f>SUM(TX_FINANCIAL)</f>
        <v>85484.769795624539</v>
      </c>
      <c r="L50" s="6">
        <v>50085</v>
      </c>
      <c r="M50" s="1">
        <v>42523</v>
      </c>
      <c r="O50" s="1">
        <v>0</v>
      </c>
      <c r="P50" s="1">
        <v>0</v>
      </c>
      <c r="R50" s="1">
        <v>2548542</v>
      </c>
      <c r="S50" s="1">
        <v>2160728</v>
      </c>
      <c r="U50" s="1">
        <v>0</v>
      </c>
      <c r="V50" s="9">
        <v>0</v>
      </c>
    </row>
    <row r="51" spans="1:22">
      <c r="A51" s="1" t="s">
        <v>72</v>
      </c>
      <c r="B51" s="6">
        <v>0</v>
      </c>
      <c r="C51" s="1">
        <v>0</v>
      </c>
      <c r="D51" s="1">
        <v>-27279.835202616767</v>
      </c>
      <c r="E51" s="1">
        <v>0</v>
      </c>
      <c r="F51" s="1">
        <v>0</v>
      </c>
      <c r="G51" s="9">
        <f>SUM(UT_FINANCIAL)</f>
        <v>-27279.835202616767</v>
      </c>
      <c r="L51" s="6"/>
      <c r="V51" s="9"/>
    </row>
    <row r="52" spans="1:22">
      <c r="A52" s="1" t="s">
        <v>73</v>
      </c>
      <c r="B52" s="6">
        <v>0</v>
      </c>
      <c r="C52" s="1">
        <v>0</v>
      </c>
      <c r="D52" s="1">
        <v>1860.167806972473</v>
      </c>
      <c r="E52" s="1">
        <v>0</v>
      </c>
      <c r="F52" s="1">
        <v>0</v>
      </c>
      <c r="G52" s="9">
        <f>SUM(VT_FINANCIAL)</f>
        <v>1860.167806972473</v>
      </c>
      <c r="L52" s="6">
        <v>0</v>
      </c>
      <c r="M52" s="1">
        <v>0</v>
      </c>
      <c r="O52" s="1">
        <v>0</v>
      </c>
      <c r="P52" s="1">
        <v>0</v>
      </c>
      <c r="R52" s="1">
        <v>150000</v>
      </c>
      <c r="S52" s="1">
        <v>0</v>
      </c>
      <c r="U52" s="1">
        <v>0</v>
      </c>
      <c r="V52" s="9">
        <v>0</v>
      </c>
    </row>
    <row r="53" spans="1:22">
      <c r="A53" s="1" t="s">
        <v>74</v>
      </c>
      <c r="B53" s="6">
        <v>0</v>
      </c>
      <c r="C53" s="1">
        <v>0</v>
      </c>
      <c r="D53" s="1">
        <v>-108913.589677535</v>
      </c>
      <c r="E53" s="1">
        <v>0</v>
      </c>
      <c r="F53" s="1">
        <v>0</v>
      </c>
      <c r="G53" s="9">
        <f>SUM(VA_FINANCIAL)</f>
        <v>-108913.589677535</v>
      </c>
      <c r="L53" s="6">
        <v>5000</v>
      </c>
      <c r="M53" s="1">
        <v>1948</v>
      </c>
      <c r="O53" s="1">
        <v>0</v>
      </c>
      <c r="P53" s="1">
        <v>0</v>
      </c>
      <c r="R53" s="1">
        <v>320000</v>
      </c>
      <c r="S53" s="1">
        <v>0</v>
      </c>
      <c r="U53" s="1">
        <v>0</v>
      </c>
      <c r="V53" s="9">
        <v>0</v>
      </c>
    </row>
    <row r="54" spans="1:22">
      <c r="A54" s="1" t="s">
        <v>75</v>
      </c>
      <c r="B54" s="6">
        <v>0</v>
      </c>
      <c r="C54" s="1">
        <v>0</v>
      </c>
      <c r="D54" s="1">
        <v>5614.8567424908979</v>
      </c>
      <c r="E54" s="1">
        <v>0</v>
      </c>
      <c r="F54" s="1">
        <v>0</v>
      </c>
      <c r="G54" s="9">
        <f>SUM(WA_FINANCIAL)</f>
        <v>5614.8567424908979</v>
      </c>
      <c r="L54" s="6">
        <v>0</v>
      </c>
      <c r="M54" s="1">
        <v>0</v>
      </c>
      <c r="O54" s="1">
        <v>0</v>
      </c>
      <c r="P54" s="1">
        <v>0</v>
      </c>
      <c r="R54" s="1">
        <v>200000</v>
      </c>
      <c r="S54" s="1">
        <v>190535</v>
      </c>
      <c r="U54" s="1">
        <v>0</v>
      </c>
      <c r="V54" s="9">
        <v>0</v>
      </c>
    </row>
    <row r="55" spans="1:22">
      <c r="A55" s="1" t="s">
        <v>76</v>
      </c>
      <c r="B55" s="6">
        <v>0</v>
      </c>
      <c r="C55" s="1">
        <v>0</v>
      </c>
      <c r="D55" s="1">
        <v>-31602.985871662269</v>
      </c>
      <c r="E55" s="1">
        <v>0</v>
      </c>
      <c r="F55" s="1">
        <v>0</v>
      </c>
      <c r="G55" s="9">
        <f>SUM(WV_FINANCIAL)</f>
        <v>-31602.985871662269</v>
      </c>
      <c r="L55" s="6">
        <v>0</v>
      </c>
      <c r="M55" s="1">
        <v>0</v>
      </c>
      <c r="O55" s="1">
        <v>0</v>
      </c>
      <c r="P55" s="1">
        <v>0</v>
      </c>
      <c r="R55" s="1">
        <v>0</v>
      </c>
      <c r="S55" s="1">
        <v>671547</v>
      </c>
      <c r="U55" s="1">
        <v>0</v>
      </c>
      <c r="V55" s="9">
        <v>0</v>
      </c>
    </row>
    <row r="56" spans="1:22">
      <c r="A56" s="1" t="s">
        <v>77</v>
      </c>
      <c r="B56" s="6">
        <v>0</v>
      </c>
      <c r="C56" s="1">
        <v>0</v>
      </c>
      <c r="D56" s="1">
        <v>-201020.48196128983</v>
      </c>
      <c r="E56" s="1">
        <v>0</v>
      </c>
      <c r="F56" s="1">
        <v>0</v>
      </c>
      <c r="G56" s="9">
        <f>SUM(WI_FINANCIAL)</f>
        <v>-201020.48196128983</v>
      </c>
      <c r="L56" s="6"/>
      <c r="V56" s="9"/>
    </row>
    <row r="57" spans="1:22">
      <c r="A57" s="1" t="s">
        <v>78</v>
      </c>
      <c r="B57" s="6">
        <v>0</v>
      </c>
      <c r="C57" s="1">
        <v>0</v>
      </c>
      <c r="D57" s="1">
        <v>-19780.770372225728</v>
      </c>
      <c r="E57" s="1">
        <v>0</v>
      </c>
      <c r="F57" s="1">
        <v>0</v>
      </c>
      <c r="G57" s="9">
        <f>SUM(WY_FINANCIAL)</f>
        <v>-19780.770372225728</v>
      </c>
      <c r="L57" s="6">
        <v>0</v>
      </c>
      <c r="M57" s="1">
        <v>0</v>
      </c>
      <c r="O57" s="1">
        <v>0</v>
      </c>
      <c r="P57" s="1">
        <v>0</v>
      </c>
      <c r="R57" s="1">
        <v>30000</v>
      </c>
      <c r="S57" s="1">
        <v>34679</v>
      </c>
      <c r="U57" s="1">
        <v>0</v>
      </c>
      <c r="V57" s="9">
        <v>0</v>
      </c>
    </row>
    <row r="58" spans="1:22">
      <c r="A58" s="1" t="s">
        <v>79</v>
      </c>
      <c r="B58" s="6">
        <v>1</v>
      </c>
      <c r="C58" s="1">
        <v>0</v>
      </c>
      <c r="D58" s="1">
        <v>13346.366858816447</v>
      </c>
      <c r="E58" s="1">
        <v>0</v>
      </c>
      <c r="F58" s="1">
        <v>0</v>
      </c>
      <c r="G58" s="9">
        <f>SUM(OT_FINANCIAL)</f>
        <v>13347.366858816447</v>
      </c>
      <c r="L58" s="6"/>
      <c r="V58" s="9"/>
    </row>
    <row r="59" spans="1:22">
      <c r="B59" s="6"/>
      <c r="G59" s="9"/>
      <c r="L59" s="6"/>
      <c r="V59" s="9"/>
    </row>
    <row r="60" spans="1:22">
      <c r="A60" s="1" t="s">
        <v>8</v>
      </c>
      <c r="B60" s="6">
        <f>SUM(LIFE)</f>
        <v>15763</v>
      </c>
      <c r="C60" s="1">
        <f>SUM(ALLOCATED)</f>
        <v>0</v>
      </c>
      <c r="D60" s="1">
        <f>SUM(HEALTH)</f>
        <v>-196404.04872965094</v>
      </c>
      <c r="E60" s="1">
        <f>SUM(UNALLOCATED)</f>
        <v>0</v>
      </c>
      <c r="F60" s="1">
        <f>SUM(LTC)</f>
        <v>0</v>
      </c>
      <c r="G60" s="9">
        <f>SUM(ALL_BLOCKS)</f>
        <v>-180641.04872965094</v>
      </c>
      <c r="L60" s="6">
        <f>SUM(LIFE_CALLED)</f>
        <v>793564</v>
      </c>
      <c r="M60" s="1">
        <f>SUM(LIFE_REFUNDED)</f>
        <v>687271</v>
      </c>
      <c r="O60" s="1">
        <f>SUM(ALLOC_CALLED)</f>
        <v>100000</v>
      </c>
      <c r="P60" s="1">
        <f>SUM(ALLOC_REFUNDED)</f>
        <v>50000</v>
      </c>
      <c r="R60" s="1">
        <f>SUM(HEALTH_CALLED)</f>
        <v>19664517</v>
      </c>
      <c r="S60" s="1">
        <f>SUM(HEALTH_REFUNDED)</f>
        <v>13362131</v>
      </c>
      <c r="U60" s="1">
        <f>SUM(UNALLOC_CALLED)</f>
        <v>0</v>
      </c>
      <c r="V60" s="9">
        <f>SUM(UNALLOC_REFUNDED)</f>
        <v>0</v>
      </c>
    </row>
    <row r="61" spans="1:22" ht="5.0999999999999996" customHeight="1">
      <c r="B61" s="6"/>
      <c r="G61" s="9"/>
      <c r="L61" s="6"/>
      <c r="V61" s="9"/>
    </row>
    <row r="62" spans="1:22">
      <c r="B62" s="6"/>
      <c r="G62" s="9"/>
      <c r="L62" s="78" t="s">
        <v>80</v>
      </c>
      <c r="M62" s="79"/>
      <c r="N62" s="79"/>
      <c r="O62" s="79"/>
      <c r="P62" s="79"/>
      <c r="Q62" s="79"/>
      <c r="R62" s="79"/>
      <c r="S62" s="79"/>
      <c r="T62" s="79"/>
      <c r="U62" s="79"/>
      <c r="V62" s="80"/>
    </row>
    <row r="63" spans="1:22">
      <c r="B63" s="6"/>
      <c r="G63" s="9"/>
      <c r="L63" s="81"/>
      <c r="M63" s="79"/>
      <c r="N63" s="79"/>
      <c r="O63" s="79"/>
      <c r="P63" s="79"/>
      <c r="Q63" s="79"/>
      <c r="R63" s="79"/>
      <c r="S63" s="79"/>
      <c r="T63" s="79"/>
      <c r="U63" s="79"/>
      <c r="V63" s="80"/>
    </row>
    <row r="64" spans="1:22">
      <c r="B64" s="8"/>
      <c r="C64" s="5"/>
      <c r="D64" s="5"/>
      <c r="E64" s="5"/>
      <c r="F64" s="5"/>
      <c r="G64" s="11"/>
      <c r="L64" s="82"/>
      <c r="M64" s="83"/>
      <c r="N64" s="83"/>
      <c r="O64" s="83"/>
      <c r="P64" s="83"/>
      <c r="Q64" s="83"/>
      <c r="R64" s="83"/>
      <c r="S64" s="83"/>
      <c r="T64" s="83"/>
      <c r="U64" s="83"/>
      <c r="V64" s="84"/>
    </row>
  </sheetData>
  <mergeCells count="8">
    <mergeCell ref="L62:V64"/>
    <mergeCell ref="A1:G1"/>
    <mergeCell ref="B3:G3"/>
    <mergeCell ref="L3:V3"/>
    <mergeCell ref="L4:M4"/>
    <mergeCell ref="O4:P4"/>
    <mergeCell ref="R4:S4"/>
    <mergeCell ref="U4:V4"/>
  </mergeCells>
  <pageMargins left="0" right="0" top="0" bottom="0" header="0" footer="0"/>
  <pageSetup scale="48"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V64"/>
  <sheetViews>
    <sheetView zoomScale="75" workbookViewId="0">
      <selection sqref="A1:G1"/>
    </sheetView>
  </sheetViews>
  <sheetFormatPr defaultColWidth="9.109375" defaultRowHeight="14.4"/>
  <cols>
    <col min="1" max="1" width="20" style="1" customWidth="1"/>
    <col min="2" max="7" width="15" style="1" customWidth="1"/>
    <col min="8" max="8" width="1" style="1" customWidth="1"/>
    <col min="9" max="9" width="30" style="1" customWidth="1"/>
    <col min="10" max="10" width="15" style="1" customWidth="1"/>
    <col min="11" max="11" width="1" style="1" customWidth="1"/>
    <col min="12" max="13" width="15" style="1" customWidth="1"/>
    <col min="14" max="14" width="1" style="1" customWidth="1"/>
    <col min="15" max="16" width="15" style="1" customWidth="1"/>
    <col min="17" max="17" width="1" style="1" customWidth="1"/>
    <col min="18" max="19" width="15" style="1" customWidth="1"/>
    <col min="20" max="20" width="1" style="1" customWidth="1"/>
    <col min="21" max="22" width="15" style="1" customWidth="1"/>
    <col min="23" max="23" width="9.109375" style="1" customWidth="1"/>
    <col min="24" max="16384" width="9.109375" style="1"/>
  </cols>
  <sheetData>
    <row r="1" spans="1:22">
      <c r="A1" s="85" t="s">
        <v>98</v>
      </c>
      <c r="B1" s="79"/>
      <c r="C1" s="79"/>
      <c r="D1" s="79"/>
      <c r="E1" s="79"/>
      <c r="F1" s="79"/>
      <c r="G1" s="79"/>
    </row>
    <row r="3" spans="1:22">
      <c r="B3" s="86" t="s">
        <v>1</v>
      </c>
      <c r="C3" s="87"/>
      <c r="D3" s="87"/>
      <c r="E3" s="87"/>
      <c r="F3" s="87"/>
      <c r="G3" s="88"/>
      <c r="L3" s="89" t="s">
        <v>2</v>
      </c>
      <c r="M3" s="90"/>
      <c r="N3" s="90"/>
      <c r="O3" s="90"/>
      <c r="P3" s="90"/>
      <c r="Q3" s="90"/>
      <c r="R3" s="90"/>
      <c r="S3" s="90"/>
      <c r="T3" s="90"/>
      <c r="U3" s="90"/>
      <c r="V3" s="91"/>
    </row>
    <row r="4" spans="1:22">
      <c r="B4" s="6"/>
      <c r="G4" s="9"/>
      <c r="L4" s="92" t="s">
        <v>3</v>
      </c>
      <c r="M4" s="93"/>
      <c r="N4" s="3"/>
      <c r="O4" s="94" t="s">
        <v>4</v>
      </c>
      <c r="P4" s="93"/>
      <c r="Q4" s="3"/>
      <c r="R4" s="94" t="s">
        <v>5</v>
      </c>
      <c r="S4" s="93"/>
      <c r="T4" s="3"/>
      <c r="U4" s="94" t="s">
        <v>6</v>
      </c>
      <c r="V4" s="95"/>
    </row>
    <row r="5" spans="1:22" ht="60" customHeight="1">
      <c r="B5" s="7" t="s">
        <v>3</v>
      </c>
      <c r="C5" s="4" t="s">
        <v>4</v>
      </c>
      <c r="D5" s="4" t="s">
        <v>5</v>
      </c>
      <c r="E5" s="4" t="s">
        <v>6</v>
      </c>
      <c r="F5" s="4" t="s">
        <v>7</v>
      </c>
      <c r="G5" s="10" t="s">
        <v>8</v>
      </c>
      <c r="L5" s="19" t="s">
        <v>9</v>
      </c>
      <c r="M5" s="18" t="s">
        <v>10</v>
      </c>
      <c r="N5" s="18"/>
      <c r="O5" s="18" t="s">
        <v>9</v>
      </c>
      <c r="P5" s="18" t="s">
        <v>10</v>
      </c>
      <c r="Q5" s="18"/>
      <c r="R5" s="18" t="s">
        <v>9</v>
      </c>
      <c r="S5" s="18" t="s">
        <v>10</v>
      </c>
      <c r="T5" s="18"/>
      <c r="U5" s="18" t="s">
        <v>9</v>
      </c>
      <c r="V5" s="20" t="s">
        <v>10</v>
      </c>
    </row>
    <row r="6" spans="1:22">
      <c r="A6" s="1" t="s">
        <v>11</v>
      </c>
      <c r="B6" s="6">
        <v>755.85902940957112</v>
      </c>
      <c r="C6" s="1">
        <v>348372.2610126998</v>
      </c>
      <c r="D6" s="1">
        <v>0</v>
      </c>
      <c r="E6" s="1">
        <v>0</v>
      </c>
      <c r="F6" s="1">
        <v>0</v>
      </c>
      <c r="G6" s="9">
        <f>SUM(AL_FINANCIAL)</f>
        <v>349128.1200421094</v>
      </c>
      <c r="L6" s="6"/>
      <c r="V6" s="9"/>
    </row>
    <row r="7" spans="1:22">
      <c r="A7" s="1" t="s">
        <v>12</v>
      </c>
      <c r="B7" s="6">
        <v>0</v>
      </c>
      <c r="C7" s="1">
        <v>0</v>
      </c>
      <c r="D7" s="1">
        <v>0</v>
      </c>
      <c r="E7" s="1">
        <v>0</v>
      </c>
      <c r="F7" s="1">
        <v>0</v>
      </c>
      <c r="G7" s="9">
        <f>SUM(AK_FINANCIAL)</f>
        <v>0</v>
      </c>
      <c r="I7" s="12"/>
      <c r="J7" s="15"/>
      <c r="L7" s="6"/>
      <c r="V7" s="9"/>
    </row>
    <row r="8" spans="1:22">
      <c r="A8" s="1" t="s">
        <v>13</v>
      </c>
      <c r="B8" s="6">
        <v>0</v>
      </c>
      <c r="C8" s="1">
        <v>329065.34963694878</v>
      </c>
      <c r="D8" s="1">
        <v>0</v>
      </c>
      <c r="E8" s="1">
        <v>0</v>
      </c>
      <c r="F8" s="1">
        <v>0</v>
      </c>
      <c r="G8" s="9">
        <f>SUM(AZ_FINANCIAL)</f>
        <v>329065.34963694878</v>
      </c>
      <c r="I8" s="13" t="s">
        <v>14</v>
      </c>
      <c r="J8" s="16"/>
      <c r="L8" s="6">
        <v>0</v>
      </c>
      <c r="M8" s="1">
        <v>0</v>
      </c>
      <c r="O8" s="1">
        <v>146693</v>
      </c>
      <c r="P8" s="1">
        <v>0</v>
      </c>
      <c r="R8" s="1">
        <v>0</v>
      </c>
      <c r="S8" s="1">
        <v>0</v>
      </c>
      <c r="U8" s="1">
        <v>0</v>
      </c>
      <c r="V8" s="9">
        <v>0</v>
      </c>
    </row>
    <row r="9" spans="1:22">
      <c r="A9" s="1" t="s">
        <v>15</v>
      </c>
      <c r="B9" s="6">
        <v>0</v>
      </c>
      <c r="C9" s="1">
        <v>18635.954677155893</v>
      </c>
      <c r="D9" s="1">
        <v>0</v>
      </c>
      <c r="E9" s="1">
        <v>0</v>
      </c>
      <c r="F9" s="1">
        <v>0</v>
      </c>
      <c r="G9" s="9">
        <f>SUM(AR_FINANCIAL)</f>
        <v>18635.954677155893</v>
      </c>
      <c r="I9" s="13"/>
      <c r="J9" s="16"/>
      <c r="L9" s="6">
        <v>30189</v>
      </c>
      <c r="M9" s="1">
        <v>0</v>
      </c>
      <c r="O9" s="1">
        <v>0</v>
      </c>
      <c r="P9" s="1">
        <v>0</v>
      </c>
      <c r="R9" s="1">
        <v>0</v>
      </c>
      <c r="S9" s="1">
        <v>0</v>
      </c>
      <c r="U9" s="1">
        <v>0</v>
      </c>
      <c r="V9" s="9">
        <v>0</v>
      </c>
    </row>
    <row r="10" spans="1:22">
      <c r="A10" s="1" t="s">
        <v>16</v>
      </c>
      <c r="B10" s="6">
        <v>0</v>
      </c>
      <c r="C10" s="1">
        <v>0</v>
      </c>
      <c r="D10" s="1">
        <v>0</v>
      </c>
      <c r="E10" s="1">
        <v>0</v>
      </c>
      <c r="F10" s="1">
        <v>0</v>
      </c>
      <c r="G10" s="9">
        <f>SUM(CA_FINANCIAL)</f>
        <v>0</v>
      </c>
      <c r="I10" s="13" t="s">
        <v>17</v>
      </c>
      <c r="J10" s="16">
        <v>72284955.26000002</v>
      </c>
      <c r="L10" s="6"/>
      <c r="V10" s="9"/>
    </row>
    <row r="11" spans="1:22">
      <c r="A11" s="1" t="s">
        <v>18</v>
      </c>
      <c r="B11" s="6">
        <v>0</v>
      </c>
      <c r="C11" s="1">
        <v>160869.0091768913</v>
      </c>
      <c r="D11" s="1">
        <v>0</v>
      </c>
      <c r="E11" s="1">
        <v>0</v>
      </c>
      <c r="F11" s="1">
        <v>0</v>
      </c>
      <c r="G11" s="9">
        <f>SUM(CO_FINANCIAL)</f>
        <v>160869.0091768913</v>
      </c>
      <c r="I11" s="13"/>
      <c r="J11" s="16"/>
      <c r="L11" s="6"/>
      <c r="V11" s="9"/>
    </row>
    <row r="12" spans="1:22">
      <c r="A12" s="1" t="s">
        <v>19</v>
      </c>
      <c r="B12" s="6">
        <v>0</v>
      </c>
      <c r="C12" s="1">
        <v>0</v>
      </c>
      <c r="D12" s="1">
        <v>0</v>
      </c>
      <c r="E12" s="1">
        <v>0</v>
      </c>
      <c r="F12" s="1">
        <v>0</v>
      </c>
      <c r="G12" s="9">
        <f>SUM(CT_FINANCIAL)</f>
        <v>0</v>
      </c>
      <c r="I12" s="13" t="s">
        <v>20</v>
      </c>
      <c r="J12" s="16"/>
      <c r="L12" s="6"/>
      <c r="V12" s="9"/>
    </row>
    <row r="13" spans="1:22">
      <c r="A13" s="1" t="s">
        <v>21</v>
      </c>
      <c r="B13" s="6">
        <v>0</v>
      </c>
      <c r="C13" s="1">
        <v>44358.215981348243</v>
      </c>
      <c r="D13" s="1">
        <v>0</v>
      </c>
      <c r="E13" s="1">
        <v>0</v>
      </c>
      <c r="F13" s="1">
        <v>0</v>
      </c>
      <c r="G13" s="9">
        <f>SUM(DE_FINANCIAL)</f>
        <v>44358.215981348243</v>
      </c>
      <c r="I13" s="13" t="s">
        <v>22</v>
      </c>
      <c r="J13" s="16">
        <v>0</v>
      </c>
      <c r="L13" s="6">
        <v>0</v>
      </c>
      <c r="M13" s="1">
        <v>0</v>
      </c>
      <c r="O13" s="1">
        <v>90000</v>
      </c>
      <c r="P13" s="1">
        <v>0</v>
      </c>
      <c r="R13" s="1">
        <v>0</v>
      </c>
      <c r="S13" s="1">
        <v>0</v>
      </c>
      <c r="U13" s="1">
        <v>0</v>
      </c>
      <c r="V13" s="9">
        <v>0</v>
      </c>
    </row>
    <row r="14" spans="1:22">
      <c r="A14" s="1" t="s">
        <v>23</v>
      </c>
      <c r="B14" s="6">
        <v>0</v>
      </c>
      <c r="C14" s="1">
        <v>0</v>
      </c>
      <c r="D14" s="1">
        <v>0</v>
      </c>
      <c r="E14" s="1">
        <v>0</v>
      </c>
      <c r="F14" s="1">
        <v>0</v>
      </c>
      <c r="G14" s="9">
        <f>SUM(DC_FINANCIAL)</f>
        <v>0</v>
      </c>
      <c r="I14" s="13" t="s">
        <v>24</v>
      </c>
      <c r="J14" s="16">
        <v>713474.99999999988</v>
      </c>
      <c r="L14" s="6"/>
      <c r="V14" s="9"/>
    </row>
    <row r="15" spans="1:22">
      <c r="A15" s="1" t="s">
        <v>25</v>
      </c>
      <c r="B15" s="6">
        <v>41977.330263891592</v>
      </c>
      <c r="C15" s="1">
        <v>6294088.6484518275</v>
      </c>
      <c r="D15" s="1">
        <v>0</v>
      </c>
      <c r="E15" s="1">
        <v>0</v>
      </c>
      <c r="F15" s="1">
        <v>0</v>
      </c>
      <c r="G15" s="9">
        <f>SUM(FL_FINANCIAL)</f>
        <v>6336065.9787157187</v>
      </c>
      <c r="I15" s="13" t="s">
        <v>26</v>
      </c>
      <c r="J15" s="16">
        <v>711510.88000000012</v>
      </c>
      <c r="L15" s="6">
        <v>0</v>
      </c>
      <c r="M15" s="1">
        <v>0</v>
      </c>
      <c r="O15" s="1">
        <v>7300000</v>
      </c>
      <c r="P15" s="1">
        <v>0</v>
      </c>
      <c r="R15" s="1">
        <v>0</v>
      </c>
      <c r="S15" s="1">
        <v>0</v>
      </c>
      <c r="U15" s="1">
        <v>0</v>
      </c>
      <c r="V15" s="9">
        <v>0</v>
      </c>
    </row>
    <row r="16" spans="1:22">
      <c r="A16" s="1" t="s">
        <v>27</v>
      </c>
      <c r="B16" s="6">
        <v>129.59414199467932</v>
      </c>
      <c r="C16" s="1">
        <v>633116.43986575794</v>
      </c>
      <c r="D16" s="1">
        <v>0</v>
      </c>
      <c r="E16" s="1">
        <v>0</v>
      </c>
      <c r="F16" s="1">
        <v>0</v>
      </c>
      <c r="G16" s="9">
        <f>SUM(GA_FINANCIAL)</f>
        <v>633246.03400775266</v>
      </c>
      <c r="I16" s="13" t="s">
        <v>28</v>
      </c>
      <c r="J16" s="16">
        <v>0</v>
      </c>
      <c r="L16" s="6">
        <v>2974</v>
      </c>
      <c r="M16" s="1">
        <v>0</v>
      </c>
      <c r="O16" s="1">
        <v>757110</v>
      </c>
      <c r="P16" s="1">
        <v>5197.47</v>
      </c>
      <c r="R16" s="1">
        <v>0</v>
      </c>
      <c r="S16" s="1">
        <v>0</v>
      </c>
      <c r="U16" s="1">
        <v>0</v>
      </c>
      <c r="V16" s="9">
        <v>0</v>
      </c>
    </row>
    <row r="17" spans="1:22">
      <c r="A17" s="1" t="s">
        <v>29</v>
      </c>
      <c r="B17" s="6">
        <v>0</v>
      </c>
      <c r="C17" s="1">
        <v>0</v>
      </c>
      <c r="D17" s="1">
        <v>0</v>
      </c>
      <c r="E17" s="1">
        <v>0</v>
      </c>
      <c r="F17" s="1">
        <v>0</v>
      </c>
      <c r="G17" s="9">
        <f>SUM(HI_FINANCIAL)</f>
        <v>0</v>
      </c>
      <c r="I17" s="13"/>
      <c r="J17" s="16"/>
      <c r="L17" s="6"/>
      <c r="V17" s="9"/>
    </row>
    <row r="18" spans="1:22">
      <c r="A18" s="1" t="s">
        <v>30</v>
      </c>
      <c r="B18" s="6">
        <v>0</v>
      </c>
      <c r="C18" s="1">
        <v>4674.2761615150266</v>
      </c>
      <c r="D18" s="1">
        <v>0</v>
      </c>
      <c r="E18" s="1">
        <v>0</v>
      </c>
      <c r="F18" s="1">
        <v>0</v>
      </c>
      <c r="G18" s="9">
        <f>SUM(ID_FINANCIAL)</f>
        <v>4674.2761615150266</v>
      </c>
      <c r="I18" s="13" t="s">
        <v>31</v>
      </c>
      <c r="J18" s="16"/>
      <c r="L18" s="6">
        <v>0</v>
      </c>
      <c r="M18" s="1">
        <v>0</v>
      </c>
      <c r="O18" s="1">
        <v>8000</v>
      </c>
      <c r="P18" s="1">
        <v>0</v>
      </c>
      <c r="R18" s="1">
        <v>0</v>
      </c>
      <c r="S18" s="1">
        <v>0</v>
      </c>
      <c r="U18" s="1">
        <v>0</v>
      </c>
      <c r="V18" s="9">
        <v>0</v>
      </c>
    </row>
    <row r="19" spans="1:22">
      <c r="A19" s="1" t="s">
        <v>32</v>
      </c>
      <c r="B19" s="6">
        <v>0</v>
      </c>
      <c r="C19" s="1">
        <v>0</v>
      </c>
      <c r="D19" s="1">
        <v>0</v>
      </c>
      <c r="E19" s="1">
        <v>0</v>
      </c>
      <c r="F19" s="1">
        <v>0</v>
      </c>
      <c r="G19" s="9">
        <f>SUM(IL_FINANCIAL)</f>
        <v>0</v>
      </c>
      <c r="I19" s="13" t="s">
        <v>33</v>
      </c>
      <c r="J19" s="16">
        <v>43973889.679381259</v>
      </c>
      <c r="L19" s="6"/>
      <c r="V19" s="9"/>
    </row>
    <row r="20" spans="1:22">
      <c r="A20" s="1" t="s">
        <v>34</v>
      </c>
      <c r="B20" s="6">
        <v>0</v>
      </c>
      <c r="C20" s="1">
        <v>315025.02542989142</v>
      </c>
      <c r="D20" s="1">
        <v>0</v>
      </c>
      <c r="E20" s="1">
        <v>0</v>
      </c>
      <c r="F20" s="1">
        <v>0</v>
      </c>
      <c r="G20" s="9">
        <f>SUM(IN_FINANCIAL)</f>
        <v>315025.02542989142</v>
      </c>
      <c r="I20" s="13" t="s">
        <v>35</v>
      </c>
      <c r="J20" s="16">
        <v>3744837.3099767314</v>
      </c>
      <c r="L20" s="6"/>
      <c r="V20" s="9"/>
    </row>
    <row r="21" spans="1:22">
      <c r="A21" s="1" t="s">
        <v>36</v>
      </c>
      <c r="B21" s="6">
        <v>0</v>
      </c>
      <c r="C21" s="1">
        <v>0</v>
      </c>
      <c r="D21" s="1">
        <v>0</v>
      </c>
      <c r="E21" s="1">
        <v>0</v>
      </c>
      <c r="F21" s="1">
        <v>0</v>
      </c>
      <c r="G21" s="9">
        <f>SUM(IA_FINANCIAL)</f>
        <v>0</v>
      </c>
      <c r="I21" s="13" t="s">
        <v>37</v>
      </c>
      <c r="J21" s="16"/>
      <c r="L21" s="6"/>
      <c r="V21" s="9"/>
    </row>
    <row r="22" spans="1:22">
      <c r="A22" s="1" t="s">
        <v>38</v>
      </c>
      <c r="B22" s="6">
        <v>0</v>
      </c>
      <c r="C22" s="1">
        <v>0</v>
      </c>
      <c r="D22" s="1">
        <v>0</v>
      </c>
      <c r="E22" s="1">
        <v>0</v>
      </c>
      <c r="F22" s="1">
        <v>0</v>
      </c>
      <c r="G22" s="9">
        <f>SUM(KS_FINANCIAL)</f>
        <v>0</v>
      </c>
      <c r="I22" s="13" t="s">
        <v>39</v>
      </c>
      <c r="J22" s="16">
        <v>5169108.2706420003</v>
      </c>
      <c r="L22" s="6"/>
      <c r="V22" s="9"/>
    </row>
    <row r="23" spans="1:22">
      <c r="A23" s="1" t="s">
        <v>40</v>
      </c>
      <c r="B23" s="6">
        <v>232.2158259633776</v>
      </c>
      <c r="C23" s="1">
        <v>273730.87188487727</v>
      </c>
      <c r="D23" s="1">
        <v>0</v>
      </c>
      <c r="E23" s="1">
        <v>0</v>
      </c>
      <c r="F23" s="1">
        <v>0</v>
      </c>
      <c r="G23" s="9">
        <f>SUM(KY_FINANCIAL)</f>
        <v>273963.08771084063</v>
      </c>
      <c r="I23" s="13" t="s">
        <v>41</v>
      </c>
      <c r="J23" s="16"/>
      <c r="L23" s="6">
        <v>0</v>
      </c>
      <c r="M23" s="1">
        <v>0</v>
      </c>
      <c r="O23" s="1">
        <v>350000</v>
      </c>
      <c r="P23" s="1">
        <v>0</v>
      </c>
      <c r="R23" s="1">
        <v>0</v>
      </c>
      <c r="S23" s="1">
        <v>0</v>
      </c>
      <c r="U23" s="1">
        <v>0</v>
      </c>
      <c r="V23" s="9">
        <v>0</v>
      </c>
    </row>
    <row r="24" spans="1:22">
      <c r="A24" s="1" t="s">
        <v>42</v>
      </c>
      <c r="B24" s="6">
        <v>0</v>
      </c>
      <c r="C24" s="1">
        <v>149758.74701574814</v>
      </c>
      <c r="D24" s="1">
        <v>0</v>
      </c>
      <c r="E24" s="1">
        <v>0</v>
      </c>
      <c r="F24" s="1">
        <v>0</v>
      </c>
      <c r="G24" s="9">
        <f>SUM(LA_FINANCIAL)</f>
        <v>149758.74701574814</v>
      </c>
      <c r="I24" s="13" t="s">
        <v>43</v>
      </c>
      <c r="J24" s="16">
        <v>4496991.9999999991</v>
      </c>
      <c r="L24" s="6">
        <v>0</v>
      </c>
      <c r="M24" s="1">
        <v>0</v>
      </c>
      <c r="O24" s="1">
        <v>245000</v>
      </c>
      <c r="P24" s="1">
        <v>0</v>
      </c>
      <c r="R24" s="1">
        <v>0</v>
      </c>
      <c r="S24" s="1">
        <v>0</v>
      </c>
      <c r="U24" s="1">
        <v>0</v>
      </c>
      <c r="V24" s="9">
        <v>0</v>
      </c>
    </row>
    <row r="25" spans="1:22">
      <c r="A25" s="1" t="s">
        <v>44</v>
      </c>
      <c r="B25" s="6">
        <v>0</v>
      </c>
      <c r="C25" s="1">
        <v>0</v>
      </c>
      <c r="D25" s="1">
        <v>0</v>
      </c>
      <c r="E25" s="1">
        <v>0</v>
      </c>
      <c r="F25" s="1">
        <v>0</v>
      </c>
      <c r="G25" s="9">
        <f>SUM(ME_FINANCIAL)</f>
        <v>0</v>
      </c>
      <c r="I25" s="13"/>
      <c r="J25" s="16"/>
      <c r="L25" s="6"/>
      <c r="V25" s="9"/>
    </row>
    <row r="26" spans="1:22">
      <c r="A26" s="1" t="s">
        <v>45</v>
      </c>
      <c r="B26" s="6">
        <v>0</v>
      </c>
      <c r="C26" s="1">
        <v>240785.38541890634</v>
      </c>
      <c r="D26" s="1">
        <v>0</v>
      </c>
      <c r="E26" s="1">
        <v>0</v>
      </c>
      <c r="F26" s="1">
        <v>0</v>
      </c>
      <c r="G26" s="9">
        <f>SUM(MD_FINANCIAL)</f>
        <v>240785.38541890634</v>
      </c>
      <c r="I26" s="13" t="s">
        <v>46</v>
      </c>
      <c r="J26" s="16">
        <f>SUM(ADD_FINANCIAL)-SUM(LESS_FINANCIAL)</f>
        <v>16325113.880000025</v>
      </c>
      <c r="L26" s="6">
        <v>0</v>
      </c>
      <c r="M26" s="1">
        <v>0</v>
      </c>
      <c r="O26" s="1">
        <v>375000</v>
      </c>
      <c r="P26" s="1">
        <v>0</v>
      </c>
      <c r="R26" s="1">
        <v>0</v>
      </c>
      <c r="S26" s="1">
        <v>0</v>
      </c>
      <c r="U26" s="1">
        <v>0</v>
      </c>
      <c r="V26" s="9">
        <v>0</v>
      </c>
    </row>
    <row r="27" spans="1:22">
      <c r="A27" s="1" t="s">
        <v>47</v>
      </c>
      <c r="B27" s="6">
        <v>0</v>
      </c>
      <c r="C27" s="1">
        <v>0</v>
      </c>
      <c r="D27" s="1">
        <v>0</v>
      </c>
      <c r="E27" s="1">
        <v>0</v>
      </c>
      <c r="F27" s="1">
        <v>0</v>
      </c>
      <c r="G27" s="9">
        <f>SUM(MA_FINANCIAL)</f>
        <v>0</v>
      </c>
      <c r="I27" s="13" t="s">
        <v>48</v>
      </c>
      <c r="J27" s="16">
        <f>SUM(ALL_BLOCKS)</f>
        <v>16325113.880000001</v>
      </c>
      <c r="L27" s="6"/>
      <c r="V27" s="9"/>
    </row>
    <row r="28" spans="1:22">
      <c r="A28" s="1" t="s">
        <v>49</v>
      </c>
      <c r="B28" s="6">
        <v>0</v>
      </c>
      <c r="C28" s="1">
        <v>0</v>
      </c>
      <c r="D28" s="1">
        <v>0</v>
      </c>
      <c r="E28" s="1">
        <v>0</v>
      </c>
      <c r="F28" s="1">
        <v>0</v>
      </c>
      <c r="G28" s="9">
        <f>SUM(MI_FINANCIAL)</f>
        <v>0</v>
      </c>
      <c r="I28" s="14"/>
      <c r="J28" s="17"/>
      <c r="L28" s="6"/>
      <c r="V28" s="9"/>
    </row>
    <row r="29" spans="1:22">
      <c r="A29" s="1" t="s">
        <v>50</v>
      </c>
      <c r="B29" s="6">
        <v>0</v>
      </c>
      <c r="C29" s="1">
        <v>0</v>
      </c>
      <c r="D29" s="1">
        <v>0</v>
      </c>
      <c r="E29" s="1">
        <v>0</v>
      </c>
      <c r="F29" s="1">
        <v>0</v>
      </c>
      <c r="G29" s="9">
        <f>SUM(MN_FINANCIAL)</f>
        <v>0</v>
      </c>
      <c r="L29" s="6"/>
      <c r="V29" s="9"/>
    </row>
    <row r="30" spans="1:22">
      <c r="A30" s="1" t="s">
        <v>51</v>
      </c>
      <c r="B30" s="6">
        <v>0</v>
      </c>
      <c r="C30" s="1">
        <v>80131.980319196722</v>
      </c>
      <c r="D30" s="1">
        <v>0</v>
      </c>
      <c r="E30" s="1">
        <v>0</v>
      </c>
      <c r="F30" s="1">
        <v>0</v>
      </c>
      <c r="G30" s="9">
        <f>SUM(MS_FINANCIAL)</f>
        <v>80131.980319196722</v>
      </c>
      <c r="L30" s="6"/>
      <c r="V30" s="9"/>
    </row>
    <row r="31" spans="1:22">
      <c r="A31" s="1" t="s">
        <v>52</v>
      </c>
      <c r="B31" s="6">
        <v>0</v>
      </c>
      <c r="C31" s="1">
        <v>0</v>
      </c>
      <c r="D31" s="1">
        <v>0</v>
      </c>
      <c r="E31" s="1">
        <v>0</v>
      </c>
      <c r="F31" s="1">
        <v>0</v>
      </c>
      <c r="G31" s="9">
        <f>SUM(MO_FINANCIAL)</f>
        <v>0</v>
      </c>
      <c r="L31" s="6"/>
      <c r="V31" s="9"/>
    </row>
    <row r="32" spans="1:22">
      <c r="A32" s="1" t="s">
        <v>53</v>
      </c>
      <c r="B32" s="6">
        <v>0</v>
      </c>
      <c r="C32" s="1">
        <v>0</v>
      </c>
      <c r="D32" s="1">
        <v>0</v>
      </c>
      <c r="E32" s="1">
        <v>0</v>
      </c>
      <c r="F32" s="1">
        <v>0</v>
      </c>
      <c r="G32" s="9">
        <f>SUM(MT_FINANCIAL)</f>
        <v>0</v>
      </c>
      <c r="L32" s="6"/>
      <c r="V32" s="9"/>
    </row>
    <row r="33" spans="1:22">
      <c r="A33" s="1" t="s">
        <v>54</v>
      </c>
      <c r="B33" s="6">
        <v>0</v>
      </c>
      <c r="C33" s="1">
        <v>0</v>
      </c>
      <c r="D33" s="1">
        <v>0</v>
      </c>
      <c r="E33" s="1">
        <v>0</v>
      </c>
      <c r="F33" s="1">
        <v>0</v>
      </c>
      <c r="G33" s="9">
        <f>SUM(NE_FINANCIAL)</f>
        <v>0</v>
      </c>
      <c r="L33" s="6"/>
      <c r="V33" s="9"/>
    </row>
    <row r="34" spans="1:22">
      <c r="A34" s="1" t="s">
        <v>55</v>
      </c>
      <c r="B34" s="6">
        <v>0</v>
      </c>
      <c r="C34" s="1">
        <v>20601.513067498177</v>
      </c>
      <c r="D34" s="1">
        <v>0</v>
      </c>
      <c r="E34" s="1">
        <v>0</v>
      </c>
      <c r="F34" s="1">
        <v>0</v>
      </c>
      <c r="G34" s="9">
        <f>SUM(NV_FINANCIAL)</f>
        <v>20601.513067498177</v>
      </c>
      <c r="L34" s="6"/>
      <c r="V34" s="9"/>
    </row>
    <row r="35" spans="1:22">
      <c r="A35" s="1" t="s">
        <v>56</v>
      </c>
      <c r="B35" s="6">
        <v>0</v>
      </c>
      <c r="C35" s="1">
        <v>0</v>
      </c>
      <c r="D35" s="1">
        <v>0</v>
      </c>
      <c r="E35" s="1">
        <v>0</v>
      </c>
      <c r="F35" s="1">
        <v>0</v>
      </c>
      <c r="G35" s="9">
        <f>SUM(NH_FINANCIAL)</f>
        <v>0</v>
      </c>
      <c r="L35" s="6"/>
      <c r="V35" s="9"/>
    </row>
    <row r="36" spans="1:22">
      <c r="A36" s="1" t="s">
        <v>57</v>
      </c>
      <c r="B36" s="6">
        <v>0</v>
      </c>
      <c r="C36" s="1">
        <v>0</v>
      </c>
      <c r="D36" s="1">
        <v>0</v>
      </c>
      <c r="E36" s="1">
        <v>0</v>
      </c>
      <c r="F36" s="1">
        <v>0</v>
      </c>
      <c r="G36" s="9">
        <f>SUM(NJ_FINANCIAL)</f>
        <v>0</v>
      </c>
      <c r="L36" s="6"/>
      <c r="V36" s="9"/>
    </row>
    <row r="37" spans="1:22">
      <c r="A37" s="1" t="s">
        <v>58</v>
      </c>
      <c r="B37" s="6">
        <v>0</v>
      </c>
      <c r="C37" s="1">
        <v>38525.144288472831</v>
      </c>
      <c r="D37" s="1">
        <v>0</v>
      </c>
      <c r="E37" s="1">
        <v>0</v>
      </c>
      <c r="F37" s="1">
        <v>0</v>
      </c>
      <c r="G37" s="9">
        <f>SUM(NM_FINANCIAL)</f>
        <v>38525.144288472831</v>
      </c>
      <c r="L37" s="6">
        <v>0</v>
      </c>
      <c r="M37" s="1">
        <v>0</v>
      </c>
      <c r="O37" s="1">
        <v>69889</v>
      </c>
      <c r="P37" s="1">
        <v>0</v>
      </c>
      <c r="R37" s="1">
        <v>0</v>
      </c>
      <c r="S37" s="1">
        <v>0</v>
      </c>
      <c r="U37" s="1">
        <v>0</v>
      </c>
      <c r="V37" s="9">
        <v>0</v>
      </c>
    </row>
    <row r="38" spans="1:22">
      <c r="A38" s="1" t="s">
        <v>59</v>
      </c>
      <c r="B38" s="6">
        <v>0</v>
      </c>
      <c r="C38" s="1">
        <v>0</v>
      </c>
      <c r="D38" s="1">
        <v>0</v>
      </c>
      <c r="E38" s="1">
        <v>0</v>
      </c>
      <c r="F38" s="1">
        <v>0</v>
      </c>
      <c r="G38" s="9">
        <f>SUM(NY_FINANCIAL)</f>
        <v>0</v>
      </c>
      <c r="L38" s="6"/>
      <c r="V38" s="9"/>
    </row>
    <row r="39" spans="1:22">
      <c r="A39" s="1" t="s">
        <v>60</v>
      </c>
      <c r="B39" s="6">
        <v>449.16766928768322</v>
      </c>
      <c r="C39" s="1">
        <v>1014267.8946200148</v>
      </c>
      <c r="D39" s="1">
        <v>0</v>
      </c>
      <c r="E39" s="1">
        <v>0</v>
      </c>
      <c r="F39" s="1">
        <v>0</v>
      </c>
      <c r="G39" s="9">
        <f>SUM(NC_FINANCIAL)</f>
        <v>1014717.0622893025</v>
      </c>
      <c r="L39" s="6">
        <v>0</v>
      </c>
      <c r="M39" s="1">
        <v>0</v>
      </c>
      <c r="O39" s="1">
        <v>1300000</v>
      </c>
      <c r="P39" s="1">
        <v>350000</v>
      </c>
      <c r="R39" s="1">
        <v>0</v>
      </c>
      <c r="S39" s="1">
        <v>0</v>
      </c>
      <c r="U39" s="1">
        <v>0</v>
      </c>
      <c r="V39" s="9">
        <v>0</v>
      </c>
    </row>
    <row r="40" spans="1:22">
      <c r="A40" s="1" t="s">
        <v>61</v>
      </c>
      <c r="B40" s="6">
        <v>0</v>
      </c>
      <c r="C40" s="1">
        <v>0</v>
      </c>
      <c r="D40" s="1">
        <v>0</v>
      </c>
      <c r="E40" s="1">
        <v>0</v>
      </c>
      <c r="F40" s="1">
        <v>0</v>
      </c>
      <c r="G40" s="9">
        <f>SUM(ND_FINANCIAL)</f>
        <v>0</v>
      </c>
      <c r="L40" s="6"/>
      <c r="V40" s="9"/>
    </row>
    <row r="41" spans="1:22">
      <c r="A41" s="1" t="s">
        <v>62</v>
      </c>
      <c r="B41" s="6">
        <v>2049.0499319271426</v>
      </c>
      <c r="C41" s="1">
        <v>2669552.9420914156</v>
      </c>
      <c r="D41" s="1">
        <v>0</v>
      </c>
      <c r="E41" s="1">
        <v>0</v>
      </c>
      <c r="F41" s="1">
        <v>0</v>
      </c>
      <c r="G41" s="9">
        <f>SUM(OH_FINANCIAL)</f>
        <v>2671601.9920233428</v>
      </c>
      <c r="L41" s="6">
        <v>0</v>
      </c>
      <c r="M41" s="1">
        <v>0</v>
      </c>
      <c r="O41" s="1">
        <v>3200000</v>
      </c>
      <c r="P41" s="1">
        <v>0</v>
      </c>
      <c r="R41" s="1">
        <v>0</v>
      </c>
      <c r="S41" s="1">
        <v>0</v>
      </c>
      <c r="U41" s="1">
        <v>0</v>
      </c>
      <c r="V41" s="9">
        <v>0</v>
      </c>
    </row>
    <row r="42" spans="1:22">
      <c r="A42" s="1" t="s">
        <v>63</v>
      </c>
      <c r="B42" s="6">
        <v>0</v>
      </c>
      <c r="C42" s="1">
        <v>257636.85080485744</v>
      </c>
      <c r="D42" s="1">
        <v>0</v>
      </c>
      <c r="E42" s="1">
        <v>0</v>
      </c>
      <c r="F42" s="1">
        <v>0</v>
      </c>
      <c r="G42" s="9">
        <f>SUM(OK_FINANCIAL)</f>
        <v>257636.85080485744</v>
      </c>
      <c r="L42" s="6">
        <v>0</v>
      </c>
      <c r="M42" s="1">
        <v>0</v>
      </c>
      <c r="O42" s="1">
        <v>6200</v>
      </c>
      <c r="P42" s="1">
        <v>60000</v>
      </c>
      <c r="R42" s="1">
        <v>0</v>
      </c>
      <c r="S42" s="1">
        <v>0</v>
      </c>
      <c r="U42" s="1">
        <v>0</v>
      </c>
      <c r="V42" s="9">
        <v>0</v>
      </c>
    </row>
    <row r="43" spans="1:22">
      <c r="A43" s="1" t="s">
        <v>64</v>
      </c>
      <c r="B43" s="6">
        <v>0</v>
      </c>
      <c r="C43" s="1">
        <v>5620.2147375166278</v>
      </c>
      <c r="D43" s="1">
        <v>0</v>
      </c>
      <c r="E43" s="1">
        <v>0</v>
      </c>
      <c r="F43" s="1">
        <v>0</v>
      </c>
      <c r="G43" s="9">
        <f>SUM(OR_FINANCIAL)</f>
        <v>5620.2147375166278</v>
      </c>
      <c r="L43" s="6"/>
      <c r="V43" s="9"/>
    </row>
    <row r="44" spans="1:22">
      <c r="A44" s="1" t="s">
        <v>65</v>
      </c>
      <c r="B44" s="6">
        <v>0</v>
      </c>
      <c r="C44" s="1">
        <v>0</v>
      </c>
      <c r="D44" s="1">
        <v>0</v>
      </c>
      <c r="E44" s="1">
        <v>0</v>
      </c>
      <c r="F44" s="1">
        <v>0</v>
      </c>
      <c r="G44" s="9">
        <f>SUM(PA_FINANCIAL)</f>
        <v>0</v>
      </c>
      <c r="L44" s="6"/>
      <c r="V44" s="9"/>
    </row>
    <row r="45" spans="1:22">
      <c r="A45" s="1" t="s">
        <v>66</v>
      </c>
      <c r="B45" s="6">
        <v>0</v>
      </c>
      <c r="C45" s="1">
        <v>0</v>
      </c>
      <c r="D45" s="1">
        <v>0</v>
      </c>
      <c r="E45" s="1">
        <v>0</v>
      </c>
      <c r="F45" s="1">
        <v>0</v>
      </c>
      <c r="G45" s="9">
        <f>SUM(PR_FINANCIAL)</f>
        <v>0</v>
      </c>
      <c r="L45" s="6"/>
      <c r="V45" s="9"/>
    </row>
    <row r="46" spans="1:22">
      <c r="A46" s="1" t="s">
        <v>67</v>
      </c>
      <c r="B46" s="6">
        <v>0</v>
      </c>
      <c r="C46" s="1">
        <v>0</v>
      </c>
      <c r="D46" s="1">
        <v>0</v>
      </c>
      <c r="E46" s="1">
        <v>0</v>
      </c>
      <c r="F46" s="1">
        <v>0</v>
      </c>
      <c r="G46" s="9">
        <f>SUM(RI_FINANCIAL)</f>
        <v>0</v>
      </c>
      <c r="L46" s="6"/>
      <c r="V46" s="9"/>
    </row>
    <row r="47" spans="1:22">
      <c r="A47" s="1" t="s">
        <v>68</v>
      </c>
      <c r="B47" s="6">
        <v>2238.2533323820116</v>
      </c>
      <c r="C47" s="1">
        <v>61279.011316424338</v>
      </c>
      <c r="D47" s="1">
        <v>0</v>
      </c>
      <c r="E47" s="1">
        <v>0</v>
      </c>
      <c r="F47" s="1">
        <v>0</v>
      </c>
      <c r="G47" s="9">
        <f>SUM(SC_FINANCIAL)</f>
        <v>63517.264648806347</v>
      </c>
      <c r="L47" s="6"/>
      <c r="V47" s="9"/>
    </row>
    <row r="48" spans="1:22">
      <c r="A48" s="1" t="s">
        <v>69</v>
      </c>
      <c r="B48" s="6">
        <v>0</v>
      </c>
      <c r="C48" s="1">
        <v>0</v>
      </c>
      <c r="D48" s="1">
        <v>0</v>
      </c>
      <c r="E48" s="1">
        <v>0</v>
      </c>
      <c r="F48" s="1">
        <v>0</v>
      </c>
      <c r="G48" s="9">
        <f>SUM(SD_FINANCIAL)</f>
        <v>0</v>
      </c>
      <c r="L48" s="6"/>
      <c r="V48" s="9"/>
    </row>
    <row r="49" spans="1:22">
      <c r="A49" s="1" t="s">
        <v>70</v>
      </c>
      <c r="B49" s="6">
        <v>0</v>
      </c>
      <c r="C49" s="1">
        <v>122278.53772362793</v>
      </c>
      <c r="D49" s="1">
        <v>0</v>
      </c>
      <c r="E49" s="1">
        <v>0</v>
      </c>
      <c r="F49" s="1">
        <v>0</v>
      </c>
      <c r="G49" s="9">
        <f>SUM(TN_FINANCIAL)</f>
        <v>122278.53772362793</v>
      </c>
      <c r="L49" s="6"/>
      <c r="V49" s="9"/>
    </row>
    <row r="50" spans="1:22">
      <c r="A50" s="1" t="s">
        <v>71</v>
      </c>
      <c r="B50" s="6">
        <v>0</v>
      </c>
      <c r="C50" s="1">
        <v>2700639.5278583383</v>
      </c>
      <c r="D50" s="1">
        <v>0</v>
      </c>
      <c r="E50" s="1">
        <v>0</v>
      </c>
      <c r="F50" s="1">
        <v>0</v>
      </c>
      <c r="G50" s="9">
        <f>SUM(TX_FINANCIAL)</f>
        <v>2700639.5278583383</v>
      </c>
      <c r="L50" s="6">
        <v>306204</v>
      </c>
      <c r="M50" s="1">
        <v>49490.362081562751</v>
      </c>
      <c r="O50" s="1">
        <v>2944373</v>
      </c>
      <c r="P50" s="1">
        <v>475885.63791843725</v>
      </c>
      <c r="R50" s="1">
        <v>0</v>
      </c>
      <c r="S50" s="1">
        <v>0</v>
      </c>
      <c r="U50" s="1">
        <v>0</v>
      </c>
      <c r="V50" s="9">
        <v>0</v>
      </c>
    </row>
    <row r="51" spans="1:22">
      <c r="A51" s="1" t="s">
        <v>72</v>
      </c>
      <c r="B51" s="6">
        <v>0</v>
      </c>
      <c r="C51" s="1">
        <v>0</v>
      </c>
      <c r="D51" s="1">
        <v>0</v>
      </c>
      <c r="E51" s="1">
        <v>0</v>
      </c>
      <c r="F51" s="1">
        <v>0</v>
      </c>
      <c r="G51" s="9">
        <f>SUM(UT_FINANCIAL)</f>
        <v>0</v>
      </c>
      <c r="L51" s="6"/>
      <c r="V51" s="9"/>
    </row>
    <row r="52" spans="1:22">
      <c r="A52" s="1" t="s">
        <v>73</v>
      </c>
      <c r="B52" s="6">
        <v>0</v>
      </c>
      <c r="C52" s="1">
        <v>0</v>
      </c>
      <c r="D52" s="1">
        <v>0</v>
      </c>
      <c r="E52" s="1">
        <v>0</v>
      </c>
      <c r="F52" s="1">
        <v>0</v>
      </c>
      <c r="G52" s="9">
        <f>SUM(VT_FINANCIAL)</f>
        <v>0</v>
      </c>
      <c r="L52" s="6"/>
      <c r="V52" s="9"/>
    </row>
    <row r="53" spans="1:22">
      <c r="A53" s="1" t="s">
        <v>74</v>
      </c>
      <c r="B53" s="6">
        <v>707.87667526424627</v>
      </c>
      <c r="C53" s="1">
        <v>381978.62940766744</v>
      </c>
      <c r="D53" s="1">
        <v>0</v>
      </c>
      <c r="E53" s="1">
        <v>0</v>
      </c>
      <c r="F53" s="1">
        <v>0</v>
      </c>
      <c r="G53" s="9">
        <f>SUM(VA_FINANCIAL)</f>
        <v>382686.50608293171</v>
      </c>
      <c r="L53" s="6">
        <v>1300</v>
      </c>
      <c r="M53" s="1">
        <v>0</v>
      </c>
      <c r="O53" s="1">
        <v>456000</v>
      </c>
      <c r="P53" s="1">
        <v>0</v>
      </c>
      <c r="R53" s="1">
        <v>0</v>
      </c>
      <c r="S53" s="1">
        <v>0</v>
      </c>
      <c r="U53" s="1">
        <v>0</v>
      </c>
      <c r="V53" s="9">
        <v>0</v>
      </c>
    </row>
    <row r="54" spans="1:22">
      <c r="A54" s="1" t="s">
        <v>75</v>
      </c>
      <c r="B54" s="6">
        <v>0</v>
      </c>
      <c r="C54" s="1">
        <v>4233.0127565402727</v>
      </c>
      <c r="D54" s="1">
        <v>0</v>
      </c>
      <c r="E54" s="1">
        <v>0</v>
      </c>
      <c r="F54" s="1">
        <v>0</v>
      </c>
      <c r="G54" s="9">
        <f>SUM(WA_FINANCIAL)</f>
        <v>4233.0127565402727</v>
      </c>
      <c r="L54" s="6"/>
      <c r="V54" s="9"/>
    </row>
    <row r="55" spans="1:22">
      <c r="A55" s="1" t="s">
        <v>76</v>
      </c>
      <c r="B55" s="6">
        <v>91.565198556084653</v>
      </c>
      <c r="C55" s="1">
        <v>107257.52422618613</v>
      </c>
      <c r="D55" s="1">
        <v>0</v>
      </c>
      <c r="E55" s="1">
        <v>0</v>
      </c>
      <c r="F55" s="1">
        <v>0</v>
      </c>
      <c r="G55" s="9">
        <f>SUM(WV_FINANCIAL)</f>
        <v>107349.08942474221</v>
      </c>
      <c r="L55" s="6">
        <v>0</v>
      </c>
      <c r="M55" s="1">
        <v>0</v>
      </c>
      <c r="O55" s="1">
        <v>0</v>
      </c>
      <c r="P55" s="1">
        <v>147404</v>
      </c>
      <c r="R55" s="1">
        <v>0</v>
      </c>
      <c r="S55" s="1">
        <v>0</v>
      </c>
      <c r="U55" s="1">
        <v>0</v>
      </c>
      <c r="V55" s="9">
        <v>0</v>
      </c>
    </row>
    <row r="56" spans="1:22">
      <c r="A56" s="1" t="s">
        <v>77</v>
      </c>
      <c r="B56" s="6">
        <v>0</v>
      </c>
      <c r="C56" s="1">
        <v>0</v>
      </c>
      <c r="D56" s="1">
        <v>0</v>
      </c>
      <c r="E56" s="1">
        <v>0</v>
      </c>
      <c r="F56" s="1">
        <v>0</v>
      </c>
      <c r="G56" s="9">
        <f>SUM(WI_FINANCIAL)</f>
        <v>0</v>
      </c>
      <c r="L56" s="6"/>
      <c r="V56" s="9"/>
    </row>
    <row r="57" spans="1:22">
      <c r="A57" s="1" t="s">
        <v>78</v>
      </c>
      <c r="B57" s="6">
        <v>0</v>
      </c>
      <c r="C57" s="1">
        <v>0</v>
      </c>
      <c r="D57" s="1">
        <v>0</v>
      </c>
      <c r="E57" s="1">
        <v>0</v>
      </c>
      <c r="F57" s="1">
        <v>0</v>
      </c>
      <c r="G57" s="9">
        <f>SUM(WY_FINANCIAL)</f>
        <v>0</v>
      </c>
      <c r="L57" s="6"/>
      <c r="V57" s="9"/>
    </row>
    <row r="58" spans="1:22">
      <c r="A58" s="1" t="s">
        <v>79</v>
      </c>
      <c r="B58" s="6">
        <v>0</v>
      </c>
      <c r="C58" s="1">
        <v>0</v>
      </c>
      <c r="D58" s="1">
        <v>0</v>
      </c>
      <c r="E58" s="1">
        <v>0</v>
      </c>
      <c r="F58" s="1">
        <v>0</v>
      </c>
      <c r="G58" s="9">
        <f>SUM(OT_FINANCIAL)</f>
        <v>0</v>
      </c>
      <c r="L58" s="6"/>
      <c r="V58" s="9"/>
    </row>
    <row r="59" spans="1:22">
      <c r="B59" s="6"/>
      <c r="G59" s="9"/>
      <c r="L59" s="6"/>
      <c r="V59" s="9"/>
    </row>
    <row r="60" spans="1:22">
      <c r="A60" s="1" t="s">
        <v>8</v>
      </c>
      <c r="B60" s="6">
        <f>SUM(LIFE)</f>
        <v>48630.912068676385</v>
      </c>
      <c r="C60" s="1">
        <f>SUM(ALLOCATED)</f>
        <v>16276482.967931326</v>
      </c>
      <c r="D60" s="1">
        <f>SUM(HEALTH)</f>
        <v>0</v>
      </c>
      <c r="E60" s="1">
        <f>SUM(UNALLOCATED)</f>
        <v>0</v>
      </c>
      <c r="F60" s="1">
        <f>SUM(LTC)</f>
        <v>0</v>
      </c>
      <c r="G60" s="9">
        <f>SUM(ALL_BLOCKS)</f>
        <v>16325113.880000001</v>
      </c>
      <c r="L60" s="6">
        <f>SUM(LIFE_CALLED)</f>
        <v>340667</v>
      </c>
      <c r="M60" s="1">
        <f>SUM(LIFE_REFUNDED)</f>
        <v>49490.362081562751</v>
      </c>
      <c r="O60" s="1">
        <f>SUM(ALLOC_CALLED)</f>
        <v>17248265</v>
      </c>
      <c r="P60" s="1">
        <f>SUM(ALLOC_REFUNDED)</f>
        <v>1038487.1079184372</v>
      </c>
      <c r="R60" s="1">
        <f>SUM(HEALTH_CALLED)</f>
        <v>0</v>
      </c>
      <c r="S60" s="1">
        <f>SUM(HEALTH_REFUNDED)</f>
        <v>0</v>
      </c>
      <c r="U60" s="1">
        <f>SUM(UNALLOC_CALLED)</f>
        <v>0</v>
      </c>
      <c r="V60" s="9">
        <f>SUM(UNALLOC_REFUNDED)</f>
        <v>0</v>
      </c>
    </row>
    <row r="61" spans="1:22" ht="5.0999999999999996" customHeight="1">
      <c r="B61" s="6"/>
      <c r="G61" s="9"/>
      <c r="L61" s="6"/>
      <c r="V61" s="9"/>
    </row>
    <row r="62" spans="1:22">
      <c r="B62" s="6"/>
      <c r="G62" s="9"/>
      <c r="L62" s="78" t="s">
        <v>80</v>
      </c>
      <c r="M62" s="79"/>
      <c r="N62" s="79"/>
      <c r="O62" s="79"/>
      <c r="P62" s="79"/>
      <c r="Q62" s="79"/>
      <c r="R62" s="79"/>
      <c r="S62" s="79"/>
      <c r="T62" s="79"/>
      <c r="U62" s="79"/>
      <c r="V62" s="80"/>
    </row>
    <row r="63" spans="1:22">
      <c r="B63" s="6"/>
      <c r="G63" s="9"/>
      <c r="L63" s="81"/>
      <c r="M63" s="79"/>
      <c r="N63" s="79"/>
      <c r="O63" s="79"/>
      <c r="P63" s="79"/>
      <c r="Q63" s="79"/>
      <c r="R63" s="79"/>
      <c r="S63" s="79"/>
      <c r="T63" s="79"/>
      <c r="U63" s="79"/>
      <c r="V63" s="80"/>
    </row>
    <row r="64" spans="1:22">
      <c r="B64" s="8"/>
      <c r="C64" s="5"/>
      <c r="D64" s="5"/>
      <c r="E64" s="5"/>
      <c r="F64" s="5"/>
      <c r="G64" s="11"/>
      <c r="L64" s="82"/>
      <c r="M64" s="83"/>
      <c r="N64" s="83"/>
      <c r="O64" s="83"/>
      <c r="P64" s="83"/>
      <c r="Q64" s="83"/>
      <c r="R64" s="83"/>
      <c r="S64" s="83"/>
      <c r="T64" s="83"/>
      <c r="U64" s="83"/>
      <c r="V64" s="84"/>
    </row>
  </sheetData>
  <mergeCells count="8">
    <mergeCell ref="L62:V64"/>
    <mergeCell ref="A1:G1"/>
    <mergeCell ref="B3:G3"/>
    <mergeCell ref="L3:V3"/>
    <mergeCell ref="L4:M4"/>
    <mergeCell ref="O4:P4"/>
    <mergeCell ref="R4:S4"/>
    <mergeCell ref="U4:V4"/>
  </mergeCells>
  <pageMargins left="0" right="0" top="0" bottom="0" header="0" footer="0"/>
  <pageSetup scale="4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64"/>
  <sheetViews>
    <sheetView zoomScale="75" workbookViewId="0">
      <selection sqref="A1:G1"/>
    </sheetView>
  </sheetViews>
  <sheetFormatPr defaultColWidth="9.109375" defaultRowHeight="14.4"/>
  <cols>
    <col min="1" max="1" width="20" style="1" customWidth="1"/>
    <col min="2" max="7" width="15" style="1" customWidth="1"/>
    <col min="8" max="8" width="1" style="1" customWidth="1"/>
    <col min="9" max="9" width="30" style="1" customWidth="1"/>
    <col min="10" max="10" width="15" style="1" customWidth="1"/>
    <col min="11" max="11" width="1" style="1" customWidth="1"/>
    <col min="12" max="13" width="15" style="1" customWidth="1"/>
    <col min="14" max="14" width="1" style="1" customWidth="1"/>
    <col min="15" max="16" width="15" style="1" customWidth="1"/>
    <col min="17" max="17" width="1" style="1" customWidth="1"/>
    <col min="18" max="19" width="15" style="1" customWidth="1"/>
    <col min="20" max="20" width="1" style="1" customWidth="1"/>
    <col min="21" max="22" width="15" style="1" customWidth="1"/>
    <col min="23" max="23" width="9.109375" style="1" customWidth="1"/>
    <col min="24" max="16384" width="9.109375" style="1"/>
  </cols>
  <sheetData>
    <row r="1" spans="1:22">
      <c r="A1" s="85" t="s">
        <v>81</v>
      </c>
      <c r="B1" s="79"/>
      <c r="C1" s="79"/>
      <c r="D1" s="79"/>
      <c r="E1" s="79"/>
      <c r="F1" s="79"/>
      <c r="G1" s="79"/>
    </row>
    <row r="3" spans="1:22">
      <c r="B3" s="86" t="s">
        <v>1</v>
      </c>
      <c r="C3" s="87"/>
      <c r="D3" s="87"/>
      <c r="E3" s="87"/>
      <c r="F3" s="87"/>
      <c r="G3" s="88"/>
      <c r="L3" s="89" t="s">
        <v>2</v>
      </c>
      <c r="M3" s="90"/>
      <c r="N3" s="90"/>
      <c r="O3" s="90"/>
      <c r="P3" s="90"/>
      <c r="Q3" s="90"/>
      <c r="R3" s="90"/>
      <c r="S3" s="90"/>
      <c r="T3" s="90"/>
      <c r="U3" s="90"/>
      <c r="V3" s="91"/>
    </row>
    <row r="4" spans="1:22">
      <c r="B4" s="6"/>
      <c r="G4" s="9"/>
      <c r="L4" s="92" t="s">
        <v>3</v>
      </c>
      <c r="M4" s="93"/>
      <c r="N4" s="3"/>
      <c r="O4" s="94" t="s">
        <v>4</v>
      </c>
      <c r="P4" s="93"/>
      <c r="Q4" s="3"/>
      <c r="R4" s="94" t="s">
        <v>5</v>
      </c>
      <c r="S4" s="93"/>
      <c r="T4" s="3"/>
      <c r="U4" s="94" t="s">
        <v>6</v>
      </c>
      <c r="V4" s="95"/>
    </row>
    <row r="5" spans="1:22" ht="60" customHeight="1">
      <c r="B5" s="7" t="s">
        <v>3</v>
      </c>
      <c r="C5" s="4" t="s">
        <v>4</v>
      </c>
      <c r="D5" s="4" t="s">
        <v>5</v>
      </c>
      <c r="E5" s="4" t="s">
        <v>6</v>
      </c>
      <c r="F5" s="4" t="s">
        <v>7</v>
      </c>
      <c r="G5" s="10" t="s">
        <v>8</v>
      </c>
      <c r="L5" s="19" t="s">
        <v>9</v>
      </c>
      <c r="M5" s="18" t="s">
        <v>10</v>
      </c>
      <c r="N5" s="18"/>
      <c r="O5" s="18" t="s">
        <v>9</v>
      </c>
      <c r="P5" s="18" t="s">
        <v>10</v>
      </c>
      <c r="Q5" s="18"/>
      <c r="R5" s="18" t="s">
        <v>9</v>
      </c>
      <c r="S5" s="18" t="s">
        <v>10</v>
      </c>
      <c r="T5" s="18"/>
      <c r="U5" s="18" t="s">
        <v>9</v>
      </c>
      <c r="V5" s="20" t="s">
        <v>10</v>
      </c>
    </row>
    <row r="6" spans="1:22">
      <c r="A6" s="1" t="s">
        <v>11</v>
      </c>
      <c r="B6" s="6">
        <v>2137779.3229980012</v>
      </c>
      <c r="C6" s="1">
        <v>1170473.7981022638</v>
      </c>
      <c r="D6" s="1">
        <v>10279.638899735133</v>
      </c>
      <c r="E6" s="1">
        <v>0</v>
      </c>
      <c r="F6" s="1">
        <v>0</v>
      </c>
      <c r="G6" s="9">
        <f>SUM(AL_FINANCIAL)</f>
        <v>3318532.7600000002</v>
      </c>
      <c r="L6" s="6">
        <v>2800000</v>
      </c>
      <c r="M6" s="1">
        <v>0</v>
      </c>
      <c r="O6" s="1">
        <v>568170</v>
      </c>
      <c r="P6" s="1">
        <v>0</v>
      </c>
      <c r="R6" s="1">
        <v>13000</v>
      </c>
      <c r="S6" s="1">
        <v>0</v>
      </c>
      <c r="U6" s="1">
        <v>0</v>
      </c>
      <c r="V6" s="9">
        <v>0</v>
      </c>
    </row>
    <row r="7" spans="1:22">
      <c r="A7" s="1" t="s">
        <v>12</v>
      </c>
      <c r="B7" s="6">
        <v>0</v>
      </c>
      <c r="C7" s="1">
        <v>0</v>
      </c>
      <c r="D7" s="1">
        <v>0</v>
      </c>
      <c r="E7" s="1">
        <v>0</v>
      </c>
      <c r="F7" s="1">
        <v>0</v>
      </c>
      <c r="G7" s="9">
        <f>SUM(AK_FINANCIAL)</f>
        <v>0</v>
      </c>
      <c r="I7" s="12"/>
      <c r="J7" s="15"/>
      <c r="L7" s="6"/>
      <c r="V7" s="9"/>
    </row>
    <row r="8" spans="1:22">
      <c r="A8" s="1" t="s">
        <v>13</v>
      </c>
      <c r="B8" s="6">
        <v>0</v>
      </c>
      <c r="C8" s="1">
        <v>0</v>
      </c>
      <c r="D8" s="1">
        <v>0</v>
      </c>
      <c r="E8" s="1">
        <v>0</v>
      </c>
      <c r="F8" s="1">
        <v>0</v>
      </c>
      <c r="G8" s="9">
        <f>SUM(AZ_FINANCIAL)</f>
        <v>0</v>
      </c>
      <c r="I8" s="13" t="s">
        <v>14</v>
      </c>
      <c r="J8" s="16"/>
      <c r="L8" s="6"/>
      <c r="V8" s="9"/>
    </row>
    <row r="9" spans="1:22">
      <c r="A9" s="1" t="s">
        <v>15</v>
      </c>
      <c r="B9" s="6">
        <v>0</v>
      </c>
      <c r="C9" s="1">
        <v>0</v>
      </c>
      <c r="D9" s="1">
        <v>0</v>
      </c>
      <c r="E9" s="1">
        <v>0</v>
      </c>
      <c r="F9" s="1">
        <v>0</v>
      </c>
      <c r="G9" s="9">
        <f>SUM(AR_FINANCIAL)</f>
        <v>0</v>
      </c>
      <c r="I9" s="13"/>
      <c r="J9" s="16"/>
      <c r="L9" s="6"/>
      <c r="V9" s="9"/>
    </row>
    <row r="10" spans="1:22">
      <c r="A10" s="1" t="s">
        <v>16</v>
      </c>
      <c r="B10" s="6">
        <v>0</v>
      </c>
      <c r="C10" s="1">
        <v>0</v>
      </c>
      <c r="D10" s="1">
        <v>0</v>
      </c>
      <c r="E10" s="1">
        <v>0</v>
      </c>
      <c r="F10" s="1">
        <v>0</v>
      </c>
      <c r="G10" s="9">
        <f>SUM(CA_FINANCIAL)</f>
        <v>0</v>
      </c>
      <c r="I10" s="13" t="s">
        <v>17</v>
      </c>
      <c r="J10" s="16">
        <v>4246637</v>
      </c>
      <c r="L10" s="6"/>
      <c r="V10" s="9"/>
    </row>
    <row r="11" spans="1:22">
      <c r="A11" s="1" t="s">
        <v>18</v>
      </c>
      <c r="B11" s="6">
        <v>0</v>
      </c>
      <c r="C11" s="1">
        <v>0</v>
      </c>
      <c r="D11" s="1">
        <v>0</v>
      </c>
      <c r="E11" s="1">
        <v>0</v>
      </c>
      <c r="F11" s="1">
        <v>0</v>
      </c>
      <c r="G11" s="9">
        <f>SUM(CO_FINANCIAL)</f>
        <v>0</v>
      </c>
      <c r="I11" s="13"/>
      <c r="J11" s="16"/>
      <c r="L11" s="6"/>
      <c r="V11" s="9"/>
    </row>
    <row r="12" spans="1:22">
      <c r="A12" s="1" t="s">
        <v>19</v>
      </c>
      <c r="B12" s="6">
        <v>0</v>
      </c>
      <c r="C12" s="1">
        <v>0</v>
      </c>
      <c r="D12" s="1">
        <v>0</v>
      </c>
      <c r="E12" s="1">
        <v>0</v>
      </c>
      <c r="F12" s="1">
        <v>0</v>
      </c>
      <c r="G12" s="9">
        <f>SUM(CT_FINANCIAL)</f>
        <v>0</v>
      </c>
      <c r="I12" s="13" t="s">
        <v>20</v>
      </c>
      <c r="J12" s="16"/>
      <c r="L12" s="6"/>
      <c r="V12" s="9"/>
    </row>
    <row r="13" spans="1:22">
      <c r="A13" s="1" t="s">
        <v>21</v>
      </c>
      <c r="B13" s="6">
        <v>0</v>
      </c>
      <c r="C13" s="1">
        <v>0</v>
      </c>
      <c r="D13" s="1">
        <v>0</v>
      </c>
      <c r="E13" s="1">
        <v>0</v>
      </c>
      <c r="F13" s="1">
        <v>0</v>
      </c>
      <c r="G13" s="9">
        <f>SUM(DE_FINANCIAL)</f>
        <v>0</v>
      </c>
      <c r="I13" s="13" t="s">
        <v>22</v>
      </c>
      <c r="J13" s="16">
        <v>0</v>
      </c>
      <c r="L13" s="6"/>
      <c r="V13" s="9"/>
    </row>
    <row r="14" spans="1:22">
      <c r="A14" s="1" t="s">
        <v>23</v>
      </c>
      <c r="B14" s="6">
        <v>0</v>
      </c>
      <c r="C14" s="1">
        <v>0</v>
      </c>
      <c r="D14" s="1">
        <v>0</v>
      </c>
      <c r="E14" s="1">
        <v>0</v>
      </c>
      <c r="F14" s="1">
        <v>0</v>
      </c>
      <c r="G14" s="9">
        <f>SUM(DC_FINANCIAL)</f>
        <v>0</v>
      </c>
      <c r="I14" s="13" t="s">
        <v>24</v>
      </c>
      <c r="J14" s="16">
        <v>0</v>
      </c>
      <c r="L14" s="6"/>
      <c r="V14" s="9"/>
    </row>
    <row r="15" spans="1:22">
      <c r="A15" s="1" t="s">
        <v>25</v>
      </c>
      <c r="B15" s="6">
        <v>0</v>
      </c>
      <c r="C15" s="1">
        <v>0</v>
      </c>
      <c r="D15" s="1">
        <v>0</v>
      </c>
      <c r="E15" s="1">
        <v>0</v>
      </c>
      <c r="F15" s="1">
        <v>0</v>
      </c>
      <c r="G15" s="9">
        <f>SUM(FL_FINANCIAL)</f>
        <v>0</v>
      </c>
      <c r="I15" s="13" t="s">
        <v>26</v>
      </c>
      <c r="J15" s="16">
        <v>193694.76</v>
      </c>
      <c r="L15" s="6"/>
      <c r="V15" s="9"/>
    </row>
    <row r="16" spans="1:22">
      <c r="A16" s="1" t="s">
        <v>27</v>
      </c>
      <c r="B16" s="6">
        <v>0</v>
      </c>
      <c r="C16" s="1">
        <v>0</v>
      </c>
      <c r="D16" s="1">
        <v>0</v>
      </c>
      <c r="E16" s="1">
        <v>0</v>
      </c>
      <c r="F16" s="1">
        <v>0</v>
      </c>
      <c r="G16" s="9">
        <f>SUM(GA_FINANCIAL)</f>
        <v>0</v>
      </c>
      <c r="I16" s="13" t="s">
        <v>28</v>
      </c>
      <c r="J16" s="16">
        <v>0</v>
      </c>
      <c r="L16" s="6"/>
      <c r="V16" s="9"/>
    </row>
    <row r="17" spans="1:22">
      <c r="A17" s="1" t="s">
        <v>29</v>
      </c>
      <c r="B17" s="6">
        <v>0</v>
      </c>
      <c r="C17" s="1">
        <v>0</v>
      </c>
      <c r="D17" s="1">
        <v>0</v>
      </c>
      <c r="E17" s="1">
        <v>0</v>
      </c>
      <c r="F17" s="1">
        <v>0</v>
      </c>
      <c r="G17" s="9">
        <f>SUM(HI_FINANCIAL)</f>
        <v>0</v>
      </c>
      <c r="I17" s="13"/>
      <c r="J17" s="16"/>
      <c r="L17" s="6"/>
      <c r="V17" s="9"/>
    </row>
    <row r="18" spans="1:22">
      <c r="A18" s="1" t="s">
        <v>30</v>
      </c>
      <c r="B18" s="6">
        <v>0</v>
      </c>
      <c r="C18" s="1">
        <v>0</v>
      </c>
      <c r="D18" s="1">
        <v>0</v>
      </c>
      <c r="E18" s="1">
        <v>0</v>
      </c>
      <c r="F18" s="1">
        <v>0</v>
      </c>
      <c r="G18" s="9">
        <f>SUM(ID_FINANCIAL)</f>
        <v>0</v>
      </c>
      <c r="I18" s="13" t="s">
        <v>31</v>
      </c>
      <c r="J18" s="16"/>
      <c r="L18" s="6"/>
      <c r="V18" s="9"/>
    </row>
    <row r="19" spans="1:22">
      <c r="A19" s="1" t="s">
        <v>32</v>
      </c>
      <c r="B19" s="6">
        <v>0</v>
      </c>
      <c r="C19" s="1">
        <v>0</v>
      </c>
      <c r="D19" s="1">
        <v>0</v>
      </c>
      <c r="E19" s="1">
        <v>0</v>
      </c>
      <c r="F19" s="1">
        <v>0</v>
      </c>
      <c r="G19" s="9">
        <f>SUM(IL_FINANCIAL)</f>
        <v>0</v>
      </c>
      <c r="I19" s="13" t="s">
        <v>33</v>
      </c>
      <c r="J19" s="16">
        <v>0</v>
      </c>
      <c r="L19" s="6"/>
      <c r="V19" s="9"/>
    </row>
    <row r="20" spans="1:22">
      <c r="A20" s="1" t="s">
        <v>34</v>
      </c>
      <c r="B20" s="6">
        <v>0</v>
      </c>
      <c r="C20" s="1">
        <v>0</v>
      </c>
      <c r="D20" s="1">
        <v>0</v>
      </c>
      <c r="E20" s="1">
        <v>0</v>
      </c>
      <c r="F20" s="1">
        <v>0</v>
      </c>
      <c r="G20" s="9">
        <f>SUM(IN_FINANCIAL)</f>
        <v>0</v>
      </c>
      <c r="I20" s="13" t="s">
        <v>35</v>
      </c>
      <c r="J20" s="16">
        <v>-529679</v>
      </c>
      <c r="L20" s="6"/>
      <c r="V20" s="9"/>
    </row>
    <row r="21" spans="1:22">
      <c r="A21" s="1" t="s">
        <v>36</v>
      </c>
      <c r="B21" s="6">
        <v>0</v>
      </c>
      <c r="C21" s="1">
        <v>0</v>
      </c>
      <c r="D21" s="1">
        <v>0</v>
      </c>
      <c r="E21" s="1">
        <v>0</v>
      </c>
      <c r="F21" s="1">
        <v>0</v>
      </c>
      <c r="G21" s="9">
        <f>SUM(IA_FINANCIAL)</f>
        <v>0</v>
      </c>
      <c r="I21" s="13" t="s">
        <v>37</v>
      </c>
      <c r="J21" s="16"/>
      <c r="L21" s="6"/>
      <c r="V21" s="9"/>
    </row>
    <row r="22" spans="1:22">
      <c r="A22" s="1" t="s">
        <v>38</v>
      </c>
      <c r="B22" s="6">
        <v>0</v>
      </c>
      <c r="C22" s="1">
        <v>0</v>
      </c>
      <c r="D22" s="1">
        <v>0</v>
      </c>
      <c r="E22" s="1">
        <v>0</v>
      </c>
      <c r="F22" s="1">
        <v>0</v>
      </c>
      <c r="G22" s="9">
        <f>SUM(KS_FINANCIAL)</f>
        <v>0</v>
      </c>
      <c r="I22" s="13" t="s">
        <v>39</v>
      </c>
      <c r="J22" s="16">
        <v>713876</v>
      </c>
      <c r="L22" s="6"/>
      <c r="V22" s="9"/>
    </row>
    <row r="23" spans="1:22">
      <c r="A23" s="1" t="s">
        <v>40</v>
      </c>
      <c r="B23" s="6">
        <v>0</v>
      </c>
      <c r="C23" s="1">
        <v>0</v>
      </c>
      <c r="D23" s="1">
        <v>0</v>
      </c>
      <c r="E23" s="1">
        <v>0</v>
      </c>
      <c r="F23" s="1">
        <v>0</v>
      </c>
      <c r="G23" s="9">
        <f>SUM(KY_FINANCIAL)</f>
        <v>0</v>
      </c>
      <c r="I23" s="13" t="s">
        <v>41</v>
      </c>
      <c r="J23" s="16"/>
      <c r="L23" s="6"/>
      <c r="V23" s="9"/>
    </row>
    <row r="24" spans="1:22">
      <c r="A24" s="1" t="s">
        <v>42</v>
      </c>
      <c r="B24" s="6">
        <v>0</v>
      </c>
      <c r="C24" s="1">
        <v>0</v>
      </c>
      <c r="D24" s="1">
        <v>0</v>
      </c>
      <c r="E24" s="1">
        <v>0</v>
      </c>
      <c r="F24" s="1">
        <v>0</v>
      </c>
      <c r="G24" s="9">
        <f>SUM(LA_FINANCIAL)</f>
        <v>0</v>
      </c>
      <c r="I24" s="13" t="s">
        <v>43</v>
      </c>
      <c r="J24" s="16">
        <v>937601.99999999988</v>
      </c>
      <c r="L24" s="6"/>
      <c r="V24" s="9"/>
    </row>
    <row r="25" spans="1:22">
      <c r="A25" s="1" t="s">
        <v>44</v>
      </c>
      <c r="B25" s="6">
        <v>0</v>
      </c>
      <c r="C25" s="1">
        <v>0</v>
      </c>
      <c r="D25" s="1">
        <v>0</v>
      </c>
      <c r="E25" s="1">
        <v>0</v>
      </c>
      <c r="F25" s="1">
        <v>0</v>
      </c>
      <c r="G25" s="9">
        <f>SUM(ME_FINANCIAL)</f>
        <v>0</v>
      </c>
      <c r="I25" s="13"/>
      <c r="J25" s="16"/>
      <c r="L25" s="6"/>
      <c r="V25" s="9"/>
    </row>
    <row r="26" spans="1:22">
      <c r="A26" s="1" t="s">
        <v>45</v>
      </c>
      <c r="B26" s="6">
        <v>0</v>
      </c>
      <c r="C26" s="1">
        <v>0</v>
      </c>
      <c r="D26" s="1">
        <v>0</v>
      </c>
      <c r="E26" s="1">
        <v>0</v>
      </c>
      <c r="F26" s="1">
        <v>0</v>
      </c>
      <c r="G26" s="9">
        <f>SUM(MD_FINANCIAL)</f>
        <v>0</v>
      </c>
      <c r="I26" s="13" t="s">
        <v>46</v>
      </c>
      <c r="J26" s="16">
        <f>SUM(ADD_FINANCIAL)-SUM(LESS_FINANCIAL)</f>
        <v>3318532.76</v>
      </c>
      <c r="L26" s="6"/>
      <c r="V26" s="9"/>
    </row>
    <row r="27" spans="1:22">
      <c r="A27" s="1" t="s">
        <v>47</v>
      </c>
      <c r="B27" s="6">
        <v>0</v>
      </c>
      <c r="C27" s="1">
        <v>0</v>
      </c>
      <c r="D27" s="1">
        <v>0</v>
      </c>
      <c r="E27" s="1">
        <v>0</v>
      </c>
      <c r="F27" s="1">
        <v>0</v>
      </c>
      <c r="G27" s="9">
        <f>SUM(MA_FINANCIAL)</f>
        <v>0</v>
      </c>
      <c r="I27" s="13" t="s">
        <v>48</v>
      </c>
      <c r="J27" s="16">
        <f>SUM(ALL_BLOCKS)</f>
        <v>3318532.7600000002</v>
      </c>
      <c r="L27" s="6"/>
      <c r="V27" s="9"/>
    </row>
    <row r="28" spans="1:22">
      <c r="A28" s="1" t="s">
        <v>49</v>
      </c>
      <c r="B28" s="6">
        <v>0</v>
      </c>
      <c r="C28" s="1">
        <v>0</v>
      </c>
      <c r="D28" s="1">
        <v>0</v>
      </c>
      <c r="E28" s="1">
        <v>0</v>
      </c>
      <c r="F28" s="1">
        <v>0</v>
      </c>
      <c r="G28" s="9">
        <f>SUM(MI_FINANCIAL)</f>
        <v>0</v>
      </c>
      <c r="I28" s="14"/>
      <c r="J28" s="17"/>
      <c r="L28" s="6"/>
      <c r="V28" s="9"/>
    </row>
    <row r="29" spans="1:22">
      <c r="A29" s="1" t="s">
        <v>50</v>
      </c>
      <c r="B29" s="6">
        <v>0</v>
      </c>
      <c r="C29" s="1">
        <v>0</v>
      </c>
      <c r="D29" s="1">
        <v>0</v>
      </c>
      <c r="E29" s="1">
        <v>0</v>
      </c>
      <c r="F29" s="1">
        <v>0</v>
      </c>
      <c r="G29" s="9">
        <f>SUM(MN_FINANCIAL)</f>
        <v>0</v>
      </c>
      <c r="L29" s="6"/>
      <c r="V29" s="9"/>
    </row>
    <row r="30" spans="1:22">
      <c r="A30" s="1" t="s">
        <v>51</v>
      </c>
      <c r="B30" s="6">
        <v>0</v>
      </c>
      <c r="C30" s="1">
        <v>0</v>
      </c>
      <c r="D30" s="1">
        <v>0</v>
      </c>
      <c r="E30" s="1">
        <v>0</v>
      </c>
      <c r="F30" s="1">
        <v>0</v>
      </c>
      <c r="G30" s="9">
        <f>SUM(MS_FINANCIAL)</f>
        <v>0</v>
      </c>
      <c r="L30" s="6"/>
      <c r="V30" s="9"/>
    </row>
    <row r="31" spans="1:22">
      <c r="A31" s="1" t="s">
        <v>52</v>
      </c>
      <c r="B31" s="6">
        <v>0</v>
      </c>
      <c r="C31" s="1">
        <v>0</v>
      </c>
      <c r="D31" s="1">
        <v>0</v>
      </c>
      <c r="E31" s="1">
        <v>0</v>
      </c>
      <c r="F31" s="1">
        <v>0</v>
      </c>
      <c r="G31" s="9">
        <f>SUM(MO_FINANCIAL)</f>
        <v>0</v>
      </c>
      <c r="L31" s="6"/>
      <c r="V31" s="9"/>
    </row>
    <row r="32" spans="1:22">
      <c r="A32" s="1" t="s">
        <v>53</v>
      </c>
      <c r="B32" s="6">
        <v>0</v>
      </c>
      <c r="C32" s="1">
        <v>0</v>
      </c>
      <c r="D32" s="1">
        <v>0</v>
      </c>
      <c r="E32" s="1">
        <v>0</v>
      </c>
      <c r="F32" s="1">
        <v>0</v>
      </c>
      <c r="G32" s="9">
        <f>SUM(MT_FINANCIAL)</f>
        <v>0</v>
      </c>
      <c r="L32" s="6"/>
      <c r="V32" s="9"/>
    </row>
    <row r="33" spans="1:22">
      <c r="A33" s="1" t="s">
        <v>54</v>
      </c>
      <c r="B33" s="6">
        <v>0</v>
      </c>
      <c r="C33" s="1">
        <v>0</v>
      </c>
      <c r="D33" s="1">
        <v>0</v>
      </c>
      <c r="E33" s="1">
        <v>0</v>
      </c>
      <c r="F33" s="1">
        <v>0</v>
      </c>
      <c r="G33" s="9">
        <f>SUM(NE_FINANCIAL)</f>
        <v>0</v>
      </c>
      <c r="L33" s="6"/>
      <c r="V33" s="9"/>
    </row>
    <row r="34" spans="1:22">
      <c r="A34" s="1" t="s">
        <v>55</v>
      </c>
      <c r="B34" s="6">
        <v>0</v>
      </c>
      <c r="C34" s="1">
        <v>0</v>
      </c>
      <c r="D34" s="1">
        <v>0</v>
      </c>
      <c r="E34" s="1">
        <v>0</v>
      </c>
      <c r="F34" s="1">
        <v>0</v>
      </c>
      <c r="G34" s="9">
        <f>SUM(NV_FINANCIAL)</f>
        <v>0</v>
      </c>
      <c r="L34" s="6"/>
      <c r="V34" s="9"/>
    </row>
    <row r="35" spans="1:22">
      <c r="A35" s="1" t="s">
        <v>56</v>
      </c>
      <c r="B35" s="6">
        <v>0</v>
      </c>
      <c r="C35" s="1">
        <v>0</v>
      </c>
      <c r="D35" s="1">
        <v>0</v>
      </c>
      <c r="E35" s="1">
        <v>0</v>
      </c>
      <c r="F35" s="1">
        <v>0</v>
      </c>
      <c r="G35" s="9">
        <f>SUM(NH_FINANCIAL)</f>
        <v>0</v>
      </c>
      <c r="L35" s="6"/>
      <c r="V35" s="9"/>
    </row>
    <row r="36" spans="1:22">
      <c r="A36" s="1" t="s">
        <v>57</v>
      </c>
      <c r="B36" s="6">
        <v>0</v>
      </c>
      <c r="C36" s="1">
        <v>0</v>
      </c>
      <c r="D36" s="1">
        <v>0</v>
      </c>
      <c r="E36" s="1">
        <v>0</v>
      </c>
      <c r="F36" s="1">
        <v>0</v>
      </c>
      <c r="G36" s="9">
        <f>SUM(NJ_FINANCIAL)</f>
        <v>0</v>
      </c>
      <c r="L36" s="6"/>
      <c r="V36" s="9"/>
    </row>
    <row r="37" spans="1:22">
      <c r="A37" s="1" t="s">
        <v>58</v>
      </c>
      <c r="B37" s="6">
        <v>0</v>
      </c>
      <c r="C37" s="1">
        <v>0</v>
      </c>
      <c r="D37" s="1">
        <v>0</v>
      </c>
      <c r="E37" s="1">
        <v>0</v>
      </c>
      <c r="F37" s="1">
        <v>0</v>
      </c>
      <c r="G37" s="9">
        <f>SUM(NM_FINANCIAL)</f>
        <v>0</v>
      </c>
      <c r="L37" s="6"/>
      <c r="V37" s="9"/>
    </row>
    <row r="38" spans="1:22">
      <c r="A38" s="1" t="s">
        <v>59</v>
      </c>
      <c r="B38" s="6">
        <v>0</v>
      </c>
      <c r="C38" s="1">
        <v>0</v>
      </c>
      <c r="D38" s="1">
        <v>0</v>
      </c>
      <c r="E38" s="1">
        <v>0</v>
      </c>
      <c r="F38" s="1">
        <v>0</v>
      </c>
      <c r="G38" s="9">
        <f>SUM(NY_FINANCIAL)</f>
        <v>0</v>
      </c>
      <c r="L38" s="6"/>
      <c r="V38" s="9"/>
    </row>
    <row r="39" spans="1:22">
      <c r="A39" s="1" t="s">
        <v>60</v>
      </c>
      <c r="B39" s="6">
        <v>0</v>
      </c>
      <c r="C39" s="1">
        <v>0</v>
      </c>
      <c r="D39" s="1">
        <v>0</v>
      </c>
      <c r="E39" s="1">
        <v>0</v>
      </c>
      <c r="F39" s="1">
        <v>0</v>
      </c>
      <c r="G39" s="9">
        <f>SUM(NC_FINANCIAL)</f>
        <v>0</v>
      </c>
      <c r="L39" s="6"/>
      <c r="V39" s="9"/>
    </row>
    <row r="40" spans="1:22">
      <c r="A40" s="1" t="s">
        <v>61</v>
      </c>
      <c r="B40" s="6">
        <v>0</v>
      </c>
      <c r="C40" s="1">
        <v>0</v>
      </c>
      <c r="D40" s="1">
        <v>0</v>
      </c>
      <c r="E40" s="1">
        <v>0</v>
      </c>
      <c r="F40" s="1">
        <v>0</v>
      </c>
      <c r="G40" s="9">
        <f>SUM(ND_FINANCIAL)</f>
        <v>0</v>
      </c>
      <c r="L40" s="6"/>
      <c r="V40" s="9"/>
    </row>
    <row r="41" spans="1:22">
      <c r="A41" s="1" t="s">
        <v>62</v>
      </c>
      <c r="B41" s="6">
        <v>0</v>
      </c>
      <c r="C41" s="1">
        <v>0</v>
      </c>
      <c r="D41" s="1">
        <v>0</v>
      </c>
      <c r="E41" s="1">
        <v>0</v>
      </c>
      <c r="F41" s="1">
        <v>0</v>
      </c>
      <c r="G41" s="9">
        <f>SUM(OH_FINANCIAL)</f>
        <v>0</v>
      </c>
      <c r="L41" s="6"/>
      <c r="V41" s="9"/>
    </row>
    <row r="42" spans="1:22">
      <c r="A42" s="1" t="s">
        <v>63</v>
      </c>
      <c r="B42" s="6">
        <v>0</v>
      </c>
      <c r="C42" s="1">
        <v>0</v>
      </c>
      <c r="D42" s="1">
        <v>0</v>
      </c>
      <c r="E42" s="1">
        <v>0</v>
      </c>
      <c r="F42" s="1">
        <v>0</v>
      </c>
      <c r="G42" s="9">
        <f>SUM(OK_FINANCIAL)</f>
        <v>0</v>
      </c>
      <c r="L42" s="6"/>
      <c r="V42" s="9"/>
    </row>
    <row r="43" spans="1:22">
      <c r="A43" s="1" t="s">
        <v>64</v>
      </c>
      <c r="B43" s="6">
        <v>0</v>
      </c>
      <c r="C43" s="1">
        <v>0</v>
      </c>
      <c r="D43" s="1">
        <v>0</v>
      </c>
      <c r="E43" s="1">
        <v>0</v>
      </c>
      <c r="F43" s="1">
        <v>0</v>
      </c>
      <c r="G43" s="9">
        <f>SUM(OR_FINANCIAL)</f>
        <v>0</v>
      </c>
      <c r="L43" s="6"/>
      <c r="V43" s="9"/>
    </row>
    <row r="44" spans="1:22">
      <c r="A44" s="1" t="s">
        <v>65</v>
      </c>
      <c r="B44" s="6">
        <v>0</v>
      </c>
      <c r="C44" s="1">
        <v>0</v>
      </c>
      <c r="D44" s="1">
        <v>0</v>
      </c>
      <c r="E44" s="1">
        <v>0</v>
      </c>
      <c r="F44" s="1">
        <v>0</v>
      </c>
      <c r="G44" s="9">
        <f>SUM(PA_FINANCIAL)</f>
        <v>0</v>
      </c>
      <c r="L44" s="6"/>
      <c r="V44" s="9"/>
    </row>
    <row r="45" spans="1:22">
      <c r="A45" s="1" t="s">
        <v>66</v>
      </c>
      <c r="B45" s="6">
        <v>0</v>
      </c>
      <c r="C45" s="1">
        <v>0</v>
      </c>
      <c r="D45" s="1">
        <v>0</v>
      </c>
      <c r="E45" s="1">
        <v>0</v>
      </c>
      <c r="F45" s="1">
        <v>0</v>
      </c>
      <c r="G45" s="9">
        <f>SUM(PR_FINANCIAL)</f>
        <v>0</v>
      </c>
      <c r="L45" s="6"/>
      <c r="V45" s="9"/>
    </row>
    <row r="46" spans="1:22">
      <c r="A46" s="1" t="s">
        <v>67</v>
      </c>
      <c r="B46" s="6">
        <v>0</v>
      </c>
      <c r="C46" s="1">
        <v>0</v>
      </c>
      <c r="D46" s="1">
        <v>0</v>
      </c>
      <c r="E46" s="1">
        <v>0</v>
      </c>
      <c r="F46" s="1">
        <v>0</v>
      </c>
      <c r="G46" s="9">
        <f>SUM(RI_FINANCIAL)</f>
        <v>0</v>
      </c>
      <c r="L46" s="6"/>
      <c r="V46" s="9"/>
    </row>
    <row r="47" spans="1:22">
      <c r="A47" s="1" t="s">
        <v>68</v>
      </c>
      <c r="B47" s="6">
        <v>0</v>
      </c>
      <c r="C47" s="1">
        <v>0</v>
      </c>
      <c r="D47" s="1">
        <v>0</v>
      </c>
      <c r="E47" s="1">
        <v>0</v>
      </c>
      <c r="F47" s="1">
        <v>0</v>
      </c>
      <c r="G47" s="9">
        <f>SUM(SC_FINANCIAL)</f>
        <v>0</v>
      </c>
      <c r="L47" s="6"/>
      <c r="V47" s="9"/>
    </row>
    <row r="48" spans="1:22">
      <c r="A48" s="1" t="s">
        <v>69</v>
      </c>
      <c r="B48" s="6">
        <v>0</v>
      </c>
      <c r="C48" s="1">
        <v>0</v>
      </c>
      <c r="D48" s="1">
        <v>0</v>
      </c>
      <c r="E48" s="1">
        <v>0</v>
      </c>
      <c r="F48" s="1">
        <v>0</v>
      </c>
      <c r="G48" s="9">
        <f>SUM(SD_FINANCIAL)</f>
        <v>0</v>
      </c>
      <c r="L48" s="6"/>
      <c r="V48" s="9"/>
    </row>
    <row r="49" spans="1:22">
      <c r="A49" s="1" t="s">
        <v>70</v>
      </c>
      <c r="B49" s="6">
        <v>0</v>
      </c>
      <c r="C49" s="1">
        <v>0</v>
      </c>
      <c r="D49" s="1">
        <v>0</v>
      </c>
      <c r="E49" s="1">
        <v>0</v>
      </c>
      <c r="F49" s="1">
        <v>0</v>
      </c>
      <c r="G49" s="9">
        <f>SUM(TN_FINANCIAL)</f>
        <v>0</v>
      </c>
      <c r="L49" s="6"/>
      <c r="V49" s="9"/>
    </row>
    <row r="50" spans="1:22">
      <c r="A50" s="1" t="s">
        <v>71</v>
      </c>
      <c r="B50" s="6">
        <v>0</v>
      </c>
      <c r="C50" s="1">
        <v>0</v>
      </c>
      <c r="D50" s="1">
        <v>0</v>
      </c>
      <c r="E50" s="1">
        <v>0</v>
      </c>
      <c r="F50" s="1">
        <v>0</v>
      </c>
      <c r="G50" s="9">
        <f>SUM(TX_FINANCIAL)</f>
        <v>0</v>
      </c>
      <c r="L50" s="6"/>
      <c r="V50" s="9"/>
    </row>
    <row r="51" spans="1:22">
      <c r="A51" s="1" t="s">
        <v>72</v>
      </c>
      <c r="B51" s="6">
        <v>0</v>
      </c>
      <c r="C51" s="1">
        <v>0</v>
      </c>
      <c r="D51" s="1">
        <v>0</v>
      </c>
      <c r="E51" s="1">
        <v>0</v>
      </c>
      <c r="F51" s="1">
        <v>0</v>
      </c>
      <c r="G51" s="9">
        <f>SUM(UT_FINANCIAL)</f>
        <v>0</v>
      </c>
      <c r="L51" s="6"/>
      <c r="V51" s="9"/>
    </row>
    <row r="52" spans="1:22">
      <c r="A52" s="1" t="s">
        <v>73</v>
      </c>
      <c r="B52" s="6">
        <v>0</v>
      </c>
      <c r="C52" s="1">
        <v>0</v>
      </c>
      <c r="D52" s="1">
        <v>0</v>
      </c>
      <c r="E52" s="1">
        <v>0</v>
      </c>
      <c r="F52" s="1">
        <v>0</v>
      </c>
      <c r="G52" s="9">
        <f>SUM(VT_FINANCIAL)</f>
        <v>0</v>
      </c>
      <c r="L52" s="6"/>
      <c r="V52" s="9"/>
    </row>
    <row r="53" spans="1:22">
      <c r="A53" s="1" t="s">
        <v>74</v>
      </c>
      <c r="B53" s="6">
        <v>0</v>
      </c>
      <c r="C53" s="1">
        <v>0</v>
      </c>
      <c r="D53" s="1">
        <v>0</v>
      </c>
      <c r="E53" s="1">
        <v>0</v>
      </c>
      <c r="F53" s="1">
        <v>0</v>
      </c>
      <c r="G53" s="9">
        <f>SUM(VA_FINANCIAL)</f>
        <v>0</v>
      </c>
      <c r="L53" s="6"/>
      <c r="V53" s="9"/>
    </row>
    <row r="54" spans="1:22">
      <c r="A54" s="1" t="s">
        <v>75</v>
      </c>
      <c r="B54" s="6">
        <v>0</v>
      </c>
      <c r="C54" s="1">
        <v>0</v>
      </c>
      <c r="D54" s="1">
        <v>0</v>
      </c>
      <c r="E54" s="1">
        <v>0</v>
      </c>
      <c r="F54" s="1">
        <v>0</v>
      </c>
      <c r="G54" s="9">
        <f>SUM(WA_FINANCIAL)</f>
        <v>0</v>
      </c>
      <c r="L54" s="6"/>
      <c r="V54" s="9"/>
    </row>
    <row r="55" spans="1:22">
      <c r="A55" s="1" t="s">
        <v>76</v>
      </c>
      <c r="B55" s="6">
        <v>0</v>
      </c>
      <c r="C55" s="1">
        <v>0</v>
      </c>
      <c r="D55" s="1">
        <v>0</v>
      </c>
      <c r="E55" s="1">
        <v>0</v>
      </c>
      <c r="F55" s="1">
        <v>0</v>
      </c>
      <c r="G55" s="9">
        <f>SUM(WV_FINANCIAL)</f>
        <v>0</v>
      </c>
      <c r="L55" s="6"/>
      <c r="V55" s="9"/>
    </row>
    <row r="56" spans="1:22">
      <c r="A56" s="1" t="s">
        <v>77</v>
      </c>
      <c r="B56" s="6">
        <v>0</v>
      </c>
      <c r="C56" s="1">
        <v>0</v>
      </c>
      <c r="D56" s="1">
        <v>0</v>
      </c>
      <c r="E56" s="1">
        <v>0</v>
      </c>
      <c r="F56" s="1">
        <v>0</v>
      </c>
      <c r="G56" s="9">
        <f>SUM(WI_FINANCIAL)</f>
        <v>0</v>
      </c>
      <c r="L56" s="6"/>
      <c r="V56" s="9"/>
    </row>
    <row r="57" spans="1:22">
      <c r="A57" s="1" t="s">
        <v>78</v>
      </c>
      <c r="B57" s="6">
        <v>0</v>
      </c>
      <c r="C57" s="1">
        <v>0</v>
      </c>
      <c r="D57" s="1">
        <v>0</v>
      </c>
      <c r="E57" s="1">
        <v>0</v>
      </c>
      <c r="F57" s="1">
        <v>0</v>
      </c>
      <c r="G57" s="9">
        <f>SUM(WY_FINANCIAL)</f>
        <v>0</v>
      </c>
      <c r="L57" s="6"/>
      <c r="V57" s="9"/>
    </row>
    <row r="58" spans="1:22">
      <c r="A58" s="1" t="s">
        <v>79</v>
      </c>
      <c r="B58" s="6">
        <v>0</v>
      </c>
      <c r="C58" s="1">
        <v>0</v>
      </c>
      <c r="D58" s="1">
        <v>0</v>
      </c>
      <c r="E58" s="1">
        <v>0</v>
      </c>
      <c r="F58" s="1">
        <v>0</v>
      </c>
      <c r="G58" s="9">
        <f>SUM(OT_FINANCIAL)</f>
        <v>0</v>
      </c>
      <c r="L58" s="6"/>
      <c r="V58" s="9"/>
    </row>
    <row r="59" spans="1:22">
      <c r="B59" s="6"/>
      <c r="G59" s="9"/>
      <c r="L59" s="6"/>
      <c r="V59" s="9"/>
    </row>
    <row r="60" spans="1:22">
      <c r="A60" s="1" t="s">
        <v>8</v>
      </c>
      <c r="B60" s="6">
        <f>SUM(LIFE)</f>
        <v>2137779.3229980012</v>
      </c>
      <c r="C60" s="1">
        <f>SUM(ALLOCATED)</f>
        <v>1170473.7981022638</v>
      </c>
      <c r="D60" s="1">
        <f>SUM(HEALTH)</f>
        <v>10279.638899735133</v>
      </c>
      <c r="E60" s="1">
        <f>SUM(UNALLOCATED)</f>
        <v>0</v>
      </c>
      <c r="F60" s="1">
        <f>SUM(LTC)</f>
        <v>0</v>
      </c>
      <c r="G60" s="9">
        <f>SUM(ALL_BLOCKS)</f>
        <v>3318532.7600000002</v>
      </c>
      <c r="L60" s="6">
        <f>SUM(LIFE_CALLED)</f>
        <v>2800000</v>
      </c>
      <c r="M60" s="1">
        <f>SUM(LIFE_REFUNDED)</f>
        <v>0</v>
      </c>
      <c r="O60" s="1">
        <f>SUM(ALLOC_CALLED)</f>
        <v>568170</v>
      </c>
      <c r="P60" s="1">
        <f>SUM(ALLOC_REFUNDED)</f>
        <v>0</v>
      </c>
      <c r="R60" s="1">
        <f>SUM(HEALTH_CALLED)</f>
        <v>13000</v>
      </c>
      <c r="S60" s="1">
        <f>SUM(HEALTH_REFUNDED)</f>
        <v>0</v>
      </c>
      <c r="U60" s="1">
        <f>SUM(UNALLOC_CALLED)</f>
        <v>0</v>
      </c>
      <c r="V60" s="9">
        <f>SUM(UNALLOC_REFUNDED)</f>
        <v>0</v>
      </c>
    </row>
    <row r="61" spans="1:22" ht="5.0999999999999996" customHeight="1">
      <c r="B61" s="6"/>
      <c r="G61" s="9"/>
      <c r="L61" s="6"/>
      <c r="V61" s="9"/>
    </row>
    <row r="62" spans="1:22">
      <c r="B62" s="6"/>
      <c r="G62" s="9"/>
      <c r="L62" s="78" t="s">
        <v>80</v>
      </c>
      <c r="M62" s="79"/>
      <c r="N62" s="79"/>
      <c r="O62" s="79"/>
      <c r="P62" s="79"/>
      <c r="Q62" s="79"/>
      <c r="R62" s="79"/>
      <c r="S62" s="79"/>
      <c r="T62" s="79"/>
      <c r="U62" s="79"/>
      <c r="V62" s="80"/>
    </row>
    <row r="63" spans="1:22">
      <c r="B63" s="6"/>
      <c r="G63" s="9"/>
      <c r="L63" s="81"/>
      <c r="M63" s="79"/>
      <c r="N63" s="79"/>
      <c r="O63" s="79"/>
      <c r="P63" s="79"/>
      <c r="Q63" s="79"/>
      <c r="R63" s="79"/>
      <c r="S63" s="79"/>
      <c r="T63" s="79"/>
      <c r="U63" s="79"/>
      <c r="V63" s="80"/>
    </row>
    <row r="64" spans="1:22">
      <c r="B64" s="8"/>
      <c r="C64" s="5"/>
      <c r="D64" s="5"/>
      <c r="E64" s="5"/>
      <c r="F64" s="5"/>
      <c r="G64" s="11"/>
      <c r="L64" s="82"/>
      <c r="M64" s="83"/>
      <c r="N64" s="83"/>
      <c r="O64" s="83"/>
      <c r="P64" s="83"/>
      <c r="Q64" s="83"/>
      <c r="R64" s="83"/>
      <c r="S64" s="83"/>
      <c r="T64" s="83"/>
      <c r="U64" s="83"/>
      <c r="V64" s="84"/>
    </row>
  </sheetData>
  <mergeCells count="8">
    <mergeCell ref="L62:V64"/>
    <mergeCell ref="A1:G1"/>
    <mergeCell ref="B3:G3"/>
    <mergeCell ref="L3:V3"/>
    <mergeCell ref="L4:M4"/>
    <mergeCell ref="O4:P4"/>
    <mergeCell ref="R4:S4"/>
    <mergeCell ref="U4:V4"/>
  </mergeCells>
  <pageMargins left="0" right="0" top="0" bottom="0" header="0" footer="0"/>
  <pageSetup scale="48"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V64"/>
  <sheetViews>
    <sheetView zoomScale="75" workbookViewId="0">
      <selection sqref="A1:G1"/>
    </sheetView>
  </sheetViews>
  <sheetFormatPr defaultColWidth="9.109375" defaultRowHeight="14.4"/>
  <cols>
    <col min="1" max="1" width="20" style="1" customWidth="1"/>
    <col min="2" max="7" width="15" style="1" customWidth="1"/>
    <col min="8" max="8" width="1" style="1" customWidth="1"/>
    <col min="9" max="9" width="30" style="1" customWidth="1"/>
    <col min="10" max="10" width="15" style="1" customWidth="1"/>
    <col min="11" max="11" width="1" style="1" customWidth="1"/>
    <col min="12" max="13" width="15" style="1" customWidth="1"/>
    <col min="14" max="14" width="1" style="1" customWidth="1"/>
    <col min="15" max="16" width="15" style="1" customWidth="1"/>
    <col min="17" max="17" width="1" style="1" customWidth="1"/>
    <col min="18" max="19" width="15" style="1" customWidth="1"/>
    <col min="20" max="20" width="1" style="1" customWidth="1"/>
    <col min="21" max="22" width="15" style="1" customWidth="1"/>
    <col min="23" max="23" width="9.109375" style="1" customWidth="1"/>
    <col min="24" max="16384" width="9.109375" style="1"/>
  </cols>
  <sheetData>
    <row r="1" spans="1:22">
      <c r="A1" s="85" t="s">
        <v>99</v>
      </c>
      <c r="B1" s="79"/>
      <c r="C1" s="79"/>
      <c r="D1" s="79"/>
      <c r="E1" s="79"/>
      <c r="F1" s="79"/>
      <c r="G1" s="79"/>
    </row>
    <row r="3" spans="1:22">
      <c r="B3" s="86" t="s">
        <v>1</v>
      </c>
      <c r="C3" s="87"/>
      <c r="D3" s="87"/>
      <c r="E3" s="87"/>
      <c r="F3" s="87"/>
      <c r="G3" s="88"/>
      <c r="L3" s="89" t="s">
        <v>2</v>
      </c>
      <c r="M3" s="90"/>
      <c r="N3" s="90"/>
      <c r="O3" s="90"/>
      <c r="P3" s="90"/>
      <c r="Q3" s="90"/>
      <c r="R3" s="90"/>
      <c r="S3" s="90"/>
      <c r="T3" s="90"/>
      <c r="U3" s="90"/>
      <c r="V3" s="91"/>
    </row>
    <row r="4" spans="1:22">
      <c r="B4" s="6"/>
      <c r="G4" s="9"/>
      <c r="L4" s="92" t="s">
        <v>3</v>
      </c>
      <c r="M4" s="93"/>
      <c r="N4" s="3"/>
      <c r="O4" s="94" t="s">
        <v>4</v>
      </c>
      <c r="P4" s="93"/>
      <c r="Q4" s="3"/>
      <c r="R4" s="94" t="s">
        <v>5</v>
      </c>
      <c r="S4" s="93"/>
      <c r="T4" s="3"/>
      <c r="U4" s="94" t="s">
        <v>6</v>
      </c>
      <c r="V4" s="95"/>
    </row>
    <row r="5" spans="1:22" ht="60" customHeight="1">
      <c r="B5" s="7" t="s">
        <v>3</v>
      </c>
      <c r="C5" s="4" t="s">
        <v>4</v>
      </c>
      <c r="D5" s="4" t="s">
        <v>5</v>
      </c>
      <c r="E5" s="4" t="s">
        <v>6</v>
      </c>
      <c r="F5" s="4" t="s">
        <v>7</v>
      </c>
      <c r="G5" s="10" t="s">
        <v>8</v>
      </c>
      <c r="L5" s="19" t="s">
        <v>9</v>
      </c>
      <c r="M5" s="18" t="s">
        <v>10</v>
      </c>
      <c r="N5" s="18"/>
      <c r="O5" s="18" t="s">
        <v>9</v>
      </c>
      <c r="P5" s="18" t="s">
        <v>10</v>
      </c>
      <c r="Q5" s="18"/>
      <c r="R5" s="18" t="s">
        <v>9</v>
      </c>
      <c r="S5" s="18" t="s">
        <v>10</v>
      </c>
      <c r="T5" s="18"/>
      <c r="U5" s="18" t="s">
        <v>9</v>
      </c>
      <c r="V5" s="20" t="s">
        <v>10</v>
      </c>
    </row>
    <row r="6" spans="1:22">
      <c r="A6" s="1" t="s">
        <v>11</v>
      </c>
      <c r="B6" s="6">
        <v>4909333.3260520548</v>
      </c>
      <c r="C6" s="1">
        <v>5986667.5073376074</v>
      </c>
      <c r="D6" s="1">
        <v>9149.0163071261923</v>
      </c>
      <c r="E6" s="1">
        <v>0</v>
      </c>
      <c r="F6" s="1">
        <v>0</v>
      </c>
      <c r="G6" s="9">
        <f>SUM(AL_FINANCIAL)</f>
        <v>10905149.849696789</v>
      </c>
      <c r="L6" s="6"/>
      <c r="V6" s="9"/>
    </row>
    <row r="7" spans="1:22">
      <c r="A7" s="1" t="s">
        <v>12</v>
      </c>
      <c r="B7" s="6">
        <v>82112.280082187761</v>
      </c>
      <c r="C7" s="1">
        <v>702010.75500191841</v>
      </c>
      <c r="D7" s="1">
        <v>0</v>
      </c>
      <c r="E7" s="1">
        <v>0</v>
      </c>
      <c r="F7" s="1">
        <v>0</v>
      </c>
      <c r="G7" s="9">
        <f>SUM(AK_FINANCIAL)</f>
        <v>784123.03508410614</v>
      </c>
      <c r="I7" s="12"/>
      <c r="J7" s="15"/>
      <c r="L7" s="6">
        <v>184542</v>
      </c>
      <c r="M7" s="1">
        <v>0</v>
      </c>
      <c r="O7" s="1">
        <v>1064966</v>
      </c>
      <c r="P7" s="1">
        <v>0</v>
      </c>
      <c r="R7" s="1">
        <v>0</v>
      </c>
      <c r="S7" s="1">
        <v>0</v>
      </c>
      <c r="U7" s="1">
        <v>0</v>
      </c>
      <c r="V7" s="9">
        <v>0</v>
      </c>
    </row>
    <row r="8" spans="1:22">
      <c r="A8" s="1" t="s">
        <v>13</v>
      </c>
      <c r="B8" s="6">
        <v>735541.64045091916</v>
      </c>
      <c r="C8" s="1">
        <v>10596895.665925996</v>
      </c>
      <c r="D8" s="1">
        <v>1057.6649278007444</v>
      </c>
      <c r="E8" s="1">
        <v>0</v>
      </c>
      <c r="F8" s="1">
        <v>0</v>
      </c>
      <c r="G8" s="9">
        <f>SUM(AZ_FINANCIAL)</f>
        <v>11333494.971304717</v>
      </c>
      <c r="I8" s="13" t="s">
        <v>14</v>
      </c>
      <c r="J8" s="16"/>
      <c r="L8" s="6"/>
      <c r="V8" s="9"/>
    </row>
    <row r="9" spans="1:22">
      <c r="A9" s="1" t="s">
        <v>15</v>
      </c>
      <c r="B9" s="6">
        <v>631470.12570565718</v>
      </c>
      <c r="C9" s="1">
        <v>2068871.3883029802</v>
      </c>
      <c r="D9" s="1">
        <v>352.79351109997759</v>
      </c>
      <c r="E9" s="1">
        <v>0</v>
      </c>
      <c r="F9" s="1">
        <v>0</v>
      </c>
      <c r="G9" s="9">
        <f>SUM(AR_FINANCIAL)</f>
        <v>2700694.3075197376</v>
      </c>
      <c r="I9" s="13"/>
      <c r="J9" s="16"/>
      <c r="L9" s="6">
        <v>934756</v>
      </c>
      <c r="M9" s="1">
        <v>0</v>
      </c>
      <c r="O9" s="1">
        <v>2951816</v>
      </c>
      <c r="P9" s="1">
        <v>0</v>
      </c>
      <c r="R9" s="1">
        <v>0</v>
      </c>
      <c r="S9" s="1">
        <v>0</v>
      </c>
      <c r="U9" s="1">
        <v>0</v>
      </c>
      <c r="V9" s="9">
        <v>0</v>
      </c>
    </row>
    <row r="10" spans="1:22">
      <c r="A10" s="1" t="s">
        <v>16</v>
      </c>
      <c r="B10" s="6">
        <v>12709303.415439436</v>
      </c>
      <c r="C10" s="1">
        <v>22051705.7741757</v>
      </c>
      <c r="D10" s="1">
        <v>253424.53148264921</v>
      </c>
      <c r="E10" s="1">
        <v>0</v>
      </c>
      <c r="F10" s="1">
        <v>0</v>
      </c>
      <c r="G10" s="9">
        <f>SUM(CA_FINANCIAL)</f>
        <v>35014433.72109779</v>
      </c>
      <c r="I10" s="13" t="s">
        <v>17</v>
      </c>
      <c r="J10" s="16">
        <v>1275261107.2480211</v>
      </c>
      <c r="L10" s="6">
        <v>15000000</v>
      </c>
      <c r="M10" s="1">
        <v>0</v>
      </c>
      <c r="O10" s="1">
        <v>15000000</v>
      </c>
      <c r="P10" s="1">
        <v>0</v>
      </c>
      <c r="R10" s="1">
        <v>0</v>
      </c>
      <c r="S10" s="1">
        <v>0</v>
      </c>
      <c r="U10" s="1">
        <v>0</v>
      </c>
      <c r="V10" s="9">
        <v>0</v>
      </c>
    </row>
    <row r="11" spans="1:22">
      <c r="A11" s="1" t="s">
        <v>18</v>
      </c>
      <c r="B11" s="6">
        <v>734475.04171451414</v>
      </c>
      <c r="C11" s="1">
        <v>6719697.8396921437</v>
      </c>
      <c r="D11" s="1">
        <v>417.19800602695113</v>
      </c>
      <c r="E11" s="1">
        <v>0</v>
      </c>
      <c r="F11" s="1">
        <v>0</v>
      </c>
      <c r="G11" s="9">
        <f>SUM(CO_FINANCIAL)</f>
        <v>7454590.0794126848</v>
      </c>
      <c r="I11" s="13"/>
      <c r="J11" s="16"/>
      <c r="L11" s="6">
        <v>0</v>
      </c>
      <c r="M11" s="1">
        <v>0</v>
      </c>
      <c r="O11" s="1">
        <v>10000000</v>
      </c>
      <c r="P11" s="1">
        <v>0</v>
      </c>
      <c r="R11" s="1">
        <v>0</v>
      </c>
      <c r="S11" s="1">
        <v>0</v>
      </c>
      <c r="U11" s="1">
        <v>0</v>
      </c>
      <c r="V11" s="9">
        <v>0</v>
      </c>
    </row>
    <row r="12" spans="1:22">
      <c r="A12" s="1" t="s">
        <v>19</v>
      </c>
      <c r="B12" s="6">
        <v>296721.42374993651</v>
      </c>
      <c r="C12" s="1">
        <v>29431063.561553039</v>
      </c>
      <c r="D12" s="1">
        <v>0</v>
      </c>
      <c r="E12" s="1">
        <v>0</v>
      </c>
      <c r="F12" s="1">
        <v>0</v>
      </c>
      <c r="G12" s="9">
        <f>SUM(CT_FINANCIAL)</f>
        <v>29727784.985302974</v>
      </c>
      <c r="I12" s="13" t="s">
        <v>20</v>
      </c>
      <c r="J12" s="16"/>
      <c r="L12" s="6">
        <v>0</v>
      </c>
      <c r="M12" s="1">
        <v>0</v>
      </c>
      <c r="O12" s="1">
        <v>42410474</v>
      </c>
      <c r="P12" s="1">
        <v>0</v>
      </c>
      <c r="R12" s="1">
        <v>0</v>
      </c>
      <c r="S12" s="1">
        <v>0</v>
      </c>
      <c r="U12" s="1">
        <v>0</v>
      </c>
      <c r="V12" s="9">
        <v>0</v>
      </c>
    </row>
    <row r="13" spans="1:22">
      <c r="A13" s="1" t="s">
        <v>21</v>
      </c>
      <c r="B13" s="6">
        <v>155004.65547786962</v>
      </c>
      <c r="C13" s="1">
        <v>8982657.0049748719</v>
      </c>
      <c r="D13" s="1">
        <v>274.07690618923209</v>
      </c>
      <c r="E13" s="1">
        <v>0</v>
      </c>
      <c r="F13" s="1">
        <v>0</v>
      </c>
      <c r="G13" s="9">
        <f>SUM(DE_FINANCIAL)</f>
        <v>9137935.7373589315</v>
      </c>
      <c r="I13" s="13" t="s">
        <v>22</v>
      </c>
      <c r="J13" s="16">
        <v>0</v>
      </c>
      <c r="L13" s="6">
        <v>200000</v>
      </c>
      <c r="M13" s="1">
        <v>0</v>
      </c>
      <c r="O13" s="1">
        <v>12300000</v>
      </c>
      <c r="P13" s="1">
        <v>0</v>
      </c>
      <c r="R13" s="1">
        <v>0</v>
      </c>
      <c r="S13" s="1">
        <v>0</v>
      </c>
      <c r="U13" s="1">
        <v>0</v>
      </c>
      <c r="V13" s="9">
        <v>0</v>
      </c>
    </row>
    <row r="14" spans="1:22">
      <c r="A14" s="1" t="s">
        <v>23</v>
      </c>
      <c r="B14" s="6">
        <v>1323457.1347992097</v>
      </c>
      <c r="C14" s="1">
        <v>850889.4366833684</v>
      </c>
      <c r="D14" s="1">
        <v>3198.7565813730221</v>
      </c>
      <c r="E14" s="1">
        <v>0</v>
      </c>
      <c r="F14" s="1">
        <v>0</v>
      </c>
      <c r="G14" s="9">
        <f>SUM(DC_FINANCIAL)</f>
        <v>2177545.3280639513</v>
      </c>
      <c r="I14" s="13" t="s">
        <v>24</v>
      </c>
      <c r="J14" s="16">
        <v>0</v>
      </c>
      <c r="L14" s="6">
        <v>0</v>
      </c>
      <c r="M14" s="1">
        <v>0</v>
      </c>
      <c r="O14" s="1">
        <v>1188000</v>
      </c>
      <c r="P14" s="1">
        <v>0</v>
      </c>
      <c r="R14" s="1">
        <v>0</v>
      </c>
      <c r="S14" s="1">
        <v>0</v>
      </c>
      <c r="U14" s="1">
        <v>0</v>
      </c>
      <c r="V14" s="9">
        <v>0</v>
      </c>
    </row>
    <row r="15" spans="1:22">
      <c r="A15" s="1" t="s">
        <v>25</v>
      </c>
      <c r="B15" s="6">
        <v>2592902.3097772333</v>
      </c>
      <c r="C15" s="1">
        <v>50793016.417060107</v>
      </c>
      <c r="D15" s="1">
        <v>4158.3835557849288</v>
      </c>
      <c r="E15" s="1">
        <v>0</v>
      </c>
      <c r="F15" s="1">
        <v>0</v>
      </c>
      <c r="G15" s="9">
        <f>SUM(FL_FINANCIAL)</f>
        <v>53390077.110393122</v>
      </c>
      <c r="I15" s="13" t="s">
        <v>26</v>
      </c>
      <c r="J15" s="16">
        <v>7322754</v>
      </c>
      <c r="L15" s="6">
        <v>0</v>
      </c>
      <c r="M15" s="1">
        <v>0</v>
      </c>
      <c r="O15" s="1">
        <v>64700000</v>
      </c>
      <c r="P15" s="1">
        <v>0</v>
      </c>
      <c r="R15" s="1">
        <v>0</v>
      </c>
      <c r="S15" s="1">
        <v>0</v>
      </c>
      <c r="U15" s="1">
        <v>0</v>
      </c>
      <c r="V15" s="9">
        <v>0</v>
      </c>
    </row>
    <row r="16" spans="1:22">
      <c r="A16" s="1" t="s">
        <v>27</v>
      </c>
      <c r="B16" s="6">
        <v>3156739.213869296</v>
      </c>
      <c r="C16" s="1">
        <v>10943830.466951409</v>
      </c>
      <c r="D16" s="1">
        <v>959.62697441190653</v>
      </c>
      <c r="E16" s="1">
        <v>0</v>
      </c>
      <c r="F16" s="1">
        <v>0</v>
      </c>
      <c r="G16" s="9">
        <f>SUM(GA_FINANCIAL)</f>
        <v>14101529.307795117</v>
      </c>
      <c r="I16" s="13" t="s">
        <v>28</v>
      </c>
      <c r="J16" s="16">
        <v>905261107.24802089</v>
      </c>
      <c r="L16" s="6"/>
      <c r="V16" s="9"/>
    </row>
    <row r="17" spans="1:22">
      <c r="A17" s="1" t="s">
        <v>29</v>
      </c>
      <c r="B17" s="6">
        <v>384896.44998564402</v>
      </c>
      <c r="C17" s="1">
        <v>1159236.347514932</v>
      </c>
      <c r="D17" s="1">
        <v>4398.1113980131076</v>
      </c>
      <c r="E17" s="1">
        <v>0</v>
      </c>
      <c r="F17" s="1">
        <v>0</v>
      </c>
      <c r="G17" s="9">
        <f>SUM(HI_FINANCIAL)</f>
        <v>1548530.9088985892</v>
      </c>
      <c r="I17" s="13"/>
      <c r="J17" s="16"/>
      <c r="L17" s="6"/>
      <c r="V17" s="9"/>
    </row>
    <row r="18" spans="1:22">
      <c r="A18" s="1" t="s">
        <v>30</v>
      </c>
      <c r="B18" s="6">
        <v>152358.42438230713</v>
      </c>
      <c r="C18" s="1">
        <v>1412458.4667446865</v>
      </c>
      <c r="D18" s="1">
        <v>1342.4759164778054</v>
      </c>
      <c r="E18" s="1">
        <v>0</v>
      </c>
      <c r="F18" s="1">
        <v>0</v>
      </c>
      <c r="G18" s="9">
        <f>SUM(ID_FINANCIAL)</f>
        <v>1566159.3670434714</v>
      </c>
      <c r="I18" s="13" t="s">
        <v>31</v>
      </c>
      <c r="J18" s="16"/>
      <c r="L18" s="6">
        <v>500000</v>
      </c>
      <c r="M18" s="1">
        <v>0</v>
      </c>
      <c r="O18" s="1">
        <v>2000000</v>
      </c>
      <c r="P18" s="1">
        <v>0</v>
      </c>
      <c r="R18" s="1">
        <v>0</v>
      </c>
      <c r="S18" s="1">
        <v>0</v>
      </c>
      <c r="U18" s="1">
        <v>0</v>
      </c>
      <c r="V18" s="9">
        <v>0</v>
      </c>
    </row>
    <row r="19" spans="1:22">
      <c r="A19" s="1" t="s">
        <v>32</v>
      </c>
      <c r="B19" s="6">
        <v>5672083.7985461298</v>
      </c>
      <c r="C19" s="1">
        <v>18098907.298371695</v>
      </c>
      <c r="D19" s="1">
        <v>2012.2826637183305</v>
      </c>
      <c r="E19" s="1">
        <v>0</v>
      </c>
      <c r="F19" s="1">
        <v>0</v>
      </c>
      <c r="G19" s="9">
        <f>SUM(IL_FINANCIAL)</f>
        <v>23773003.379581541</v>
      </c>
      <c r="I19" s="13" t="s">
        <v>33</v>
      </c>
      <c r="J19" s="16">
        <v>370000000.00000012</v>
      </c>
      <c r="L19" s="6">
        <v>0</v>
      </c>
      <c r="M19" s="1">
        <v>0</v>
      </c>
      <c r="O19" s="1">
        <v>30000000</v>
      </c>
      <c r="P19" s="1">
        <v>0</v>
      </c>
      <c r="R19" s="1">
        <v>0</v>
      </c>
      <c r="S19" s="1">
        <v>0</v>
      </c>
      <c r="U19" s="1">
        <v>0</v>
      </c>
      <c r="V19" s="9">
        <v>0</v>
      </c>
    </row>
    <row r="20" spans="1:22">
      <c r="A20" s="1" t="s">
        <v>34</v>
      </c>
      <c r="B20" s="6">
        <v>1228008.3843307556</v>
      </c>
      <c r="C20" s="1">
        <v>7091861.5693341373</v>
      </c>
      <c r="D20" s="1">
        <v>468.00599646934143</v>
      </c>
      <c r="E20" s="1">
        <v>0</v>
      </c>
      <c r="F20" s="1">
        <v>0</v>
      </c>
      <c r="G20" s="9">
        <f>SUM(IN_FINANCIAL)</f>
        <v>8320337.9596613627</v>
      </c>
      <c r="I20" s="13" t="s">
        <v>35</v>
      </c>
      <c r="J20" s="16">
        <v>905261107.24802089</v>
      </c>
      <c r="L20" s="6">
        <v>0</v>
      </c>
      <c r="M20" s="1">
        <v>0</v>
      </c>
      <c r="O20" s="1">
        <v>5757224</v>
      </c>
      <c r="P20" s="1">
        <v>0</v>
      </c>
      <c r="R20" s="1">
        <v>0</v>
      </c>
      <c r="S20" s="1">
        <v>0</v>
      </c>
      <c r="U20" s="1">
        <v>0</v>
      </c>
      <c r="V20" s="9">
        <v>0</v>
      </c>
    </row>
    <row r="21" spans="1:22">
      <c r="A21" s="1" t="s">
        <v>36</v>
      </c>
      <c r="B21" s="6">
        <v>219942.77206145215</v>
      </c>
      <c r="C21" s="1">
        <v>10080848.208601195</v>
      </c>
      <c r="D21" s="1">
        <v>0</v>
      </c>
      <c r="E21" s="1">
        <v>0</v>
      </c>
      <c r="F21" s="1">
        <v>0</v>
      </c>
      <c r="G21" s="9">
        <f>SUM(IA_FINANCIAL)</f>
        <v>10300790.980662648</v>
      </c>
      <c r="I21" s="13" t="s">
        <v>37</v>
      </c>
      <c r="J21" s="16"/>
      <c r="L21" s="6">
        <v>0</v>
      </c>
      <c r="M21" s="1">
        <v>0</v>
      </c>
      <c r="O21" s="1">
        <v>17000000</v>
      </c>
      <c r="P21" s="1">
        <v>223887</v>
      </c>
      <c r="R21" s="1">
        <v>0</v>
      </c>
      <c r="S21" s="1">
        <v>0</v>
      </c>
      <c r="U21" s="1">
        <v>0</v>
      </c>
      <c r="V21" s="9">
        <v>0</v>
      </c>
    </row>
    <row r="22" spans="1:22">
      <c r="A22" s="1" t="s">
        <v>38</v>
      </c>
      <c r="B22" s="6">
        <v>465218.43642962555</v>
      </c>
      <c r="C22" s="1">
        <v>12769267.4782272</v>
      </c>
      <c r="D22" s="1">
        <v>0</v>
      </c>
      <c r="E22" s="1">
        <v>0</v>
      </c>
      <c r="F22" s="1">
        <v>0</v>
      </c>
      <c r="G22" s="9">
        <f>SUM(KS_FINANCIAL)</f>
        <v>13234485.914656825</v>
      </c>
      <c r="I22" s="13" t="s">
        <v>39</v>
      </c>
      <c r="J22" s="16">
        <v>0</v>
      </c>
      <c r="L22" s="6">
        <v>0</v>
      </c>
      <c r="M22" s="1">
        <v>0</v>
      </c>
      <c r="O22" s="1">
        <v>0</v>
      </c>
      <c r="P22" s="1">
        <v>0</v>
      </c>
      <c r="R22" s="1">
        <v>0</v>
      </c>
      <c r="S22" s="1">
        <v>0</v>
      </c>
      <c r="U22" s="1">
        <v>0</v>
      </c>
      <c r="V22" s="9">
        <v>0</v>
      </c>
    </row>
    <row r="23" spans="1:22">
      <c r="A23" s="1" t="s">
        <v>40</v>
      </c>
      <c r="B23" s="6">
        <v>1339652.2943279061</v>
      </c>
      <c r="C23" s="1">
        <v>5276281.0896406909</v>
      </c>
      <c r="D23" s="1">
        <v>196.07590677767516</v>
      </c>
      <c r="E23" s="1">
        <v>0</v>
      </c>
      <c r="F23" s="1">
        <v>0</v>
      </c>
      <c r="G23" s="9">
        <f>SUM(KY_FINANCIAL)</f>
        <v>6616129.459875375</v>
      </c>
      <c r="I23" s="13" t="s">
        <v>41</v>
      </c>
      <c r="J23" s="16"/>
      <c r="L23" s="6">
        <v>1900000</v>
      </c>
      <c r="M23" s="1">
        <v>0</v>
      </c>
      <c r="O23" s="1">
        <v>7200000</v>
      </c>
      <c r="P23" s="1">
        <v>0</v>
      </c>
      <c r="R23" s="1">
        <v>0</v>
      </c>
      <c r="S23" s="1">
        <v>0</v>
      </c>
      <c r="U23" s="1">
        <v>0</v>
      </c>
      <c r="V23" s="9">
        <v>0</v>
      </c>
    </row>
    <row r="24" spans="1:22">
      <c r="A24" s="1" t="s">
        <v>42</v>
      </c>
      <c r="B24" s="6">
        <v>588595.44388982665</v>
      </c>
      <c r="C24" s="1">
        <v>6422097.383864264</v>
      </c>
      <c r="D24" s="1">
        <v>0</v>
      </c>
      <c r="E24" s="1">
        <v>0</v>
      </c>
      <c r="F24" s="1">
        <v>0</v>
      </c>
      <c r="G24" s="9">
        <f>SUM(LA_FINANCIAL)</f>
        <v>7010692.8277540905</v>
      </c>
      <c r="I24" s="13" t="s">
        <v>43</v>
      </c>
      <c r="J24" s="16">
        <v>0</v>
      </c>
      <c r="L24" s="6">
        <v>0</v>
      </c>
      <c r="M24" s="1">
        <v>0</v>
      </c>
      <c r="O24" s="1">
        <v>0</v>
      </c>
      <c r="P24" s="1">
        <v>0</v>
      </c>
      <c r="R24" s="1">
        <v>0</v>
      </c>
      <c r="S24" s="1">
        <v>0</v>
      </c>
      <c r="U24" s="1">
        <v>0</v>
      </c>
      <c r="V24" s="9">
        <v>0</v>
      </c>
    </row>
    <row r="25" spans="1:22">
      <c r="A25" s="1" t="s">
        <v>44</v>
      </c>
      <c r="B25" s="6">
        <v>23174.320284373411</v>
      </c>
      <c r="C25" s="1">
        <v>3279914.7366009913</v>
      </c>
      <c r="D25" s="1">
        <v>0</v>
      </c>
      <c r="E25" s="1">
        <v>0</v>
      </c>
      <c r="F25" s="1">
        <v>0</v>
      </c>
      <c r="G25" s="9">
        <f>SUM(ME_FINANCIAL)</f>
        <v>3303089.0568853649</v>
      </c>
      <c r="I25" s="13"/>
      <c r="J25" s="16"/>
      <c r="L25" s="6">
        <v>0</v>
      </c>
      <c r="M25" s="1">
        <v>0</v>
      </c>
      <c r="O25" s="1">
        <v>3882000</v>
      </c>
      <c r="P25" s="1">
        <v>0</v>
      </c>
      <c r="R25" s="1">
        <v>0</v>
      </c>
      <c r="S25" s="1">
        <v>0</v>
      </c>
      <c r="U25" s="1">
        <v>0</v>
      </c>
      <c r="V25" s="9">
        <v>0</v>
      </c>
    </row>
    <row r="26" spans="1:22">
      <c r="A26" s="1" t="s">
        <v>45</v>
      </c>
      <c r="B26" s="6">
        <v>18079675.898366231</v>
      </c>
      <c r="C26" s="1">
        <v>15282201.586985942</v>
      </c>
      <c r="D26" s="1">
        <v>90158.421237271963</v>
      </c>
      <c r="E26" s="1">
        <v>0</v>
      </c>
      <c r="F26" s="1">
        <v>0</v>
      </c>
      <c r="G26" s="9">
        <f>SUM(MD_FINANCIAL)</f>
        <v>33452035.906589445</v>
      </c>
      <c r="I26" s="13" t="s">
        <v>46</v>
      </c>
      <c r="J26" s="16">
        <f>SUM(ADD_FINANCIAL)-SUM(LESS_FINANCIAL)</f>
        <v>912583861.24802113</v>
      </c>
      <c r="L26" s="6">
        <v>0</v>
      </c>
      <c r="M26" s="1">
        <v>0</v>
      </c>
      <c r="O26" s="1">
        <v>22000000</v>
      </c>
      <c r="P26" s="1">
        <v>0</v>
      </c>
      <c r="R26" s="1">
        <v>0</v>
      </c>
      <c r="S26" s="1">
        <v>0</v>
      </c>
      <c r="U26" s="1">
        <v>0</v>
      </c>
      <c r="V26" s="9">
        <v>0</v>
      </c>
    </row>
    <row r="27" spans="1:22">
      <c r="A27" s="1" t="s">
        <v>47</v>
      </c>
      <c r="B27" s="6">
        <v>383222.37286967383</v>
      </c>
      <c r="C27" s="1">
        <v>93508708.724869072</v>
      </c>
      <c r="D27" s="1">
        <v>0</v>
      </c>
      <c r="E27" s="1">
        <v>0</v>
      </c>
      <c r="F27" s="1">
        <v>0</v>
      </c>
      <c r="G27" s="9">
        <f>SUM(MA_FINANCIAL)</f>
        <v>93891931.097738743</v>
      </c>
      <c r="I27" s="13" t="s">
        <v>48</v>
      </c>
      <c r="J27" s="16">
        <f>SUM(ALL_BLOCKS)</f>
        <v>912583861.24802125</v>
      </c>
      <c r="L27" s="6">
        <v>560000</v>
      </c>
      <c r="M27" s="1">
        <v>0</v>
      </c>
      <c r="O27" s="1">
        <v>117250000</v>
      </c>
      <c r="P27" s="1">
        <v>0</v>
      </c>
      <c r="R27" s="1">
        <v>0</v>
      </c>
      <c r="S27" s="1">
        <v>0</v>
      </c>
      <c r="U27" s="1">
        <v>0</v>
      </c>
      <c r="V27" s="9">
        <v>0</v>
      </c>
    </row>
    <row r="28" spans="1:22">
      <c r="A28" s="1" t="s">
        <v>49</v>
      </c>
      <c r="B28" s="6">
        <v>2105639.5156855723</v>
      </c>
      <c r="C28" s="1">
        <v>59653013.017663173</v>
      </c>
      <c r="D28" s="1">
        <v>3780.54385221335</v>
      </c>
      <c r="E28" s="1">
        <v>0</v>
      </c>
      <c r="F28" s="1">
        <v>0</v>
      </c>
      <c r="G28" s="9">
        <f>SUM(MI_FINANCIAL)</f>
        <v>61762433.077200957</v>
      </c>
      <c r="I28" s="14"/>
      <c r="J28" s="17"/>
      <c r="L28" s="6">
        <v>3267497</v>
      </c>
      <c r="M28" s="1">
        <v>0</v>
      </c>
      <c r="O28" s="1">
        <v>84999737</v>
      </c>
      <c r="P28" s="1">
        <v>0</v>
      </c>
      <c r="R28" s="1">
        <v>0</v>
      </c>
      <c r="S28" s="1">
        <v>0</v>
      </c>
      <c r="U28" s="1">
        <v>0</v>
      </c>
      <c r="V28" s="9">
        <v>0</v>
      </c>
    </row>
    <row r="29" spans="1:22">
      <c r="A29" s="1" t="s">
        <v>50</v>
      </c>
      <c r="B29" s="6">
        <v>64729.469269998728</v>
      </c>
      <c r="C29" s="1">
        <v>10333369.248475999</v>
      </c>
      <c r="D29" s="1">
        <v>0</v>
      </c>
      <c r="E29" s="1">
        <v>0</v>
      </c>
      <c r="F29" s="1">
        <v>0</v>
      </c>
      <c r="G29" s="9">
        <f>SUM(MN_FINANCIAL)</f>
        <v>10398098.717745997</v>
      </c>
      <c r="L29" s="6"/>
      <c r="V29" s="9"/>
    </row>
    <row r="30" spans="1:22">
      <c r="A30" s="1" t="s">
        <v>51</v>
      </c>
      <c r="B30" s="6">
        <v>1384048.9120658468</v>
      </c>
      <c r="C30" s="1">
        <v>2907458.797363481</v>
      </c>
      <c r="D30" s="1">
        <v>138.82746684258751</v>
      </c>
      <c r="E30" s="1">
        <v>0</v>
      </c>
      <c r="F30" s="1">
        <v>0</v>
      </c>
      <c r="G30" s="9">
        <f>SUM(MS_FINANCIAL)</f>
        <v>4291646.5368961701</v>
      </c>
      <c r="L30" s="6"/>
      <c r="V30" s="9"/>
    </row>
    <row r="31" spans="1:22">
      <c r="A31" s="1" t="s">
        <v>52</v>
      </c>
      <c r="B31" s="6">
        <v>890783.53346452198</v>
      </c>
      <c r="C31" s="1">
        <v>9966812.3111133538</v>
      </c>
      <c r="D31" s="1">
        <v>208.95680576306987</v>
      </c>
      <c r="E31" s="1">
        <v>0</v>
      </c>
      <c r="F31" s="1">
        <v>0</v>
      </c>
      <c r="G31" s="9">
        <f>SUM(MO_FINANCIAL)</f>
        <v>10857804.801383639</v>
      </c>
      <c r="L31" s="6">
        <v>0</v>
      </c>
      <c r="M31" s="1">
        <v>0</v>
      </c>
      <c r="O31" s="1">
        <v>10400000</v>
      </c>
      <c r="P31" s="1">
        <v>0</v>
      </c>
      <c r="R31" s="1">
        <v>0</v>
      </c>
      <c r="S31" s="1">
        <v>0</v>
      </c>
      <c r="U31" s="1">
        <v>0</v>
      </c>
      <c r="V31" s="9">
        <v>0</v>
      </c>
    </row>
    <row r="32" spans="1:22">
      <c r="A32" s="1" t="s">
        <v>53</v>
      </c>
      <c r="B32" s="6">
        <v>67360.660553068839</v>
      </c>
      <c r="C32" s="1">
        <v>751041.35272842587</v>
      </c>
      <c r="D32" s="1">
        <v>283.37977767868381</v>
      </c>
      <c r="E32" s="1">
        <v>0</v>
      </c>
      <c r="F32" s="1">
        <v>0</v>
      </c>
      <c r="G32" s="9">
        <f>SUM(MT_FINANCIAL)</f>
        <v>818685.39305917337</v>
      </c>
      <c r="L32" s="6">
        <v>150000</v>
      </c>
      <c r="M32" s="1">
        <v>0</v>
      </c>
      <c r="O32" s="1">
        <v>1190000</v>
      </c>
      <c r="P32" s="1">
        <v>0</v>
      </c>
      <c r="R32" s="1">
        <v>0</v>
      </c>
      <c r="S32" s="1">
        <v>0</v>
      </c>
      <c r="U32" s="1">
        <v>0</v>
      </c>
      <c r="V32" s="9">
        <v>0</v>
      </c>
    </row>
    <row r="33" spans="1:22">
      <c r="A33" s="1" t="s">
        <v>54</v>
      </c>
      <c r="B33" s="6">
        <v>110699.27824082138</v>
      </c>
      <c r="C33" s="1">
        <v>2931175.2120748162</v>
      </c>
      <c r="D33" s="1">
        <v>0</v>
      </c>
      <c r="E33" s="1">
        <v>0</v>
      </c>
      <c r="F33" s="1">
        <v>0</v>
      </c>
      <c r="G33" s="9">
        <f>SUM(NE_FINANCIAL)</f>
        <v>3041874.4903156376</v>
      </c>
      <c r="L33" s="6"/>
      <c r="V33" s="9"/>
    </row>
    <row r="34" spans="1:22">
      <c r="A34" s="1" t="s">
        <v>55</v>
      </c>
      <c r="B34" s="6">
        <v>410740.6442101975</v>
      </c>
      <c r="C34" s="1">
        <v>2441655.2905112719</v>
      </c>
      <c r="D34" s="1">
        <v>919.55306645734515</v>
      </c>
      <c r="E34" s="1">
        <v>0</v>
      </c>
      <c r="F34" s="1">
        <v>0</v>
      </c>
      <c r="G34" s="9">
        <f>SUM(NV_FINANCIAL)</f>
        <v>2853315.4877879266</v>
      </c>
      <c r="L34" s="6">
        <v>0</v>
      </c>
      <c r="M34" s="1">
        <v>0</v>
      </c>
      <c r="O34" s="1">
        <v>3700000</v>
      </c>
      <c r="P34" s="1">
        <v>0</v>
      </c>
      <c r="R34" s="1">
        <v>0</v>
      </c>
      <c r="S34" s="1">
        <v>0</v>
      </c>
      <c r="U34" s="1">
        <v>0</v>
      </c>
      <c r="V34" s="9">
        <v>0</v>
      </c>
    </row>
    <row r="35" spans="1:22">
      <c r="A35" s="1" t="s">
        <v>56</v>
      </c>
      <c r="B35" s="6">
        <v>78368.959167926951</v>
      </c>
      <c r="C35" s="1">
        <v>23617833.264135223</v>
      </c>
      <c r="D35" s="1">
        <v>0</v>
      </c>
      <c r="E35" s="1">
        <v>0</v>
      </c>
      <c r="F35" s="1">
        <v>0</v>
      </c>
      <c r="G35" s="9">
        <f>SUM(NH_FINANCIAL)</f>
        <v>23696202.22330315</v>
      </c>
      <c r="L35" s="6">
        <v>0</v>
      </c>
      <c r="M35" s="1">
        <v>0</v>
      </c>
      <c r="O35" s="1">
        <v>35000000</v>
      </c>
      <c r="P35" s="1">
        <v>0</v>
      </c>
      <c r="R35" s="1">
        <v>0</v>
      </c>
      <c r="S35" s="1">
        <v>0</v>
      </c>
      <c r="U35" s="1">
        <v>0</v>
      </c>
      <c r="V35" s="9">
        <v>0</v>
      </c>
    </row>
    <row r="36" spans="1:22">
      <c r="A36" s="1" t="s">
        <v>57</v>
      </c>
      <c r="B36" s="6">
        <v>1540158.7847998403</v>
      </c>
      <c r="C36" s="1">
        <v>20925510.225755591</v>
      </c>
      <c r="D36" s="1">
        <v>883.05718599872682</v>
      </c>
      <c r="E36" s="1">
        <v>0</v>
      </c>
      <c r="F36" s="1">
        <v>0</v>
      </c>
      <c r="G36" s="9">
        <f>SUM(NJ_FINANCIAL)</f>
        <v>22466552.067741431</v>
      </c>
      <c r="L36" s="6">
        <v>1919779</v>
      </c>
      <c r="M36" s="1">
        <v>0</v>
      </c>
      <c r="O36" s="1">
        <v>23387314</v>
      </c>
      <c r="P36" s="1">
        <v>0</v>
      </c>
      <c r="R36" s="1">
        <v>0</v>
      </c>
      <c r="S36" s="1">
        <v>0</v>
      </c>
      <c r="U36" s="1">
        <v>0</v>
      </c>
      <c r="V36" s="9">
        <v>0</v>
      </c>
    </row>
    <row r="37" spans="1:22">
      <c r="A37" s="1" t="s">
        <v>58</v>
      </c>
      <c r="B37" s="6">
        <v>398119.81252101215</v>
      </c>
      <c r="C37" s="1">
        <v>1294637.1513804463</v>
      </c>
      <c r="D37" s="1">
        <v>78.716604910745517</v>
      </c>
      <c r="E37" s="1">
        <v>0</v>
      </c>
      <c r="F37" s="1">
        <v>0</v>
      </c>
      <c r="G37" s="9">
        <f>SUM(NM_FINANCIAL)</f>
        <v>1692835.6805063691</v>
      </c>
      <c r="L37" s="6">
        <v>0</v>
      </c>
      <c r="M37" s="1">
        <v>0</v>
      </c>
      <c r="O37" s="1">
        <v>1500000</v>
      </c>
      <c r="P37" s="1">
        <v>0</v>
      </c>
      <c r="R37" s="1">
        <v>0</v>
      </c>
      <c r="S37" s="1">
        <v>0</v>
      </c>
      <c r="U37" s="1">
        <v>0</v>
      </c>
      <c r="V37" s="9">
        <v>0</v>
      </c>
    </row>
    <row r="38" spans="1:22">
      <c r="A38" s="1" t="s">
        <v>59</v>
      </c>
      <c r="B38" s="6">
        <v>0</v>
      </c>
      <c r="C38" s="1">
        <v>0</v>
      </c>
      <c r="D38" s="1">
        <v>0</v>
      </c>
      <c r="E38" s="1">
        <v>0</v>
      </c>
      <c r="F38" s="1">
        <v>0</v>
      </c>
      <c r="G38" s="9">
        <f>SUM(NY_FINANCIAL)</f>
        <v>0</v>
      </c>
      <c r="L38" s="6"/>
      <c r="V38" s="9"/>
    </row>
    <row r="39" spans="1:22">
      <c r="A39" s="1" t="s">
        <v>60</v>
      </c>
      <c r="B39" s="6">
        <v>5854027.9606442861</v>
      </c>
      <c r="C39" s="1">
        <v>18648890.426114857</v>
      </c>
      <c r="D39" s="1">
        <v>1439.0826588682655</v>
      </c>
      <c r="E39" s="1">
        <v>0</v>
      </c>
      <c r="F39" s="1">
        <v>0</v>
      </c>
      <c r="G39" s="9">
        <f>SUM(NC_FINANCIAL)</f>
        <v>24504357.469418012</v>
      </c>
      <c r="L39" s="6">
        <v>8500000</v>
      </c>
      <c r="M39" s="1">
        <v>0</v>
      </c>
      <c r="O39" s="1">
        <v>26300000</v>
      </c>
      <c r="P39" s="1">
        <v>0</v>
      </c>
      <c r="R39" s="1">
        <v>0</v>
      </c>
      <c r="S39" s="1">
        <v>0</v>
      </c>
      <c r="U39" s="1">
        <v>0</v>
      </c>
      <c r="V39" s="9">
        <v>0</v>
      </c>
    </row>
    <row r="40" spans="1:22">
      <c r="A40" s="1" t="s">
        <v>61</v>
      </c>
      <c r="B40" s="6">
        <v>36099.621880859086</v>
      </c>
      <c r="C40" s="1">
        <v>1845393.3106815331</v>
      </c>
      <c r="D40" s="1">
        <v>0</v>
      </c>
      <c r="E40" s="1">
        <v>0</v>
      </c>
      <c r="F40" s="1">
        <v>0</v>
      </c>
      <c r="G40" s="9">
        <f>SUM(ND_FINANCIAL)</f>
        <v>1881492.9325623922</v>
      </c>
      <c r="L40" s="6">
        <v>0</v>
      </c>
      <c r="M40" s="1">
        <v>0</v>
      </c>
      <c r="O40" s="1">
        <v>2140000</v>
      </c>
      <c r="P40" s="1">
        <v>0</v>
      </c>
      <c r="R40" s="1">
        <v>0</v>
      </c>
      <c r="S40" s="1">
        <v>0</v>
      </c>
      <c r="U40" s="1">
        <v>0</v>
      </c>
      <c r="V40" s="9">
        <v>0</v>
      </c>
    </row>
    <row r="41" spans="1:22">
      <c r="A41" s="1" t="s">
        <v>62</v>
      </c>
      <c r="B41" s="6">
        <v>3954764.7532598483</v>
      </c>
      <c r="C41" s="1">
        <v>47252731.96094238</v>
      </c>
      <c r="D41" s="1">
        <v>388.57378605940738</v>
      </c>
      <c r="E41" s="1">
        <v>0</v>
      </c>
      <c r="F41" s="1">
        <v>0</v>
      </c>
      <c r="G41" s="9">
        <f>SUM(OH_FINANCIAL)</f>
        <v>51207885.287988283</v>
      </c>
      <c r="L41" s="6">
        <v>5000000</v>
      </c>
      <c r="M41" s="1">
        <v>0</v>
      </c>
      <c r="O41" s="1">
        <v>34700000</v>
      </c>
      <c r="P41" s="1">
        <v>0</v>
      </c>
      <c r="R41" s="1">
        <v>0</v>
      </c>
      <c r="S41" s="1">
        <v>0</v>
      </c>
      <c r="U41" s="1">
        <v>0</v>
      </c>
      <c r="V41" s="9">
        <v>0</v>
      </c>
    </row>
    <row r="42" spans="1:22">
      <c r="A42" s="1" t="s">
        <v>63</v>
      </c>
      <c r="B42" s="6">
        <v>530913.52075334697</v>
      </c>
      <c r="C42" s="1">
        <v>3370913.4399144617</v>
      </c>
      <c r="D42" s="1">
        <v>186.77303528822344</v>
      </c>
      <c r="E42" s="1">
        <v>0</v>
      </c>
      <c r="F42" s="1">
        <v>0</v>
      </c>
      <c r="G42" s="9">
        <f>SUM(OK_FINANCIAL)</f>
        <v>3902013.7337030969</v>
      </c>
      <c r="L42" s="6">
        <v>1200000</v>
      </c>
      <c r="M42" s="1">
        <v>0</v>
      </c>
      <c r="O42" s="1">
        <v>7200000</v>
      </c>
      <c r="P42" s="1">
        <v>0</v>
      </c>
      <c r="R42" s="1">
        <v>0</v>
      </c>
      <c r="S42" s="1">
        <v>0</v>
      </c>
      <c r="U42" s="1">
        <v>0</v>
      </c>
      <c r="V42" s="9">
        <v>0</v>
      </c>
    </row>
    <row r="43" spans="1:22">
      <c r="A43" s="1" t="s">
        <v>64</v>
      </c>
      <c r="B43" s="6">
        <v>258856.1889586442</v>
      </c>
      <c r="C43" s="1">
        <v>5092285.6623215592</v>
      </c>
      <c r="D43" s="1">
        <v>259.76479620546013</v>
      </c>
      <c r="E43" s="1">
        <v>0</v>
      </c>
      <c r="F43" s="1">
        <v>0</v>
      </c>
      <c r="G43" s="9">
        <f>SUM(OR_FINANCIAL)</f>
        <v>5351401.6160764089</v>
      </c>
      <c r="L43" s="6">
        <v>500000</v>
      </c>
      <c r="M43" s="1">
        <v>0</v>
      </c>
      <c r="O43" s="1">
        <v>8000000</v>
      </c>
      <c r="P43" s="1">
        <v>0</v>
      </c>
      <c r="R43" s="1">
        <v>0</v>
      </c>
      <c r="S43" s="1">
        <v>0</v>
      </c>
      <c r="U43" s="1">
        <v>0</v>
      </c>
      <c r="V43" s="9">
        <v>0</v>
      </c>
    </row>
    <row r="44" spans="1:22">
      <c r="A44" s="1" t="s">
        <v>65</v>
      </c>
      <c r="B44" s="6">
        <v>2491158.0874904329</v>
      </c>
      <c r="C44" s="1">
        <v>153049987.69382372</v>
      </c>
      <c r="D44" s="1">
        <v>3191.6005263811362</v>
      </c>
      <c r="E44" s="1">
        <v>0</v>
      </c>
      <c r="F44" s="1">
        <v>0</v>
      </c>
      <c r="G44" s="9">
        <f>SUM(PA_FINANCIAL)</f>
        <v>155544337.38184056</v>
      </c>
      <c r="L44" s="6">
        <v>0</v>
      </c>
      <c r="M44" s="1">
        <v>0</v>
      </c>
      <c r="O44" s="1">
        <v>225792518</v>
      </c>
      <c r="P44" s="1">
        <v>0</v>
      </c>
      <c r="R44" s="1">
        <v>0</v>
      </c>
      <c r="S44" s="1">
        <v>0</v>
      </c>
      <c r="U44" s="1">
        <v>0</v>
      </c>
      <c r="V44" s="9">
        <v>0</v>
      </c>
    </row>
    <row r="45" spans="1:22">
      <c r="A45" s="1" t="s">
        <v>66</v>
      </c>
      <c r="B45" s="6">
        <v>0</v>
      </c>
      <c r="C45" s="1">
        <v>0</v>
      </c>
      <c r="D45" s="1">
        <v>0</v>
      </c>
      <c r="E45" s="1">
        <v>0</v>
      </c>
      <c r="F45" s="1">
        <v>0</v>
      </c>
      <c r="G45" s="9">
        <f>SUM(PR_FINANCIAL)</f>
        <v>0</v>
      </c>
      <c r="L45" s="6"/>
      <c r="V45" s="9"/>
    </row>
    <row r="46" spans="1:22">
      <c r="A46" s="1" t="s">
        <v>67</v>
      </c>
      <c r="B46" s="6">
        <v>45420.992650723674</v>
      </c>
      <c r="C46" s="1">
        <v>51687484.019108944</v>
      </c>
      <c r="D46" s="1">
        <v>0</v>
      </c>
      <c r="E46" s="1">
        <v>0</v>
      </c>
      <c r="F46" s="1">
        <v>0</v>
      </c>
      <c r="G46" s="9">
        <f>SUM(RI_FINANCIAL)</f>
        <v>51732905.011759669</v>
      </c>
      <c r="L46" s="6">
        <v>16393552</v>
      </c>
      <c r="M46" s="1">
        <v>0</v>
      </c>
      <c r="O46" s="1">
        <v>45559021</v>
      </c>
      <c r="P46" s="1">
        <v>0</v>
      </c>
      <c r="R46" s="1">
        <v>0</v>
      </c>
      <c r="S46" s="1">
        <v>0</v>
      </c>
      <c r="U46" s="1">
        <v>0</v>
      </c>
      <c r="V46" s="9">
        <v>0</v>
      </c>
    </row>
    <row r="47" spans="1:22">
      <c r="A47" s="1" t="s">
        <v>68</v>
      </c>
      <c r="B47" s="6">
        <v>1936267.1234769851</v>
      </c>
      <c r="C47" s="1">
        <v>6852169.832639819</v>
      </c>
      <c r="D47" s="1">
        <v>981.81074488675301</v>
      </c>
      <c r="E47" s="1">
        <v>0</v>
      </c>
      <c r="F47" s="1">
        <v>0</v>
      </c>
      <c r="G47" s="9">
        <f>SUM(SC_FINANCIAL)</f>
        <v>8789418.7668616921</v>
      </c>
      <c r="L47" s="6">
        <v>0</v>
      </c>
      <c r="M47" s="1">
        <v>0</v>
      </c>
      <c r="O47" s="1">
        <v>0</v>
      </c>
      <c r="P47" s="1">
        <v>0</v>
      </c>
      <c r="R47" s="1">
        <v>0</v>
      </c>
      <c r="S47" s="1">
        <v>0</v>
      </c>
      <c r="U47" s="1">
        <v>0</v>
      </c>
      <c r="V47" s="9">
        <v>0</v>
      </c>
    </row>
    <row r="48" spans="1:22">
      <c r="A48" s="1" t="s">
        <v>69</v>
      </c>
      <c r="B48" s="6">
        <v>41728.218229243008</v>
      </c>
      <c r="C48" s="1">
        <v>1744648.5167690911</v>
      </c>
      <c r="D48" s="1">
        <v>0</v>
      </c>
      <c r="E48" s="1">
        <v>0</v>
      </c>
      <c r="F48" s="1">
        <v>0</v>
      </c>
      <c r="G48" s="9">
        <f>SUM(SD_FINANCIAL)</f>
        <v>1786376.7349983342</v>
      </c>
      <c r="L48" s="6">
        <v>0</v>
      </c>
      <c r="M48" s="1">
        <v>0</v>
      </c>
      <c r="O48" s="1">
        <v>2527760</v>
      </c>
      <c r="P48" s="1">
        <v>0</v>
      </c>
      <c r="R48" s="1">
        <v>0</v>
      </c>
      <c r="S48" s="1">
        <v>0</v>
      </c>
      <c r="U48" s="1">
        <v>0</v>
      </c>
      <c r="V48" s="9">
        <v>0</v>
      </c>
    </row>
    <row r="49" spans="1:22">
      <c r="A49" s="1" t="s">
        <v>70</v>
      </c>
      <c r="B49" s="6">
        <v>1713073.5718520398</v>
      </c>
      <c r="C49" s="1">
        <v>10460895.473328488</v>
      </c>
      <c r="D49" s="1">
        <v>525.25443640442904</v>
      </c>
      <c r="E49" s="1">
        <v>0</v>
      </c>
      <c r="F49" s="1">
        <v>0</v>
      </c>
      <c r="G49" s="9">
        <f>SUM(TN_FINANCIAL)</f>
        <v>12174494.299616931</v>
      </c>
      <c r="L49" s="6">
        <v>2564823</v>
      </c>
      <c r="M49" s="1">
        <v>0</v>
      </c>
      <c r="O49" s="1">
        <v>15574888</v>
      </c>
      <c r="P49" s="1">
        <v>0</v>
      </c>
      <c r="R49" s="1">
        <v>0</v>
      </c>
      <c r="S49" s="1">
        <v>0</v>
      </c>
      <c r="U49" s="1">
        <v>0</v>
      </c>
      <c r="V49" s="9">
        <v>0</v>
      </c>
    </row>
    <row r="50" spans="1:22">
      <c r="A50" s="1" t="s">
        <v>71</v>
      </c>
      <c r="B50" s="6">
        <v>3465442.4819651083</v>
      </c>
      <c r="C50" s="1">
        <v>31125649.613827568</v>
      </c>
      <c r="D50" s="1">
        <v>1719.6000145501951</v>
      </c>
      <c r="E50" s="1">
        <v>0</v>
      </c>
      <c r="F50" s="1">
        <v>0</v>
      </c>
      <c r="G50" s="9">
        <f>SUM(TX_FINANCIAL)</f>
        <v>34592811.695807226</v>
      </c>
      <c r="L50" s="6">
        <v>0</v>
      </c>
      <c r="M50" s="1">
        <v>0</v>
      </c>
      <c r="O50" s="1">
        <v>44537845</v>
      </c>
      <c r="P50" s="1">
        <v>0</v>
      </c>
      <c r="R50" s="1">
        <v>0</v>
      </c>
      <c r="S50" s="1">
        <v>0</v>
      </c>
      <c r="U50" s="1">
        <v>0</v>
      </c>
      <c r="V50" s="9">
        <v>0</v>
      </c>
    </row>
    <row r="51" spans="1:22">
      <c r="A51" s="1" t="s">
        <v>72</v>
      </c>
      <c r="B51" s="6">
        <v>140662.13343642899</v>
      </c>
      <c r="C51" s="1">
        <v>2043803.4099566443</v>
      </c>
      <c r="D51" s="1">
        <v>524.5388309052405</v>
      </c>
      <c r="E51" s="1">
        <v>0</v>
      </c>
      <c r="F51" s="1">
        <v>0</v>
      </c>
      <c r="G51" s="9">
        <f>SUM(UT_FINANCIAL)</f>
        <v>2184990.0822239784</v>
      </c>
      <c r="L51" s="6"/>
      <c r="V51" s="9"/>
    </row>
    <row r="52" spans="1:22">
      <c r="A52" s="1" t="s">
        <v>73</v>
      </c>
      <c r="B52" s="6">
        <v>7616.9395463033834</v>
      </c>
      <c r="C52" s="1">
        <v>2417708.0377656678</v>
      </c>
      <c r="D52" s="1">
        <v>0</v>
      </c>
      <c r="E52" s="1">
        <v>0</v>
      </c>
      <c r="F52" s="1">
        <v>0</v>
      </c>
      <c r="G52" s="9">
        <f>SUM(VT_FINANCIAL)</f>
        <v>2425324.9773119711</v>
      </c>
      <c r="L52" s="6">
        <v>0</v>
      </c>
      <c r="M52" s="1">
        <v>0</v>
      </c>
      <c r="O52" s="1">
        <v>3000000</v>
      </c>
      <c r="P52" s="1">
        <v>0</v>
      </c>
      <c r="R52" s="1">
        <v>0</v>
      </c>
      <c r="S52" s="1">
        <v>0</v>
      </c>
      <c r="U52" s="1">
        <v>0</v>
      </c>
      <c r="V52" s="9">
        <v>0</v>
      </c>
    </row>
    <row r="53" spans="1:22">
      <c r="A53" s="1" t="s">
        <v>74</v>
      </c>
      <c r="B53" s="6">
        <v>2226457.2848738888</v>
      </c>
      <c r="C53" s="1">
        <v>8134324.0188980307</v>
      </c>
      <c r="D53" s="1">
        <v>2489.5915316771238</v>
      </c>
      <c r="E53" s="1">
        <v>0</v>
      </c>
      <c r="F53" s="1">
        <v>0</v>
      </c>
      <c r="G53" s="9">
        <f>SUM(VA_FINANCIAL)</f>
        <v>10363270.895303598</v>
      </c>
      <c r="L53" s="6">
        <v>0</v>
      </c>
      <c r="M53" s="1">
        <v>0</v>
      </c>
      <c r="O53" s="1">
        <v>8800000</v>
      </c>
      <c r="P53" s="1">
        <v>0</v>
      </c>
      <c r="R53" s="1">
        <v>0</v>
      </c>
      <c r="S53" s="1">
        <v>0</v>
      </c>
      <c r="U53" s="1">
        <v>0</v>
      </c>
      <c r="V53" s="9">
        <v>0</v>
      </c>
    </row>
    <row r="54" spans="1:22">
      <c r="A54" s="1" t="s">
        <v>75</v>
      </c>
      <c r="B54" s="6">
        <v>649047.75524689059</v>
      </c>
      <c r="C54" s="1">
        <v>6870213.3175782608</v>
      </c>
      <c r="D54" s="1">
        <v>0</v>
      </c>
      <c r="E54" s="1">
        <v>0</v>
      </c>
      <c r="F54" s="1">
        <v>0</v>
      </c>
      <c r="G54" s="9">
        <f>SUM(WA_FINANCIAL)</f>
        <v>7519261.0728251515</v>
      </c>
      <c r="L54" s="6">
        <v>1155300</v>
      </c>
      <c r="M54" s="1">
        <v>0</v>
      </c>
      <c r="O54" s="1">
        <v>9744700</v>
      </c>
      <c r="P54" s="1">
        <v>0</v>
      </c>
      <c r="R54" s="1">
        <v>0</v>
      </c>
      <c r="S54" s="1">
        <v>0</v>
      </c>
      <c r="U54" s="1">
        <v>0</v>
      </c>
      <c r="V54" s="9">
        <v>0</v>
      </c>
    </row>
    <row r="55" spans="1:22">
      <c r="A55" s="1" t="s">
        <v>76</v>
      </c>
      <c r="B55" s="6">
        <v>105910.66792547853</v>
      </c>
      <c r="C55" s="1">
        <v>877024.24998067692</v>
      </c>
      <c r="D55" s="1">
        <v>216.11286075495585</v>
      </c>
      <c r="E55" s="1">
        <v>0</v>
      </c>
      <c r="F55" s="1">
        <v>0</v>
      </c>
      <c r="G55" s="9">
        <f>SUM(WV_FINANCIAL)</f>
        <v>983151.03076691041</v>
      </c>
      <c r="L55" s="6">
        <v>0</v>
      </c>
      <c r="M55" s="1">
        <v>0</v>
      </c>
      <c r="O55" s="1">
        <v>1269869</v>
      </c>
      <c r="P55" s="1">
        <v>0</v>
      </c>
      <c r="R55" s="1">
        <v>0</v>
      </c>
      <c r="S55" s="1">
        <v>0</v>
      </c>
      <c r="U55" s="1">
        <v>0</v>
      </c>
      <c r="V55" s="9">
        <v>0</v>
      </c>
    </row>
    <row r="56" spans="1:22">
      <c r="A56" s="1" t="s">
        <v>77</v>
      </c>
      <c r="B56" s="6">
        <v>480997.17026938958</v>
      </c>
      <c r="C56" s="1">
        <v>14765102.149969194</v>
      </c>
      <c r="D56" s="1">
        <v>0</v>
      </c>
      <c r="E56" s="1">
        <v>0</v>
      </c>
      <c r="F56" s="1">
        <v>0</v>
      </c>
      <c r="G56" s="9">
        <f>SUM(WI_FINANCIAL)</f>
        <v>15246099.320238583</v>
      </c>
      <c r="L56" s="6">
        <v>0</v>
      </c>
      <c r="M56" s="1">
        <v>0</v>
      </c>
      <c r="O56" s="1">
        <v>8500000</v>
      </c>
      <c r="P56" s="1">
        <v>0</v>
      </c>
      <c r="R56" s="1">
        <v>0</v>
      </c>
      <c r="S56" s="1">
        <v>0</v>
      </c>
      <c r="U56" s="1">
        <v>0</v>
      </c>
      <c r="V56" s="9">
        <v>0</v>
      </c>
    </row>
    <row r="57" spans="1:22">
      <c r="A57" s="1" t="s">
        <v>78</v>
      </c>
      <c r="B57" s="6">
        <v>54731.590655018677</v>
      </c>
      <c r="C57" s="1">
        <v>715543.57974562258</v>
      </c>
      <c r="D57" s="1">
        <v>0</v>
      </c>
      <c r="E57" s="1">
        <v>0</v>
      </c>
      <c r="F57" s="1">
        <v>0</v>
      </c>
      <c r="G57" s="9">
        <f>SUM(WY_FINANCIAL)</f>
        <v>770275.17040064128</v>
      </c>
      <c r="L57" s="6"/>
      <c r="V57" s="9"/>
    </row>
    <row r="58" spans="1:22">
      <c r="A58" s="1" t="s">
        <v>79</v>
      </c>
      <c r="B58" s="6">
        <v>0</v>
      </c>
      <c r="C58" s="1">
        <v>0</v>
      </c>
      <c r="D58" s="1">
        <v>0</v>
      </c>
      <c r="E58" s="1">
        <v>0</v>
      </c>
      <c r="F58" s="1">
        <v>0</v>
      </c>
      <c r="G58" s="9">
        <f>SUM(OT_FINANCIAL)</f>
        <v>0</v>
      </c>
      <c r="L58" s="6"/>
      <c r="V58" s="9"/>
    </row>
    <row r="59" spans="1:22">
      <c r="B59" s="6"/>
      <c r="G59" s="9"/>
      <c r="L59" s="6"/>
      <c r="V59" s="9"/>
    </row>
    <row r="60" spans="1:22">
      <c r="A60" s="1" t="s">
        <v>8</v>
      </c>
      <c r="B60" s="6">
        <f>SUM(LIFE)</f>
        <v>86907714.795685977</v>
      </c>
      <c r="C60" s="1">
        <f>SUM(ALLOCATED)</f>
        <v>825286363.29298222</v>
      </c>
      <c r="D60" s="1">
        <f>SUM(HEALTH)</f>
        <v>389783.15935303608</v>
      </c>
      <c r="E60" s="1">
        <f>SUM(UNALLOCATED)</f>
        <v>0</v>
      </c>
      <c r="F60" s="1">
        <f>SUM(LTC)</f>
        <v>0</v>
      </c>
      <c r="G60" s="9">
        <f>SUM(ALL_BLOCKS)</f>
        <v>912583861.24802125</v>
      </c>
      <c r="L60" s="6">
        <f>SUM(LIFE_CALLED)</f>
        <v>59930249</v>
      </c>
      <c r="M60" s="1">
        <f>SUM(LIFE_REFUNDED)</f>
        <v>0</v>
      </c>
      <c r="O60" s="1">
        <f>SUM(ALLOC_CALLED)</f>
        <v>958528132</v>
      </c>
      <c r="P60" s="1">
        <f>SUM(ALLOC_REFUNDED)</f>
        <v>223887</v>
      </c>
      <c r="R60" s="1">
        <f>SUM(HEALTH_CALLED)</f>
        <v>0</v>
      </c>
      <c r="S60" s="1">
        <f>SUM(HEALTH_REFUNDED)</f>
        <v>0</v>
      </c>
      <c r="U60" s="1">
        <f>SUM(UNALLOC_CALLED)</f>
        <v>0</v>
      </c>
      <c r="V60" s="9">
        <f>SUM(UNALLOC_REFUNDED)</f>
        <v>0</v>
      </c>
    </row>
    <row r="61" spans="1:22" ht="5.0999999999999996" customHeight="1">
      <c r="B61" s="6"/>
      <c r="G61" s="9"/>
      <c r="L61" s="6"/>
      <c r="V61" s="9"/>
    </row>
    <row r="62" spans="1:22">
      <c r="B62" s="6"/>
      <c r="G62" s="9"/>
      <c r="L62" s="78" t="s">
        <v>80</v>
      </c>
      <c r="M62" s="79"/>
      <c r="N62" s="79"/>
      <c r="O62" s="79"/>
      <c r="P62" s="79"/>
      <c r="Q62" s="79"/>
      <c r="R62" s="79"/>
      <c r="S62" s="79"/>
      <c r="T62" s="79"/>
      <c r="U62" s="79"/>
      <c r="V62" s="80"/>
    </row>
    <row r="63" spans="1:22">
      <c r="B63" s="6"/>
      <c r="G63" s="9"/>
      <c r="L63" s="81"/>
      <c r="M63" s="79"/>
      <c r="N63" s="79"/>
      <c r="O63" s="79"/>
      <c r="P63" s="79"/>
      <c r="Q63" s="79"/>
      <c r="R63" s="79"/>
      <c r="S63" s="79"/>
      <c r="T63" s="79"/>
      <c r="U63" s="79"/>
      <c r="V63" s="80"/>
    </row>
    <row r="64" spans="1:22">
      <c r="B64" s="8"/>
      <c r="C64" s="5"/>
      <c r="D64" s="5"/>
      <c r="E64" s="5"/>
      <c r="F64" s="5"/>
      <c r="G64" s="11"/>
      <c r="L64" s="82"/>
      <c r="M64" s="83"/>
      <c r="N64" s="83"/>
      <c r="O64" s="83"/>
      <c r="P64" s="83"/>
      <c r="Q64" s="83"/>
      <c r="R64" s="83"/>
      <c r="S64" s="83"/>
      <c r="T64" s="83"/>
      <c r="U64" s="83"/>
      <c r="V64" s="84"/>
    </row>
  </sheetData>
  <mergeCells count="8">
    <mergeCell ref="L62:V64"/>
    <mergeCell ref="A1:G1"/>
    <mergeCell ref="B3:G3"/>
    <mergeCell ref="L3:V3"/>
    <mergeCell ref="L4:M4"/>
    <mergeCell ref="O4:P4"/>
    <mergeCell ref="R4:S4"/>
    <mergeCell ref="U4:V4"/>
  </mergeCells>
  <pageMargins left="0" right="0" top="0" bottom="0" header="0" footer="0"/>
  <pageSetup scale="48"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V64"/>
  <sheetViews>
    <sheetView zoomScale="75" workbookViewId="0">
      <selection sqref="A1:G1"/>
    </sheetView>
  </sheetViews>
  <sheetFormatPr defaultColWidth="9.109375" defaultRowHeight="14.4"/>
  <cols>
    <col min="1" max="1" width="20" style="1" customWidth="1"/>
    <col min="2" max="7" width="15" style="1" customWidth="1"/>
    <col min="8" max="8" width="1" style="1" customWidth="1"/>
    <col min="9" max="9" width="30" style="1" customWidth="1"/>
    <col min="10" max="10" width="15" style="1" customWidth="1"/>
    <col min="11" max="11" width="1" style="1" customWidth="1"/>
    <col min="12" max="13" width="15" style="1" customWidth="1"/>
    <col min="14" max="14" width="1" style="1" customWidth="1"/>
    <col min="15" max="16" width="15" style="1" customWidth="1"/>
    <col min="17" max="17" width="1" style="1" customWidth="1"/>
    <col min="18" max="19" width="15" style="1" customWidth="1"/>
    <col min="20" max="20" width="1" style="1" customWidth="1"/>
    <col min="21" max="22" width="15" style="1" customWidth="1"/>
    <col min="23" max="23" width="9.109375" style="1" customWidth="1"/>
    <col min="24" max="16384" width="9.109375" style="1"/>
  </cols>
  <sheetData>
    <row r="1" spans="1:22">
      <c r="A1" s="85" t="s">
        <v>100</v>
      </c>
      <c r="B1" s="79"/>
      <c r="C1" s="79"/>
      <c r="D1" s="79"/>
      <c r="E1" s="79"/>
      <c r="F1" s="79"/>
      <c r="G1" s="79"/>
    </row>
    <row r="3" spans="1:22">
      <c r="B3" s="86" t="s">
        <v>1</v>
      </c>
      <c r="C3" s="87"/>
      <c r="D3" s="87"/>
      <c r="E3" s="87"/>
      <c r="F3" s="87"/>
      <c r="G3" s="88"/>
      <c r="L3" s="89" t="s">
        <v>2</v>
      </c>
      <c r="M3" s="90"/>
      <c r="N3" s="90"/>
      <c r="O3" s="90"/>
      <c r="P3" s="90"/>
      <c r="Q3" s="90"/>
      <c r="R3" s="90"/>
      <c r="S3" s="90"/>
      <c r="T3" s="90"/>
      <c r="U3" s="90"/>
      <c r="V3" s="91"/>
    </row>
    <row r="4" spans="1:22">
      <c r="B4" s="6"/>
      <c r="G4" s="9"/>
      <c r="L4" s="92" t="s">
        <v>3</v>
      </c>
      <c r="M4" s="93"/>
      <c r="N4" s="3"/>
      <c r="O4" s="94" t="s">
        <v>4</v>
      </c>
      <c r="P4" s="93"/>
      <c r="Q4" s="3"/>
      <c r="R4" s="94" t="s">
        <v>5</v>
      </c>
      <c r="S4" s="93"/>
      <c r="T4" s="3"/>
      <c r="U4" s="94" t="s">
        <v>6</v>
      </c>
      <c r="V4" s="95"/>
    </row>
    <row r="5" spans="1:22" ht="60" customHeight="1">
      <c r="B5" s="7" t="s">
        <v>3</v>
      </c>
      <c r="C5" s="4" t="s">
        <v>4</v>
      </c>
      <c r="D5" s="4" t="s">
        <v>5</v>
      </c>
      <c r="E5" s="4" t="s">
        <v>6</v>
      </c>
      <c r="F5" s="4" t="s">
        <v>7</v>
      </c>
      <c r="G5" s="10" t="s">
        <v>8</v>
      </c>
      <c r="L5" s="19" t="s">
        <v>9</v>
      </c>
      <c r="M5" s="18" t="s">
        <v>10</v>
      </c>
      <c r="N5" s="18"/>
      <c r="O5" s="18" t="s">
        <v>9</v>
      </c>
      <c r="P5" s="18" t="s">
        <v>10</v>
      </c>
      <c r="Q5" s="18"/>
      <c r="R5" s="18" t="s">
        <v>9</v>
      </c>
      <c r="S5" s="18" t="s">
        <v>10</v>
      </c>
      <c r="T5" s="18"/>
      <c r="U5" s="18" t="s">
        <v>9</v>
      </c>
      <c r="V5" s="20" t="s">
        <v>10</v>
      </c>
    </row>
    <row r="6" spans="1:22">
      <c r="A6" s="1" t="s">
        <v>11</v>
      </c>
      <c r="B6" s="6">
        <v>0</v>
      </c>
      <c r="C6" s="1">
        <v>0</v>
      </c>
      <c r="D6" s="1">
        <v>0</v>
      </c>
      <c r="E6" s="1">
        <v>0</v>
      </c>
      <c r="F6" s="1">
        <v>0</v>
      </c>
      <c r="G6" s="9">
        <f>SUM(AL_FINANCIAL)</f>
        <v>0</v>
      </c>
      <c r="L6" s="6"/>
      <c r="V6" s="9"/>
    </row>
    <row r="7" spans="1:22">
      <c r="A7" s="1" t="s">
        <v>12</v>
      </c>
      <c r="B7" s="6">
        <v>0</v>
      </c>
      <c r="C7" s="1">
        <v>0</v>
      </c>
      <c r="D7" s="1">
        <v>0</v>
      </c>
      <c r="E7" s="1">
        <v>0</v>
      </c>
      <c r="F7" s="1">
        <v>0</v>
      </c>
      <c r="G7" s="9">
        <f>SUM(AK_FINANCIAL)</f>
        <v>0</v>
      </c>
      <c r="I7" s="12"/>
      <c r="J7" s="15"/>
      <c r="L7" s="6"/>
      <c r="V7" s="9"/>
    </row>
    <row r="8" spans="1:22">
      <c r="A8" s="1" t="s">
        <v>13</v>
      </c>
      <c r="B8" s="6">
        <v>0</v>
      </c>
      <c r="C8" s="1">
        <v>0</v>
      </c>
      <c r="D8" s="1">
        <v>0</v>
      </c>
      <c r="E8" s="1">
        <v>0</v>
      </c>
      <c r="F8" s="1">
        <v>0</v>
      </c>
      <c r="G8" s="9">
        <f>SUM(AZ_FINANCIAL)</f>
        <v>0</v>
      </c>
      <c r="I8" s="13" t="s">
        <v>14</v>
      </c>
      <c r="J8" s="16"/>
      <c r="L8" s="6"/>
      <c r="V8" s="9"/>
    </row>
    <row r="9" spans="1:22">
      <c r="A9" s="1" t="s">
        <v>15</v>
      </c>
      <c r="B9" s="6">
        <v>0</v>
      </c>
      <c r="C9" s="1">
        <v>0</v>
      </c>
      <c r="D9" s="1">
        <v>0</v>
      </c>
      <c r="E9" s="1">
        <v>0</v>
      </c>
      <c r="F9" s="1">
        <v>0</v>
      </c>
      <c r="G9" s="9">
        <f>SUM(AR_FINANCIAL)</f>
        <v>0</v>
      </c>
      <c r="I9" s="13"/>
      <c r="J9" s="16"/>
      <c r="L9" s="6"/>
      <c r="V9" s="9"/>
    </row>
    <row r="10" spans="1:22">
      <c r="A10" s="1" t="s">
        <v>16</v>
      </c>
      <c r="B10" s="6">
        <v>0</v>
      </c>
      <c r="C10" s="1">
        <v>0</v>
      </c>
      <c r="D10" s="1">
        <v>0</v>
      </c>
      <c r="E10" s="1">
        <v>0</v>
      </c>
      <c r="F10" s="1">
        <v>0</v>
      </c>
      <c r="G10" s="9">
        <f>SUM(CA_FINANCIAL)</f>
        <v>0</v>
      </c>
      <c r="I10" s="13" t="s">
        <v>17</v>
      </c>
      <c r="J10" s="16">
        <v>100723070</v>
      </c>
      <c r="L10" s="6"/>
      <c r="V10" s="9"/>
    </row>
    <row r="11" spans="1:22">
      <c r="A11" s="1" t="s">
        <v>18</v>
      </c>
      <c r="B11" s="6">
        <v>0</v>
      </c>
      <c r="C11" s="1">
        <v>0</v>
      </c>
      <c r="D11" s="1">
        <v>83658295</v>
      </c>
      <c r="E11" s="1">
        <v>0</v>
      </c>
      <c r="F11" s="1">
        <v>0</v>
      </c>
      <c r="G11" s="9">
        <f>SUM(CO_FINANCIAL)</f>
        <v>83658295</v>
      </c>
      <c r="I11" s="13"/>
      <c r="J11" s="16"/>
      <c r="L11" s="6">
        <v>0</v>
      </c>
      <c r="M11" s="1">
        <v>0</v>
      </c>
      <c r="O11" s="1">
        <v>0</v>
      </c>
      <c r="P11" s="1">
        <v>0</v>
      </c>
      <c r="R11" s="1">
        <v>104405820</v>
      </c>
      <c r="S11" s="1">
        <v>45450000</v>
      </c>
      <c r="U11" s="1">
        <v>0</v>
      </c>
      <c r="V11" s="9">
        <v>0</v>
      </c>
    </row>
    <row r="12" spans="1:22">
      <c r="A12" s="1" t="s">
        <v>19</v>
      </c>
      <c r="B12" s="6">
        <v>0</v>
      </c>
      <c r="C12" s="1">
        <v>0</v>
      </c>
      <c r="D12" s="1">
        <v>0</v>
      </c>
      <c r="E12" s="1">
        <v>0</v>
      </c>
      <c r="F12" s="1">
        <v>0</v>
      </c>
      <c r="G12" s="9">
        <f>SUM(CT_FINANCIAL)</f>
        <v>0</v>
      </c>
      <c r="I12" s="13" t="s">
        <v>20</v>
      </c>
      <c r="J12" s="16"/>
      <c r="L12" s="6"/>
      <c r="V12" s="9"/>
    </row>
    <row r="13" spans="1:22">
      <c r="A13" s="1" t="s">
        <v>21</v>
      </c>
      <c r="B13" s="6">
        <v>0</v>
      </c>
      <c r="C13" s="1">
        <v>0</v>
      </c>
      <c r="D13" s="1">
        <v>0</v>
      </c>
      <c r="E13" s="1">
        <v>0</v>
      </c>
      <c r="F13" s="1">
        <v>0</v>
      </c>
      <c r="G13" s="9">
        <f>SUM(DE_FINANCIAL)</f>
        <v>0</v>
      </c>
      <c r="I13" s="13" t="s">
        <v>22</v>
      </c>
      <c r="J13" s="16">
        <v>100723070</v>
      </c>
      <c r="L13" s="6"/>
      <c r="V13" s="9"/>
    </row>
    <row r="14" spans="1:22">
      <c r="A14" s="1" t="s">
        <v>23</v>
      </c>
      <c r="B14" s="6">
        <v>0</v>
      </c>
      <c r="C14" s="1">
        <v>0</v>
      </c>
      <c r="D14" s="1">
        <v>0</v>
      </c>
      <c r="E14" s="1">
        <v>0</v>
      </c>
      <c r="F14" s="1">
        <v>0</v>
      </c>
      <c r="G14" s="9">
        <f>SUM(DC_FINANCIAL)</f>
        <v>0</v>
      </c>
      <c r="I14" s="13" t="s">
        <v>24</v>
      </c>
      <c r="J14" s="16">
        <v>4016225</v>
      </c>
      <c r="L14" s="6"/>
      <c r="V14" s="9"/>
    </row>
    <row r="15" spans="1:22">
      <c r="A15" s="1" t="s">
        <v>25</v>
      </c>
      <c r="B15" s="6">
        <v>0</v>
      </c>
      <c r="C15" s="1">
        <v>0</v>
      </c>
      <c r="D15" s="1">
        <v>0</v>
      </c>
      <c r="E15" s="1">
        <v>0</v>
      </c>
      <c r="F15" s="1">
        <v>0</v>
      </c>
      <c r="G15" s="9">
        <f>SUM(FL_FINANCIAL)</f>
        <v>0</v>
      </c>
      <c r="I15" s="13" t="s">
        <v>26</v>
      </c>
      <c r="J15" s="16">
        <v>0</v>
      </c>
      <c r="L15" s="6"/>
      <c r="V15" s="9"/>
    </row>
    <row r="16" spans="1:22">
      <c r="A16" s="1" t="s">
        <v>27</v>
      </c>
      <c r="B16" s="6">
        <v>0</v>
      </c>
      <c r="C16" s="1">
        <v>0</v>
      </c>
      <c r="D16" s="1">
        <v>0</v>
      </c>
      <c r="E16" s="1">
        <v>0</v>
      </c>
      <c r="F16" s="1">
        <v>0</v>
      </c>
      <c r="G16" s="9">
        <f>SUM(GA_FINANCIAL)</f>
        <v>0</v>
      </c>
      <c r="I16" s="13" t="s">
        <v>28</v>
      </c>
      <c r="J16" s="16">
        <v>0</v>
      </c>
      <c r="L16" s="6"/>
      <c r="V16" s="9"/>
    </row>
    <row r="17" spans="1:22">
      <c r="A17" s="1" t="s">
        <v>29</v>
      </c>
      <c r="B17" s="6">
        <v>0</v>
      </c>
      <c r="C17" s="1">
        <v>0</v>
      </c>
      <c r="D17" s="1">
        <v>0</v>
      </c>
      <c r="E17" s="1">
        <v>0</v>
      </c>
      <c r="F17" s="1">
        <v>0</v>
      </c>
      <c r="G17" s="9">
        <f>SUM(HI_FINANCIAL)</f>
        <v>0</v>
      </c>
      <c r="I17" s="13"/>
      <c r="J17" s="16"/>
      <c r="L17" s="6"/>
      <c r="V17" s="9"/>
    </row>
    <row r="18" spans="1:22">
      <c r="A18" s="1" t="s">
        <v>30</v>
      </c>
      <c r="B18" s="6">
        <v>0</v>
      </c>
      <c r="C18" s="1">
        <v>0</v>
      </c>
      <c r="D18" s="1">
        <v>0</v>
      </c>
      <c r="E18" s="1">
        <v>0</v>
      </c>
      <c r="F18" s="1">
        <v>0</v>
      </c>
      <c r="G18" s="9">
        <f>SUM(ID_FINANCIAL)</f>
        <v>0</v>
      </c>
      <c r="I18" s="13" t="s">
        <v>31</v>
      </c>
      <c r="J18" s="16"/>
      <c r="L18" s="6"/>
      <c r="V18" s="9"/>
    </row>
    <row r="19" spans="1:22">
      <c r="A19" s="1" t="s">
        <v>32</v>
      </c>
      <c r="B19" s="6">
        <v>0</v>
      </c>
      <c r="C19" s="1">
        <v>0</v>
      </c>
      <c r="D19" s="1">
        <v>0</v>
      </c>
      <c r="E19" s="1">
        <v>0</v>
      </c>
      <c r="F19" s="1">
        <v>0</v>
      </c>
      <c r="G19" s="9">
        <f>SUM(IL_FINANCIAL)</f>
        <v>0</v>
      </c>
      <c r="I19" s="13" t="s">
        <v>33</v>
      </c>
      <c r="J19" s="16">
        <v>0</v>
      </c>
      <c r="L19" s="6"/>
      <c r="V19" s="9"/>
    </row>
    <row r="20" spans="1:22">
      <c r="A20" s="1" t="s">
        <v>34</v>
      </c>
      <c r="B20" s="6">
        <v>0</v>
      </c>
      <c r="C20" s="1">
        <v>0</v>
      </c>
      <c r="D20" s="1">
        <v>0</v>
      </c>
      <c r="E20" s="1">
        <v>0</v>
      </c>
      <c r="F20" s="1">
        <v>0</v>
      </c>
      <c r="G20" s="9">
        <f>SUM(IN_FINANCIAL)</f>
        <v>0</v>
      </c>
      <c r="I20" s="13" t="s">
        <v>35</v>
      </c>
      <c r="J20" s="16">
        <v>100723070</v>
      </c>
      <c r="L20" s="6"/>
      <c r="V20" s="9"/>
    </row>
    <row r="21" spans="1:22">
      <c r="A21" s="1" t="s">
        <v>36</v>
      </c>
      <c r="B21" s="6">
        <v>0</v>
      </c>
      <c r="C21" s="1">
        <v>0</v>
      </c>
      <c r="D21" s="1">
        <v>0</v>
      </c>
      <c r="E21" s="1">
        <v>0</v>
      </c>
      <c r="F21" s="1">
        <v>0</v>
      </c>
      <c r="G21" s="9">
        <f>SUM(IA_FINANCIAL)</f>
        <v>0</v>
      </c>
      <c r="I21" s="13" t="s">
        <v>37</v>
      </c>
      <c r="J21" s="16"/>
      <c r="L21" s="6"/>
      <c r="V21" s="9"/>
    </row>
    <row r="22" spans="1:22">
      <c r="A22" s="1" t="s">
        <v>38</v>
      </c>
      <c r="B22" s="6">
        <v>0</v>
      </c>
      <c r="C22" s="1">
        <v>0</v>
      </c>
      <c r="D22" s="1">
        <v>0</v>
      </c>
      <c r="E22" s="1">
        <v>0</v>
      </c>
      <c r="F22" s="1">
        <v>0</v>
      </c>
      <c r="G22" s="9">
        <f>SUM(KS_FINANCIAL)</f>
        <v>0</v>
      </c>
      <c r="I22" s="13" t="s">
        <v>39</v>
      </c>
      <c r="J22" s="16">
        <v>0</v>
      </c>
      <c r="L22" s="6"/>
      <c r="V22" s="9"/>
    </row>
    <row r="23" spans="1:22">
      <c r="A23" s="1" t="s">
        <v>40</v>
      </c>
      <c r="B23" s="6">
        <v>0</v>
      </c>
      <c r="C23" s="1">
        <v>0</v>
      </c>
      <c r="D23" s="1">
        <v>0</v>
      </c>
      <c r="E23" s="1">
        <v>0</v>
      </c>
      <c r="F23" s="1">
        <v>0</v>
      </c>
      <c r="G23" s="9">
        <f>SUM(KY_FINANCIAL)</f>
        <v>0</v>
      </c>
      <c r="I23" s="13" t="s">
        <v>41</v>
      </c>
      <c r="J23" s="16"/>
      <c r="L23" s="6"/>
      <c r="V23" s="9"/>
    </row>
    <row r="24" spans="1:22">
      <c r="A24" s="1" t="s">
        <v>42</v>
      </c>
      <c r="B24" s="6">
        <v>0</v>
      </c>
      <c r="C24" s="1">
        <v>0</v>
      </c>
      <c r="D24" s="1">
        <v>0</v>
      </c>
      <c r="E24" s="1">
        <v>0</v>
      </c>
      <c r="F24" s="1">
        <v>0</v>
      </c>
      <c r="G24" s="9">
        <f>SUM(LA_FINANCIAL)</f>
        <v>0</v>
      </c>
      <c r="I24" s="13" t="s">
        <v>43</v>
      </c>
      <c r="J24" s="16">
        <v>21081000</v>
      </c>
      <c r="L24" s="6"/>
      <c r="V24" s="9"/>
    </row>
    <row r="25" spans="1:22">
      <c r="A25" s="1" t="s">
        <v>44</v>
      </c>
      <c r="B25" s="6">
        <v>0</v>
      </c>
      <c r="C25" s="1">
        <v>0</v>
      </c>
      <c r="D25" s="1">
        <v>0</v>
      </c>
      <c r="E25" s="1">
        <v>0</v>
      </c>
      <c r="F25" s="1">
        <v>0</v>
      </c>
      <c r="G25" s="9">
        <f>SUM(ME_FINANCIAL)</f>
        <v>0</v>
      </c>
      <c r="I25" s="13"/>
      <c r="J25" s="16"/>
      <c r="L25" s="6"/>
      <c r="V25" s="9"/>
    </row>
    <row r="26" spans="1:22">
      <c r="A26" s="1" t="s">
        <v>45</v>
      </c>
      <c r="B26" s="6">
        <v>0</v>
      </c>
      <c r="C26" s="1">
        <v>0</v>
      </c>
      <c r="D26" s="1">
        <v>0</v>
      </c>
      <c r="E26" s="1">
        <v>0</v>
      </c>
      <c r="F26" s="1">
        <v>0</v>
      </c>
      <c r="G26" s="9">
        <f>SUM(MD_FINANCIAL)</f>
        <v>0</v>
      </c>
      <c r="I26" s="13" t="s">
        <v>46</v>
      </c>
      <c r="J26" s="16">
        <f>SUM(ADD_FINANCIAL)-SUM(LESS_FINANCIAL)</f>
        <v>83658295</v>
      </c>
      <c r="L26" s="6"/>
      <c r="V26" s="9"/>
    </row>
    <row r="27" spans="1:22">
      <c r="A27" s="1" t="s">
        <v>47</v>
      </c>
      <c r="B27" s="6">
        <v>0</v>
      </c>
      <c r="C27" s="1">
        <v>0</v>
      </c>
      <c r="D27" s="1">
        <v>0</v>
      </c>
      <c r="E27" s="1">
        <v>0</v>
      </c>
      <c r="F27" s="1">
        <v>0</v>
      </c>
      <c r="G27" s="9">
        <f>SUM(MA_FINANCIAL)</f>
        <v>0</v>
      </c>
      <c r="I27" s="13" t="s">
        <v>48</v>
      </c>
      <c r="J27" s="16">
        <f>SUM(ALL_BLOCKS)</f>
        <v>83658295</v>
      </c>
      <c r="L27" s="6"/>
      <c r="V27" s="9"/>
    </row>
    <row r="28" spans="1:22">
      <c r="A28" s="1" t="s">
        <v>49</v>
      </c>
      <c r="B28" s="6">
        <v>0</v>
      </c>
      <c r="C28" s="1">
        <v>0</v>
      </c>
      <c r="D28" s="1">
        <v>0</v>
      </c>
      <c r="E28" s="1">
        <v>0</v>
      </c>
      <c r="F28" s="1">
        <v>0</v>
      </c>
      <c r="G28" s="9">
        <f>SUM(MI_FINANCIAL)</f>
        <v>0</v>
      </c>
      <c r="I28" s="14"/>
      <c r="J28" s="17"/>
      <c r="L28" s="6"/>
      <c r="V28" s="9"/>
    </row>
    <row r="29" spans="1:22">
      <c r="A29" s="1" t="s">
        <v>50</v>
      </c>
      <c r="B29" s="6">
        <v>0</v>
      </c>
      <c r="C29" s="1">
        <v>0</v>
      </c>
      <c r="D29" s="1">
        <v>0</v>
      </c>
      <c r="E29" s="1">
        <v>0</v>
      </c>
      <c r="F29" s="1">
        <v>0</v>
      </c>
      <c r="G29" s="9">
        <f>SUM(MN_FINANCIAL)</f>
        <v>0</v>
      </c>
      <c r="L29" s="6"/>
      <c r="V29" s="9"/>
    </row>
    <row r="30" spans="1:22">
      <c r="A30" s="1" t="s">
        <v>51</v>
      </c>
      <c r="B30" s="6">
        <v>0</v>
      </c>
      <c r="C30" s="1">
        <v>0</v>
      </c>
      <c r="D30" s="1">
        <v>0</v>
      </c>
      <c r="E30" s="1">
        <v>0</v>
      </c>
      <c r="F30" s="1">
        <v>0</v>
      </c>
      <c r="G30" s="9">
        <f>SUM(MS_FINANCIAL)</f>
        <v>0</v>
      </c>
      <c r="L30" s="6"/>
      <c r="V30" s="9"/>
    </row>
    <row r="31" spans="1:22">
      <c r="A31" s="1" t="s">
        <v>52</v>
      </c>
      <c r="B31" s="6">
        <v>0</v>
      </c>
      <c r="C31" s="1">
        <v>0</v>
      </c>
      <c r="D31" s="1">
        <v>0</v>
      </c>
      <c r="E31" s="1">
        <v>0</v>
      </c>
      <c r="F31" s="1">
        <v>0</v>
      </c>
      <c r="G31" s="9">
        <f>SUM(MO_FINANCIAL)</f>
        <v>0</v>
      </c>
      <c r="L31" s="6"/>
      <c r="V31" s="9"/>
    </row>
    <row r="32" spans="1:22">
      <c r="A32" s="1" t="s">
        <v>53</v>
      </c>
      <c r="B32" s="6">
        <v>0</v>
      </c>
      <c r="C32" s="1">
        <v>0</v>
      </c>
      <c r="D32" s="1">
        <v>0</v>
      </c>
      <c r="E32" s="1">
        <v>0</v>
      </c>
      <c r="F32" s="1">
        <v>0</v>
      </c>
      <c r="G32" s="9">
        <f>SUM(MT_FINANCIAL)</f>
        <v>0</v>
      </c>
      <c r="L32" s="6"/>
      <c r="V32" s="9"/>
    </row>
    <row r="33" spans="1:22">
      <c r="A33" s="1" t="s">
        <v>54</v>
      </c>
      <c r="B33" s="6">
        <v>0</v>
      </c>
      <c r="C33" s="1">
        <v>0</v>
      </c>
      <c r="D33" s="1">
        <v>0</v>
      </c>
      <c r="E33" s="1">
        <v>0</v>
      </c>
      <c r="F33" s="1">
        <v>0</v>
      </c>
      <c r="G33" s="9">
        <f>SUM(NE_FINANCIAL)</f>
        <v>0</v>
      </c>
      <c r="L33" s="6"/>
      <c r="V33" s="9"/>
    </row>
    <row r="34" spans="1:22">
      <c r="A34" s="1" t="s">
        <v>55</v>
      </c>
      <c r="B34" s="6">
        <v>0</v>
      </c>
      <c r="C34" s="1">
        <v>0</v>
      </c>
      <c r="D34" s="1">
        <v>0</v>
      </c>
      <c r="E34" s="1">
        <v>0</v>
      </c>
      <c r="F34" s="1">
        <v>0</v>
      </c>
      <c r="G34" s="9">
        <f>SUM(NV_FINANCIAL)</f>
        <v>0</v>
      </c>
      <c r="L34" s="6"/>
      <c r="V34" s="9"/>
    </row>
    <row r="35" spans="1:22">
      <c r="A35" s="1" t="s">
        <v>56</v>
      </c>
      <c r="B35" s="6">
        <v>0</v>
      </c>
      <c r="C35" s="1">
        <v>0</v>
      </c>
      <c r="D35" s="1">
        <v>0</v>
      </c>
      <c r="E35" s="1">
        <v>0</v>
      </c>
      <c r="F35" s="1">
        <v>0</v>
      </c>
      <c r="G35" s="9">
        <f>SUM(NH_FINANCIAL)</f>
        <v>0</v>
      </c>
      <c r="L35" s="6"/>
      <c r="V35" s="9"/>
    </row>
    <row r="36" spans="1:22">
      <c r="A36" s="1" t="s">
        <v>57</v>
      </c>
      <c r="B36" s="6">
        <v>0</v>
      </c>
      <c r="C36" s="1">
        <v>0</v>
      </c>
      <c r="D36" s="1">
        <v>0</v>
      </c>
      <c r="E36" s="1">
        <v>0</v>
      </c>
      <c r="F36" s="1">
        <v>0</v>
      </c>
      <c r="G36" s="9">
        <f>SUM(NJ_FINANCIAL)</f>
        <v>0</v>
      </c>
      <c r="L36" s="6"/>
      <c r="V36" s="9"/>
    </row>
    <row r="37" spans="1:22">
      <c r="A37" s="1" t="s">
        <v>58</v>
      </c>
      <c r="B37" s="6">
        <v>0</v>
      </c>
      <c r="C37" s="1">
        <v>0</v>
      </c>
      <c r="D37" s="1">
        <v>0</v>
      </c>
      <c r="E37" s="1">
        <v>0</v>
      </c>
      <c r="F37" s="1">
        <v>0</v>
      </c>
      <c r="G37" s="9">
        <f>SUM(NM_FINANCIAL)</f>
        <v>0</v>
      </c>
      <c r="L37" s="6"/>
      <c r="V37" s="9"/>
    </row>
    <row r="38" spans="1:22">
      <c r="A38" s="1" t="s">
        <v>59</v>
      </c>
      <c r="B38" s="6">
        <v>0</v>
      </c>
      <c r="C38" s="1">
        <v>0</v>
      </c>
      <c r="D38" s="1">
        <v>0</v>
      </c>
      <c r="E38" s="1">
        <v>0</v>
      </c>
      <c r="F38" s="1">
        <v>0</v>
      </c>
      <c r="G38" s="9">
        <f>SUM(NY_FINANCIAL)</f>
        <v>0</v>
      </c>
      <c r="L38" s="6"/>
      <c r="V38" s="9"/>
    </row>
    <row r="39" spans="1:22">
      <c r="A39" s="1" t="s">
        <v>60</v>
      </c>
      <c r="B39" s="6">
        <v>0</v>
      </c>
      <c r="C39" s="1">
        <v>0</v>
      </c>
      <c r="D39" s="1">
        <v>0</v>
      </c>
      <c r="E39" s="1">
        <v>0</v>
      </c>
      <c r="F39" s="1">
        <v>0</v>
      </c>
      <c r="G39" s="9">
        <f>SUM(NC_FINANCIAL)</f>
        <v>0</v>
      </c>
      <c r="L39" s="6"/>
      <c r="V39" s="9"/>
    </row>
    <row r="40" spans="1:22">
      <c r="A40" s="1" t="s">
        <v>61</v>
      </c>
      <c r="B40" s="6">
        <v>0</v>
      </c>
      <c r="C40" s="1">
        <v>0</v>
      </c>
      <c r="D40" s="1">
        <v>0</v>
      </c>
      <c r="E40" s="1">
        <v>0</v>
      </c>
      <c r="F40" s="1">
        <v>0</v>
      </c>
      <c r="G40" s="9">
        <f>SUM(ND_FINANCIAL)</f>
        <v>0</v>
      </c>
      <c r="L40" s="6"/>
      <c r="V40" s="9"/>
    </row>
    <row r="41" spans="1:22">
      <c r="A41" s="1" t="s">
        <v>62</v>
      </c>
      <c r="B41" s="6">
        <v>0</v>
      </c>
      <c r="C41" s="1">
        <v>0</v>
      </c>
      <c r="D41" s="1">
        <v>0</v>
      </c>
      <c r="E41" s="1">
        <v>0</v>
      </c>
      <c r="F41" s="1">
        <v>0</v>
      </c>
      <c r="G41" s="9">
        <f>SUM(OH_FINANCIAL)</f>
        <v>0</v>
      </c>
      <c r="L41" s="6"/>
      <c r="V41" s="9"/>
    </row>
    <row r="42" spans="1:22">
      <c r="A42" s="1" t="s">
        <v>63</v>
      </c>
      <c r="B42" s="6">
        <v>0</v>
      </c>
      <c r="C42" s="1">
        <v>0</v>
      </c>
      <c r="D42" s="1">
        <v>0</v>
      </c>
      <c r="E42" s="1">
        <v>0</v>
      </c>
      <c r="F42" s="1">
        <v>0</v>
      </c>
      <c r="G42" s="9">
        <f>SUM(OK_FINANCIAL)</f>
        <v>0</v>
      </c>
      <c r="L42" s="6"/>
      <c r="V42" s="9"/>
    </row>
    <row r="43" spans="1:22">
      <c r="A43" s="1" t="s">
        <v>64</v>
      </c>
      <c r="B43" s="6">
        <v>0</v>
      </c>
      <c r="C43" s="1">
        <v>0</v>
      </c>
      <c r="D43" s="1">
        <v>0</v>
      </c>
      <c r="E43" s="1">
        <v>0</v>
      </c>
      <c r="F43" s="1">
        <v>0</v>
      </c>
      <c r="G43" s="9">
        <f>SUM(OR_FINANCIAL)</f>
        <v>0</v>
      </c>
      <c r="L43" s="6"/>
      <c r="V43" s="9"/>
    </row>
    <row r="44" spans="1:22">
      <c r="A44" s="1" t="s">
        <v>65</v>
      </c>
      <c r="B44" s="6">
        <v>0</v>
      </c>
      <c r="C44" s="1">
        <v>0</v>
      </c>
      <c r="D44" s="1">
        <v>0</v>
      </c>
      <c r="E44" s="1">
        <v>0</v>
      </c>
      <c r="F44" s="1">
        <v>0</v>
      </c>
      <c r="G44" s="9">
        <f>SUM(PA_FINANCIAL)</f>
        <v>0</v>
      </c>
      <c r="L44" s="6"/>
      <c r="V44" s="9"/>
    </row>
    <row r="45" spans="1:22">
      <c r="A45" s="1" t="s">
        <v>66</v>
      </c>
      <c r="B45" s="6">
        <v>0</v>
      </c>
      <c r="C45" s="1">
        <v>0</v>
      </c>
      <c r="D45" s="1">
        <v>0</v>
      </c>
      <c r="E45" s="1">
        <v>0</v>
      </c>
      <c r="F45" s="1">
        <v>0</v>
      </c>
      <c r="G45" s="9">
        <f>SUM(PR_FINANCIAL)</f>
        <v>0</v>
      </c>
      <c r="L45" s="6"/>
      <c r="V45" s="9"/>
    </row>
    <row r="46" spans="1:22">
      <c r="A46" s="1" t="s">
        <v>67</v>
      </c>
      <c r="B46" s="6">
        <v>0</v>
      </c>
      <c r="C46" s="1">
        <v>0</v>
      </c>
      <c r="D46" s="1">
        <v>0</v>
      </c>
      <c r="E46" s="1">
        <v>0</v>
      </c>
      <c r="F46" s="1">
        <v>0</v>
      </c>
      <c r="G46" s="9">
        <f>SUM(RI_FINANCIAL)</f>
        <v>0</v>
      </c>
      <c r="L46" s="6"/>
      <c r="V46" s="9"/>
    </row>
    <row r="47" spans="1:22">
      <c r="A47" s="1" t="s">
        <v>68</v>
      </c>
      <c r="B47" s="6">
        <v>0</v>
      </c>
      <c r="C47" s="1">
        <v>0</v>
      </c>
      <c r="D47" s="1">
        <v>0</v>
      </c>
      <c r="E47" s="1">
        <v>0</v>
      </c>
      <c r="F47" s="1">
        <v>0</v>
      </c>
      <c r="G47" s="9">
        <f>SUM(SC_FINANCIAL)</f>
        <v>0</v>
      </c>
      <c r="L47" s="6"/>
      <c r="V47" s="9"/>
    </row>
    <row r="48" spans="1:22">
      <c r="A48" s="1" t="s">
        <v>69</v>
      </c>
      <c r="B48" s="6">
        <v>0</v>
      </c>
      <c r="C48" s="1">
        <v>0</v>
      </c>
      <c r="D48" s="1">
        <v>0</v>
      </c>
      <c r="E48" s="1">
        <v>0</v>
      </c>
      <c r="F48" s="1">
        <v>0</v>
      </c>
      <c r="G48" s="9">
        <f>SUM(SD_FINANCIAL)</f>
        <v>0</v>
      </c>
      <c r="L48" s="6"/>
      <c r="V48" s="9"/>
    </row>
    <row r="49" spans="1:22">
      <c r="A49" s="1" t="s">
        <v>70</v>
      </c>
      <c r="B49" s="6">
        <v>0</v>
      </c>
      <c r="C49" s="1">
        <v>0</v>
      </c>
      <c r="D49" s="1">
        <v>0</v>
      </c>
      <c r="E49" s="1">
        <v>0</v>
      </c>
      <c r="F49" s="1">
        <v>0</v>
      </c>
      <c r="G49" s="9">
        <f>SUM(TN_FINANCIAL)</f>
        <v>0</v>
      </c>
      <c r="L49" s="6"/>
      <c r="V49" s="9"/>
    </row>
    <row r="50" spans="1:22">
      <c r="A50" s="1" t="s">
        <v>71</v>
      </c>
      <c r="B50" s="6">
        <v>0</v>
      </c>
      <c r="C50" s="1">
        <v>0</v>
      </c>
      <c r="D50" s="1">
        <v>0</v>
      </c>
      <c r="E50" s="1">
        <v>0</v>
      </c>
      <c r="F50" s="1">
        <v>0</v>
      </c>
      <c r="G50" s="9">
        <f>SUM(TX_FINANCIAL)</f>
        <v>0</v>
      </c>
      <c r="L50" s="6"/>
      <c r="V50" s="9"/>
    </row>
    <row r="51" spans="1:22">
      <c r="A51" s="1" t="s">
        <v>72</v>
      </c>
      <c r="B51" s="6">
        <v>0</v>
      </c>
      <c r="C51" s="1">
        <v>0</v>
      </c>
      <c r="D51" s="1">
        <v>0</v>
      </c>
      <c r="E51" s="1">
        <v>0</v>
      </c>
      <c r="F51" s="1">
        <v>0</v>
      </c>
      <c r="G51" s="9">
        <f>SUM(UT_FINANCIAL)</f>
        <v>0</v>
      </c>
      <c r="L51" s="6"/>
      <c r="V51" s="9"/>
    </row>
    <row r="52" spans="1:22">
      <c r="A52" s="1" t="s">
        <v>73</v>
      </c>
      <c r="B52" s="6">
        <v>0</v>
      </c>
      <c r="C52" s="1">
        <v>0</v>
      </c>
      <c r="D52" s="1">
        <v>0</v>
      </c>
      <c r="E52" s="1">
        <v>0</v>
      </c>
      <c r="F52" s="1">
        <v>0</v>
      </c>
      <c r="G52" s="9">
        <f>SUM(VT_FINANCIAL)</f>
        <v>0</v>
      </c>
      <c r="L52" s="6"/>
      <c r="V52" s="9"/>
    </row>
    <row r="53" spans="1:22">
      <c r="A53" s="1" t="s">
        <v>74</v>
      </c>
      <c r="B53" s="6">
        <v>0</v>
      </c>
      <c r="C53" s="1">
        <v>0</v>
      </c>
      <c r="D53" s="1">
        <v>0</v>
      </c>
      <c r="E53" s="1">
        <v>0</v>
      </c>
      <c r="F53" s="1">
        <v>0</v>
      </c>
      <c r="G53" s="9">
        <f>SUM(VA_FINANCIAL)</f>
        <v>0</v>
      </c>
      <c r="L53" s="6"/>
      <c r="V53" s="9"/>
    </row>
    <row r="54" spans="1:22">
      <c r="A54" s="1" t="s">
        <v>75</v>
      </c>
      <c r="B54" s="6">
        <v>0</v>
      </c>
      <c r="C54" s="1">
        <v>0</v>
      </c>
      <c r="D54" s="1">
        <v>0</v>
      </c>
      <c r="E54" s="1">
        <v>0</v>
      </c>
      <c r="F54" s="1">
        <v>0</v>
      </c>
      <c r="G54" s="9">
        <f>SUM(WA_FINANCIAL)</f>
        <v>0</v>
      </c>
      <c r="L54" s="6"/>
      <c r="V54" s="9"/>
    </row>
    <row r="55" spans="1:22">
      <c r="A55" s="1" t="s">
        <v>76</v>
      </c>
      <c r="B55" s="6">
        <v>0</v>
      </c>
      <c r="C55" s="1">
        <v>0</v>
      </c>
      <c r="D55" s="1">
        <v>0</v>
      </c>
      <c r="E55" s="1">
        <v>0</v>
      </c>
      <c r="F55" s="1">
        <v>0</v>
      </c>
      <c r="G55" s="9">
        <f>SUM(WV_FINANCIAL)</f>
        <v>0</v>
      </c>
      <c r="L55" s="6"/>
      <c r="V55" s="9"/>
    </row>
    <row r="56" spans="1:22">
      <c r="A56" s="1" t="s">
        <v>77</v>
      </c>
      <c r="B56" s="6">
        <v>0</v>
      </c>
      <c r="C56" s="1">
        <v>0</v>
      </c>
      <c r="D56" s="1">
        <v>0</v>
      </c>
      <c r="E56" s="1">
        <v>0</v>
      </c>
      <c r="F56" s="1">
        <v>0</v>
      </c>
      <c r="G56" s="9">
        <f>SUM(WI_FINANCIAL)</f>
        <v>0</v>
      </c>
      <c r="L56" s="6"/>
      <c r="V56" s="9"/>
    </row>
    <row r="57" spans="1:22">
      <c r="A57" s="1" t="s">
        <v>78</v>
      </c>
      <c r="B57" s="6">
        <v>0</v>
      </c>
      <c r="C57" s="1">
        <v>0</v>
      </c>
      <c r="D57" s="1">
        <v>0</v>
      </c>
      <c r="E57" s="1">
        <v>0</v>
      </c>
      <c r="F57" s="1">
        <v>0</v>
      </c>
      <c r="G57" s="9">
        <f>SUM(WY_FINANCIAL)</f>
        <v>0</v>
      </c>
      <c r="L57" s="6"/>
      <c r="V57" s="9"/>
    </row>
    <row r="58" spans="1:22">
      <c r="A58" s="1" t="s">
        <v>79</v>
      </c>
      <c r="B58" s="6">
        <v>0</v>
      </c>
      <c r="C58" s="1">
        <v>0</v>
      </c>
      <c r="D58" s="1">
        <v>0</v>
      </c>
      <c r="E58" s="1">
        <v>0</v>
      </c>
      <c r="F58" s="1">
        <v>0</v>
      </c>
      <c r="G58" s="9">
        <f>SUM(OT_FINANCIAL)</f>
        <v>0</v>
      </c>
      <c r="L58" s="6"/>
      <c r="V58" s="9"/>
    </row>
    <row r="59" spans="1:22">
      <c r="B59" s="6"/>
      <c r="G59" s="9"/>
      <c r="L59" s="6"/>
      <c r="V59" s="9"/>
    </row>
    <row r="60" spans="1:22">
      <c r="A60" s="1" t="s">
        <v>8</v>
      </c>
      <c r="B60" s="6">
        <f>SUM(LIFE)</f>
        <v>0</v>
      </c>
      <c r="C60" s="1">
        <f>SUM(ALLOCATED)</f>
        <v>0</v>
      </c>
      <c r="D60" s="1">
        <f>SUM(HEALTH)</f>
        <v>83658295</v>
      </c>
      <c r="E60" s="1">
        <f>SUM(UNALLOCATED)</f>
        <v>0</v>
      </c>
      <c r="F60" s="1">
        <f>SUM(LTC)</f>
        <v>0</v>
      </c>
      <c r="G60" s="9">
        <f>SUM(ALL_BLOCKS)</f>
        <v>83658295</v>
      </c>
      <c r="L60" s="6">
        <f>SUM(LIFE_CALLED)</f>
        <v>0</v>
      </c>
      <c r="M60" s="1">
        <f>SUM(LIFE_REFUNDED)</f>
        <v>0</v>
      </c>
      <c r="O60" s="1">
        <f>SUM(ALLOC_CALLED)</f>
        <v>0</v>
      </c>
      <c r="P60" s="1">
        <f>SUM(ALLOC_REFUNDED)</f>
        <v>0</v>
      </c>
      <c r="R60" s="1">
        <f>SUM(HEALTH_CALLED)</f>
        <v>104405820</v>
      </c>
      <c r="S60" s="1">
        <f>SUM(HEALTH_REFUNDED)</f>
        <v>45450000</v>
      </c>
      <c r="U60" s="1">
        <f>SUM(UNALLOC_CALLED)</f>
        <v>0</v>
      </c>
      <c r="V60" s="9">
        <f>SUM(UNALLOC_REFUNDED)</f>
        <v>0</v>
      </c>
    </row>
    <row r="61" spans="1:22" ht="5.0999999999999996" customHeight="1">
      <c r="B61" s="6"/>
      <c r="G61" s="9"/>
      <c r="L61" s="6"/>
      <c r="V61" s="9"/>
    </row>
    <row r="62" spans="1:22">
      <c r="B62" s="6"/>
      <c r="G62" s="9"/>
      <c r="L62" s="78" t="s">
        <v>80</v>
      </c>
      <c r="M62" s="79"/>
      <c r="N62" s="79"/>
      <c r="O62" s="79"/>
      <c r="P62" s="79"/>
      <c r="Q62" s="79"/>
      <c r="R62" s="79"/>
      <c r="S62" s="79"/>
      <c r="T62" s="79"/>
      <c r="U62" s="79"/>
      <c r="V62" s="80"/>
    </row>
    <row r="63" spans="1:22">
      <c r="B63" s="6"/>
      <c r="G63" s="9"/>
      <c r="L63" s="81"/>
      <c r="M63" s="79"/>
      <c r="N63" s="79"/>
      <c r="O63" s="79"/>
      <c r="P63" s="79"/>
      <c r="Q63" s="79"/>
      <c r="R63" s="79"/>
      <c r="S63" s="79"/>
      <c r="T63" s="79"/>
      <c r="U63" s="79"/>
      <c r="V63" s="80"/>
    </row>
    <row r="64" spans="1:22">
      <c r="B64" s="8"/>
      <c r="C64" s="5"/>
      <c r="D64" s="5"/>
      <c r="E64" s="5"/>
      <c r="F64" s="5"/>
      <c r="G64" s="11"/>
      <c r="L64" s="82"/>
      <c r="M64" s="83"/>
      <c r="N64" s="83"/>
      <c r="O64" s="83"/>
      <c r="P64" s="83"/>
      <c r="Q64" s="83"/>
      <c r="R64" s="83"/>
      <c r="S64" s="83"/>
      <c r="T64" s="83"/>
      <c r="U64" s="83"/>
      <c r="V64" s="84"/>
    </row>
  </sheetData>
  <mergeCells count="8">
    <mergeCell ref="L62:V64"/>
    <mergeCell ref="A1:G1"/>
    <mergeCell ref="B3:G3"/>
    <mergeCell ref="L3:V3"/>
    <mergeCell ref="L4:M4"/>
    <mergeCell ref="O4:P4"/>
    <mergeCell ref="R4:S4"/>
    <mergeCell ref="U4:V4"/>
  </mergeCells>
  <pageMargins left="0" right="0" top="0" bottom="0" header="0" footer="0"/>
  <pageSetup scale="48"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V64"/>
  <sheetViews>
    <sheetView zoomScale="75" workbookViewId="0">
      <selection sqref="A1:G1"/>
    </sheetView>
  </sheetViews>
  <sheetFormatPr defaultColWidth="9.109375" defaultRowHeight="14.4"/>
  <cols>
    <col min="1" max="1" width="20" style="1" customWidth="1"/>
    <col min="2" max="7" width="15" style="1" customWidth="1"/>
    <col min="8" max="8" width="1" style="1" customWidth="1"/>
    <col min="9" max="9" width="30" style="1" customWidth="1"/>
    <col min="10" max="10" width="15" style="1" customWidth="1"/>
    <col min="11" max="11" width="1" style="1" customWidth="1"/>
    <col min="12" max="13" width="15" style="1" customWidth="1"/>
    <col min="14" max="14" width="1" style="1" customWidth="1"/>
    <col min="15" max="16" width="15" style="1" customWidth="1"/>
    <col min="17" max="17" width="1" style="1" customWidth="1"/>
    <col min="18" max="19" width="15" style="1" customWidth="1"/>
    <col min="20" max="20" width="1" style="1" customWidth="1"/>
    <col min="21" max="22" width="15" style="1" customWidth="1"/>
    <col min="23" max="23" width="9.109375" style="1" customWidth="1"/>
    <col min="24" max="16384" width="9.109375" style="1"/>
  </cols>
  <sheetData>
    <row r="1" spans="1:22">
      <c r="A1" s="85" t="s">
        <v>101</v>
      </c>
      <c r="B1" s="79"/>
      <c r="C1" s="79"/>
      <c r="D1" s="79"/>
      <c r="E1" s="79"/>
      <c r="F1" s="79"/>
      <c r="G1" s="79"/>
    </row>
    <row r="3" spans="1:22">
      <c r="B3" s="86" t="s">
        <v>1</v>
      </c>
      <c r="C3" s="87"/>
      <c r="D3" s="87"/>
      <c r="E3" s="87"/>
      <c r="F3" s="87"/>
      <c r="G3" s="88"/>
      <c r="L3" s="89" t="s">
        <v>2</v>
      </c>
      <c r="M3" s="90"/>
      <c r="N3" s="90"/>
      <c r="O3" s="90"/>
      <c r="P3" s="90"/>
      <c r="Q3" s="90"/>
      <c r="R3" s="90"/>
      <c r="S3" s="90"/>
      <c r="T3" s="90"/>
      <c r="U3" s="90"/>
      <c r="V3" s="91"/>
    </row>
    <row r="4" spans="1:22">
      <c r="B4" s="6"/>
      <c r="G4" s="9"/>
      <c r="L4" s="92" t="s">
        <v>3</v>
      </c>
      <c r="M4" s="93"/>
      <c r="N4" s="3"/>
      <c r="O4" s="94" t="s">
        <v>4</v>
      </c>
      <c r="P4" s="93"/>
      <c r="Q4" s="3"/>
      <c r="R4" s="94" t="s">
        <v>5</v>
      </c>
      <c r="S4" s="93"/>
      <c r="T4" s="3"/>
      <c r="U4" s="94" t="s">
        <v>6</v>
      </c>
      <c r="V4" s="95"/>
    </row>
    <row r="5" spans="1:22" ht="60" customHeight="1">
      <c r="B5" s="7" t="s">
        <v>3</v>
      </c>
      <c r="C5" s="4" t="s">
        <v>4</v>
      </c>
      <c r="D5" s="4" t="s">
        <v>5</v>
      </c>
      <c r="E5" s="4" t="s">
        <v>6</v>
      </c>
      <c r="F5" s="4" t="s">
        <v>7</v>
      </c>
      <c r="G5" s="10" t="s">
        <v>8</v>
      </c>
      <c r="L5" s="19" t="s">
        <v>9</v>
      </c>
      <c r="M5" s="18" t="s">
        <v>10</v>
      </c>
      <c r="N5" s="18"/>
      <c r="O5" s="18" t="s">
        <v>9</v>
      </c>
      <c r="P5" s="18" t="s">
        <v>10</v>
      </c>
      <c r="Q5" s="18"/>
      <c r="R5" s="18" t="s">
        <v>9</v>
      </c>
      <c r="S5" s="18" t="s">
        <v>10</v>
      </c>
      <c r="T5" s="18"/>
      <c r="U5" s="18" t="s">
        <v>9</v>
      </c>
      <c r="V5" s="20" t="s">
        <v>10</v>
      </c>
    </row>
    <row r="6" spans="1:22">
      <c r="A6" s="1" t="s">
        <v>11</v>
      </c>
      <c r="B6" s="6">
        <v>0</v>
      </c>
      <c r="C6" s="1">
        <v>0</v>
      </c>
      <c r="D6" s="1">
        <v>0</v>
      </c>
      <c r="E6" s="1">
        <v>0</v>
      </c>
      <c r="F6" s="1">
        <v>0</v>
      </c>
      <c r="G6" s="9">
        <f>SUM(AL_FINANCIAL)</f>
        <v>0</v>
      </c>
      <c r="L6" s="6"/>
      <c r="V6" s="9"/>
    </row>
    <row r="7" spans="1:22">
      <c r="A7" s="1" t="s">
        <v>12</v>
      </c>
      <c r="B7" s="6">
        <v>0</v>
      </c>
      <c r="C7" s="1">
        <v>0</v>
      </c>
      <c r="D7" s="1">
        <v>0</v>
      </c>
      <c r="E7" s="1">
        <v>0</v>
      </c>
      <c r="F7" s="1">
        <v>0</v>
      </c>
      <c r="G7" s="9">
        <f>SUM(AK_FINANCIAL)</f>
        <v>0</v>
      </c>
      <c r="I7" s="12"/>
      <c r="J7" s="15"/>
      <c r="L7" s="6"/>
      <c r="V7" s="9"/>
    </row>
    <row r="8" spans="1:22">
      <c r="A8" s="1" t="s">
        <v>13</v>
      </c>
      <c r="B8" s="6">
        <v>0</v>
      </c>
      <c r="C8" s="1">
        <v>0</v>
      </c>
      <c r="D8" s="1">
        <v>3347549</v>
      </c>
      <c r="E8" s="1">
        <v>0</v>
      </c>
      <c r="F8" s="1">
        <v>0</v>
      </c>
      <c r="G8" s="9">
        <f>SUM(AZ_FINANCIAL)</f>
        <v>3347549</v>
      </c>
      <c r="I8" s="13" t="s">
        <v>14</v>
      </c>
      <c r="J8" s="16"/>
      <c r="L8" s="6"/>
      <c r="V8" s="9"/>
    </row>
    <row r="9" spans="1:22">
      <c r="A9" s="1" t="s">
        <v>15</v>
      </c>
      <c r="B9" s="6">
        <v>0</v>
      </c>
      <c r="C9" s="1">
        <v>0</v>
      </c>
      <c r="D9" s="1">
        <v>0</v>
      </c>
      <c r="E9" s="1">
        <v>0</v>
      </c>
      <c r="F9" s="1">
        <v>0</v>
      </c>
      <c r="G9" s="9">
        <f>SUM(AR_FINANCIAL)</f>
        <v>0</v>
      </c>
      <c r="I9" s="13"/>
      <c r="J9" s="16"/>
      <c r="L9" s="6"/>
      <c r="V9" s="9"/>
    </row>
    <row r="10" spans="1:22">
      <c r="A10" s="1" t="s">
        <v>16</v>
      </c>
      <c r="B10" s="6">
        <v>0</v>
      </c>
      <c r="C10" s="1">
        <v>0</v>
      </c>
      <c r="D10" s="1">
        <v>0</v>
      </c>
      <c r="E10" s="1">
        <v>0</v>
      </c>
      <c r="F10" s="1">
        <v>0</v>
      </c>
      <c r="G10" s="9">
        <f>SUM(CA_FINANCIAL)</f>
        <v>0</v>
      </c>
      <c r="I10" s="13" t="s">
        <v>17</v>
      </c>
      <c r="J10" s="16">
        <v>3111149</v>
      </c>
      <c r="L10" s="6"/>
      <c r="V10" s="9"/>
    </row>
    <row r="11" spans="1:22">
      <c r="A11" s="1" t="s">
        <v>18</v>
      </c>
      <c r="B11" s="6">
        <v>0</v>
      </c>
      <c r="C11" s="1">
        <v>0</v>
      </c>
      <c r="D11" s="1">
        <v>0</v>
      </c>
      <c r="E11" s="1">
        <v>0</v>
      </c>
      <c r="F11" s="1">
        <v>0</v>
      </c>
      <c r="G11" s="9">
        <f>SUM(CO_FINANCIAL)</f>
        <v>0</v>
      </c>
      <c r="I11" s="13"/>
      <c r="J11" s="16"/>
      <c r="L11" s="6"/>
      <c r="V11" s="9"/>
    </row>
    <row r="12" spans="1:22">
      <c r="A12" s="1" t="s">
        <v>19</v>
      </c>
      <c r="B12" s="6">
        <v>0</v>
      </c>
      <c r="C12" s="1">
        <v>0</v>
      </c>
      <c r="D12" s="1">
        <v>0</v>
      </c>
      <c r="E12" s="1">
        <v>0</v>
      </c>
      <c r="F12" s="1">
        <v>0</v>
      </c>
      <c r="G12" s="9">
        <f>SUM(CT_FINANCIAL)</f>
        <v>0</v>
      </c>
      <c r="I12" s="13" t="s">
        <v>20</v>
      </c>
      <c r="J12" s="16"/>
      <c r="L12" s="6"/>
      <c r="V12" s="9"/>
    </row>
    <row r="13" spans="1:22">
      <c r="A13" s="1" t="s">
        <v>21</v>
      </c>
      <c r="B13" s="6">
        <v>0</v>
      </c>
      <c r="C13" s="1">
        <v>0</v>
      </c>
      <c r="D13" s="1">
        <v>0</v>
      </c>
      <c r="E13" s="1">
        <v>0</v>
      </c>
      <c r="F13" s="1">
        <v>0</v>
      </c>
      <c r="G13" s="9">
        <f>SUM(DE_FINANCIAL)</f>
        <v>0</v>
      </c>
      <c r="I13" s="13" t="s">
        <v>22</v>
      </c>
      <c r="J13" s="16">
        <v>3111149</v>
      </c>
      <c r="L13" s="6"/>
      <c r="V13" s="9"/>
    </row>
    <row r="14" spans="1:22">
      <c r="A14" s="1" t="s">
        <v>23</v>
      </c>
      <c r="B14" s="6">
        <v>0</v>
      </c>
      <c r="C14" s="1">
        <v>0</v>
      </c>
      <c r="D14" s="1">
        <v>0</v>
      </c>
      <c r="E14" s="1">
        <v>0</v>
      </c>
      <c r="F14" s="1">
        <v>0</v>
      </c>
      <c r="G14" s="9">
        <f>SUM(DC_FINANCIAL)</f>
        <v>0</v>
      </c>
      <c r="I14" s="13" t="s">
        <v>24</v>
      </c>
      <c r="J14" s="16">
        <v>236400</v>
      </c>
      <c r="L14" s="6"/>
      <c r="V14" s="9"/>
    </row>
    <row r="15" spans="1:22">
      <c r="A15" s="1" t="s">
        <v>25</v>
      </c>
      <c r="B15" s="6">
        <v>0</v>
      </c>
      <c r="C15" s="1">
        <v>0</v>
      </c>
      <c r="D15" s="1">
        <v>0</v>
      </c>
      <c r="E15" s="1">
        <v>0</v>
      </c>
      <c r="F15" s="1">
        <v>0</v>
      </c>
      <c r="G15" s="9">
        <f>SUM(FL_FINANCIAL)</f>
        <v>0</v>
      </c>
      <c r="I15" s="13" t="s">
        <v>26</v>
      </c>
      <c r="J15" s="16">
        <v>0</v>
      </c>
      <c r="L15" s="6"/>
      <c r="V15" s="9"/>
    </row>
    <row r="16" spans="1:22">
      <c r="A16" s="1" t="s">
        <v>27</v>
      </c>
      <c r="B16" s="6">
        <v>0</v>
      </c>
      <c r="C16" s="1">
        <v>0</v>
      </c>
      <c r="D16" s="1">
        <v>0</v>
      </c>
      <c r="E16" s="1">
        <v>0</v>
      </c>
      <c r="F16" s="1">
        <v>0</v>
      </c>
      <c r="G16" s="9">
        <f>SUM(GA_FINANCIAL)</f>
        <v>0</v>
      </c>
      <c r="I16" s="13" t="s">
        <v>28</v>
      </c>
      <c r="J16" s="16">
        <v>0</v>
      </c>
      <c r="L16" s="6"/>
      <c r="V16" s="9"/>
    </row>
    <row r="17" spans="1:22">
      <c r="A17" s="1" t="s">
        <v>29</v>
      </c>
      <c r="B17" s="6">
        <v>0</v>
      </c>
      <c r="C17" s="1">
        <v>0</v>
      </c>
      <c r="D17" s="1">
        <v>0</v>
      </c>
      <c r="E17" s="1">
        <v>0</v>
      </c>
      <c r="F17" s="1">
        <v>0</v>
      </c>
      <c r="G17" s="9">
        <f>SUM(HI_FINANCIAL)</f>
        <v>0</v>
      </c>
      <c r="I17" s="13"/>
      <c r="J17" s="16"/>
      <c r="L17" s="6"/>
      <c r="V17" s="9"/>
    </row>
    <row r="18" spans="1:22">
      <c r="A18" s="1" t="s">
        <v>30</v>
      </c>
      <c r="B18" s="6">
        <v>0</v>
      </c>
      <c r="C18" s="1">
        <v>0</v>
      </c>
      <c r="D18" s="1">
        <v>0</v>
      </c>
      <c r="E18" s="1">
        <v>0</v>
      </c>
      <c r="F18" s="1">
        <v>0</v>
      </c>
      <c r="G18" s="9">
        <f>SUM(ID_FINANCIAL)</f>
        <v>0</v>
      </c>
      <c r="I18" s="13" t="s">
        <v>31</v>
      </c>
      <c r="J18" s="16"/>
      <c r="L18" s="6"/>
      <c r="V18" s="9"/>
    </row>
    <row r="19" spans="1:22">
      <c r="A19" s="1" t="s">
        <v>32</v>
      </c>
      <c r="B19" s="6">
        <v>0</v>
      </c>
      <c r="C19" s="1">
        <v>0</v>
      </c>
      <c r="D19" s="1">
        <v>0</v>
      </c>
      <c r="E19" s="1">
        <v>0</v>
      </c>
      <c r="F19" s="1">
        <v>0</v>
      </c>
      <c r="G19" s="9">
        <f>SUM(IL_FINANCIAL)</f>
        <v>0</v>
      </c>
      <c r="I19" s="13" t="s">
        <v>33</v>
      </c>
      <c r="J19" s="16">
        <v>0</v>
      </c>
      <c r="L19" s="6"/>
      <c r="V19" s="9"/>
    </row>
    <row r="20" spans="1:22">
      <c r="A20" s="1" t="s">
        <v>34</v>
      </c>
      <c r="B20" s="6">
        <v>0</v>
      </c>
      <c r="C20" s="1">
        <v>0</v>
      </c>
      <c r="D20" s="1">
        <v>0</v>
      </c>
      <c r="E20" s="1">
        <v>0</v>
      </c>
      <c r="F20" s="1">
        <v>0</v>
      </c>
      <c r="G20" s="9">
        <f>SUM(IN_FINANCIAL)</f>
        <v>0</v>
      </c>
      <c r="I20" s="13" t="s">
        <v>35</v>
      </c>
      <c r="J20" s="16">
        <v>3111149</v>
      </c>
      <c r="L20" s="6"/>
      <c r="V20" s="9"/>
    </row>
    <row r="21" spans="1:22">
      <c r="A21" s="1" t="s">
        <v>36</v>
      </c>
      <c r="B21" s="6">
        <v>0</v>
      </c>
      <c r="C21" s="1">
        <v>0</v>
      </c>
      <c r="D21" s="1">
        <v>0</v>
      </c>
      <c r="E21" s="1">
        <v>0</v>
      </c>
      <c r="F21" s="1">
        <v>0</v>
      </c>
      <c r="G21" s="9">
        <f>SUM(IA_FINANCIAL)</f>
        <v>0</v>
      </c>
      <c r="I21" s="13" t="s">
        <v>37</v>
      </c>
      <c r="J21" s="16"/>
      <c r="L21" s="6"/>
      <c r="V21" s="9"/>
    </row>
    <row r="22" spans="1:22">
      <c r="A22" s="1" t="s">
        <v>38</v>
      </c>
      <c r="B22" s="6">
        <v>0</v>
      </c>
      <c r="C22" s="1">
        <v>0</v>
      </c>
      <c r="D22" s="1">
        <v>0</v>
      </c>
      <c r="E22" s="1">
        <v>0</v>
      </c>
      <c r="F22" s="1">
        <v>0</v>
      </c>
      <c r="G22" s="9">
        <f>SUM(KS_FINANCIAL)</f>
        <v>0</v>
      </c>
      <c r="I22" s="13" t="s">
        <v>39</v>
      </c>
      <c r="J22" s="16">
        <v>0</v>
      </c>
      <c r="L22" s="6"/>
      <c r="V22" s="9"/>
    </row>
    <row r="23" spans="1:22">
      <c r="A23" s="1" t="s">
        <v>40</v>
      </c>
      <c r="B23" s="6">
        <v>0</v>
      </c>
      <c r="C23" s="1">
        <v>0</v>
      </c>
      <c r="D23" s="1">
        <v>0</v>
      </c>
      <c r="E23" s="1">
        <v>0</v>
      </c>
      <c r="F23" s="1">
        <v>0</v>
      </c>
      <c r="G23" s="9">
        <f>SUM(KY_FINANCIAL)</f>
        <v>0</v>
      </c>
      <c r="I23" s="13" t="s">
        <v>41</v>
      </c>
      <c r="J23" s="16"/>
      <c r="L23" s="6"/>
      <c r="V23" s="9"/>
    </row>
    <row r="24" spans="1:22">
      <c r="A24" s="1" t="s">
        <v>42</v>
      </c>
      <c r="B24" s="6">
        <v>0</v>
      </c>
      <c r="C24" s="1">
        <v>0</v>
      </c>
      <c r="D24" s="1">
        <v>0</v>
      </c>
      <c r="E24" s="1">
        <v>0</v>
      </c>
      <c r="F24" s="1">
        <v>0</v>
      </c>
      <c r="G24" s="9">
        <f>SUM(LA_FINANCIAL)</f>
        <v>0</v>
      </c>
      <c r="I24" s="13" t="s">
        <v>43</v>
      </c>
      <c r="J24" s="16">
        <v>0</v>
      </c>
      <c r="L24" s="6"/>
      <c r="V24" s="9"/>
    </row>
    <row r="25" spans="1:22">
      <c r="A25" s="1" t="s">
        <v>44</v>
      </c>
      <c r="B25" s="6">
        <v>0</v>
      </c>
      <c r="C25" s="1">
        <v>0</v>
      </c>
      <c r="D25" s="1">
        <v>0</v>
      </c>
      <c r="E25" s="1">
        <v>0</v>
      </c>
      <c r="F25" s="1">
        <v>0</v>
      </c>
      <c r="G25" s="9">
        <f>SUM(ME_FINANCIAL)</f>
        <v>0</v>
      </c>
      <c r="I25" s="13"/>
      <c r="J25" s="16"/>
      <c r="L25" s="6"/>
      <c r="V25" s="9"/>
    </row>
    <row r="26" spans="1:22">
      <c r="A26" s="1" t="s">
        <v>45</v>
      </c>
      <c r="B26" s="6">
        <v>0</v>
      </c>
      <c r="C26" s="1">
        <v>0</v>
      </c>
      <c r="D26" s="1">
        <v>0</v>
      </c>
      <c r="E26" s="1">
        <v>0</v>
      </c>
      <c r="F26" s="1">
        <v>0</v>
      </c>
      <c r="G26" s="9">
        <f>SUM(MD_FINANCIAL)</f>
        <v>0</v>
      </c>
      <c r="I26" s="13" t="s">
        <v>46</v>
      </c>
      <c r="J26" s="16">
        <f>SUM(ADD_FINANCIAL)-SUM(LESS_FINANCIAL)</f>
        <v>3347549</v>
      </c>
      <c r="L26" s="6"/>
      <c r="V26" s="9"/>
    </row>
    <row r="27" spans="1:22">
      <c r="A27" s="1" t="s">
        <v>47</v>
      </c>
      <c r="B27" s="6">
        <v>0</v>
      </c>
      <c r="C27" s="1">
        <v>0</v>
      </c>
      <c r="D27" s="1">
        <v>0</v>
      </c>
      <c r="E27" s="1">
        <v>0</v>
      </c>
      <c r="F27" s="1">
        <v>0</v>
      </c>
      <c r="G27" s="9">
        <f>SUM(MA_FINANCIAL)</f>
        <v>0</v>
      </c>
      <c r="I27" s="13" t="s">
        <v>48</v>
      </c>
      <c r="J27" s="16">
        <f>SUM(ALL_BLOCKS)</f>
        <v>3347549</v>
      </c>
      <c r="L27" s="6"/>
      <c r="V27" s="9"/>
    </row>
    <row r="28" spans="1:22">
      <c r="A28" s="1" t="s">
        <v>49</v>
      </c>
      <c r="B28" s="6">
        <v>0</v>
      </c>
      <c r="C28" s="1">
        <v>0</v>
      </c>
      <c r="D28" s="1">
        <v>0</v>
      </c>
      <c r="E28" s="1">
        <v>0</v>
      </c>
      <c r="F28" s="1">
        <v>0</v>
      </c>
      <c r="G28" s="9">
        <f>SUM(MI_FINANCIAL)</f>
        <v>0</v>
      </c>
      <c r="I28" s="14"/>
      <c r="J28" s="17"/>
      <c r="L28" s="6"/>
      <c r="V28" s="9"/>
    </row>
    <row r="29" spans="1:22">
      <c r="A29" s="1" t="s">
        <v>50</v>
      </c>
      <c r="B29" s="6">
        <v>0</v>
      </c>
      <c r="C29" s="1">
        <v>0</v>
      </c>
      <c r="D29" s="1">
        <v>0</v>
      </c>
      <c r="E29" s="1">
        <v>0</v>
      </c>
      <c r="F29" s="1">
        <v>0</v>
      </c>
      <c r="G29" s="9">
        <f>SUM(MN_FINANCIAL)</f>
        <v>0</v>
      </c>
      <c r="L29" s="6"/>
      <c r="V29" s="9"/>
    </row>
    <row r="30" spans="1:22">
      <c r="A30" s="1" t="s">
        <v>51</v>
      </c>
      <c r="B30" s="6">
        <v>0</v>
      </c>
      <c r="C30" s="1">
        <v>0</v>
      </c>
      <c r="D30" s="1">
        <v>0</v>
      </c>
      <c r="E30" s="1">
        <v>0</v>
      </c>
      <c r="F30" s="1">
        <v>0</v>
      </c>
      <c r="G30" s="9">
        <f>SUM(MS_FINANCIAL)</f>
        <v>0</v>
      </c>
      <c r="L30" s="6"/>
      <c r="V30" s="9"/>
    </row>
    <row r="31" spans="1:22">
      <c r="A31" s="1" t="s">
        <v>52</v>
      </c>
      <c r="B31" s="6">
        <v>0</v>
      </c>
      <c r="C31" s="1">
        <v>0</v>
      </c>
      <c r="D31" s="1">
        <v>0</v>
      </c>
      <c r="E31" s="1">
        <v>0</v>
      </c>
      <c r="F31" s="1">
        <v>0</v>
      </c>
      <c r="G31" s="9">
        <f>SUM(MO_FINANCIAL)</f>
        <v>0</v>
      </c>
      <c r="L31" s="6"/>
      <c r="V31" s="9"/>
    </row>
    <row r="32" spans="1:22">
      <c r="A32" s="1" t="s">
        <v>53</v>
      </c>
      <c r="B32" s="6">
        <v>0</v>
      </c>
      <c r="C32" s="1">
        <v>0</v>
      </c>
      <c r="D32" s="1">
        <v>0</v>
      </c>
      <c r="E32" s="1">
        <v>0</v>
      </c>
      <c r="F32" s="1">
        <v>0</v>
      </c>
      <c r="G32" s="9">
        <f>SUM(MT_FINANCIAL)</f>
        <v>0</v>
      </c>
      <c r="L32" s="6"/>
      <c r="V32" s="9"/>
    </row>
    <row r="33" spans="1:22">
      <c r="A33" s="1" t="s">
        <v>54</v>
      </c>
      <c r="B33" s="6">
        <v>0</v>
      </c>
      <c r="C33" s="1">
        <v>0</v>
      </c>
      <c r="D33" s="1">
        <v>0</v>
      </c>
      <c r="E33" s="1">
        <v>0</v>
      </c>
      <c r="F33" s="1">
        <v>0</v>
      </c>
      <c r="G33" s="9">
        <f>SUM(NE_FINANCIAL)</f>
        <v>0</v>
      </c>
      <c r="L33" s="6"/>
      <c r="V33" s="9"/>
    </row>
    <row r="34" spans="1:22">
      <c r="A34" s="1" t="s">
        <v>55</v>
      </c>
      <c r="B34" s="6">
        <v>0</v>
      </c>
      <c r="C34" s="1">
        <v>0</v>
      </c>
      <c r="D34" s="1">
        <v>0</v>
      </c>
      <c r="E34" s="1">
        <v>0</v>
      </c>
      <c r="F34" s="1">
        <v>0</v>
      </c>
      <c r="G34" s="9">
        <f>SUM(NV_FINANCIAL)</f>
        <v>0</v>
      </c>
      <c r="L34" s="6"/>
      <c r="V34" s="9"/>
    </row>
    <row r="35" spans="1:22">
      <c r="A35" s="1" t="s">
        <v>56</v>
      </c>
      <c r="B35" s="6">
        <v>0</v>
      </c>
      <c r="C35" s="1">
        <v>0</v>
      </c>
      <c r="D35" s="1">
        <v>0</v>
      </c>
      <c r="E35" s="1">
        <v>0</v>
      </c>
      <c r="F35" s="1">
        <v>0</v>
      </c>
      <c r="G35" s="9">
        <f>SUM(NH_FINANCIAL)</f>
        <v>0</v>
      </c>
      <c r="L35" s="6"/>
      <c r="V35" s="9"/>
    </row>
    <row r="36" spans="1:22">
      <c r="A36" s="1" t="s">
        <v>57</v>
      </c>
      <c r="B36" s="6">
        <v>0</v>
      </c>
      <c r="C36" s="1">
        <v>0</v>
      </c>
      <c r="D36" s="1">
        <v>0</v>
      </c>
      <c r="E36" s="1">
        <v>0</v>
      </c>
      <c r="F36" s="1">
        <v>0</v>
      </c>
      <c r="G36" s="9">
        <f>SUM(NJ_FINANCIAL)</f>
        <v>0</v>
      </c>
      <c r="L36" s="6"/>
      <c r="V36" s="9"/>
    </row>
    <row r="37" spans="1:22">
      <c r="A37" s="1" t="s">
        <v>58</v>
      </c>
      <c r="B37" s="6">
        <v>0</v>
      </c>
      <c r="C37" s="1">
        <v>0</v>
      </c>
      <c r="D37" s="1">
        <v>0</v>
      </c>
      <c r="E37" s="1">
        <v>0</v>
      </c>
      <c r="F37" s="1">
        <v>0</v>
      </c>
      <c r="G37" s="9">
        <f>SUM(NM_FINANCIAL)</f>
        <v>0</v>
      </c>
      <c r="L37" s="6"/>
      <c r="V37" s="9"/>
    </row>
    <row r="38" spans="1:22">
      <c r="A38" s="1" t="s">
        <v>59</v>
      </c>
      <c r="B38" s="6">
        <v>0</v>
      </c>
      <c r="C38" s="1">
        <v>0</v>
      </c>
      <c r="D38" s="1">
        <v>0</v>
      </c>
      <c r="E38" s="1">
        <v>0</v>
      </c>
      <c r="F38" s="1">
        <v>0</v>
      </c>
      <c r="G38" s="9">
        <f>SUM(NY_FINANCIAL)</f>
        <v>0</v>
      </c>
      <c r="L38" s="6"/>
      <c r="V38" s="9"/>
    </row>
    <row r="39" spans="1:22">
      <c r="A39" s="1" t="s">
        <v>60</v>
      </c>
      <c r="B39" s="6">
        <v>0</v>
      </c>
      <c r="C39" s="1">
        <v>0</v>
      </c>
      <c r="D39" s="1">
        <v>0</v>
      </c>
      <c r="E39" s="1">
        <v>0</v>
      </c>
      <c r="F39" s="1">
        <v>0</v>
      </c>
      <c r="G39" s="9">
        <f>SUM(NC_FINANCIAL)</f>
        <v>0</v>
      </c>
      <c r="L39" s="6"/>
      <c r="V39" s="9"/>
    </row>
    <row r="40" spans="1:22">
      <c r="A40" s="1" t="s">
        <v>61</v>
      </c>
      <c r="B40" s="6">
        <v>0</v>
      </c>
      <c r="C40" s="1">
        <v>0</v>
      </c>
      <c r="D40" s="1">
        <v>0</v>
      </c>
      <c r="E40" s="1">
        <v>0</v>
      </c>
      <c r="F40" s="1">
        <v>0</v>
      </c>
      <c r="G40" s="9">
        <f>SUM(ND_FINANCIAL)</f>
        <v>0</v>
      </c>
      <c r="L40" s="6"/>
      <c r="V40" s="9"/>
    </row>
    <row r="41" spans="1:22">
      <c r="A41" s="1" t="s">
        <v>62</v>
      </c>
      <c r="B41" s="6">
        <v>0</v>
      </c>
      <c r="C41" s="1">
        <v>0</v>
      </c>
      <c r="D41" s="1">
        <v>0</v>
      </c>
      <c r="E41" s="1">
        <v>0</v>
      </c>
      <c r="F41" s="1">
        <v>0</v>
      </c>
      <c r="G41" s="9">
        <f>SUM(OH_FINANCIAL)</f>
        <v>0</v>
      </c>
      <c r="L41" s="6"/>
      <c r="V41" s="9"/>
    </row>
    <row r="42" spans="1:22">
      <c r="A42" s="1" t="s">
        <v>63</v>
      </c>
      <c r="B42" s="6">
        <v>0</v>
      </c>
      <c r="C42" s="1">
        <v>0</v>
      </c>
      <c r="D42" s="1">
        <v>0</v>
      </c>
      <c r="E42" s="1">
        <v>0</v>
      </c>
      <c r="F42" s="1">
        <v>0</v>
      </c>
      <c r="G42" s="9">
        <f>SUM(OK_FINANCIAL)</f>
        <v>0</v>
      </c>
      <c r="L42" s="6"/>
      <c r="V42" s="9"/>
    </row>
    <row r="43" spans="1:22">
      <c r="A43" s="1" t="s">
        <v>64</v>
      </c>
      <c r="B43" s="6">
        <v>0</v>
      </c>
      <c r="C43" s="1">
        <v>0</v>
      </c>
      <c r="D43" s="1">
        <v>0</v>
      </c>
      <c r="E43" s="1">
        <v>0</v>
      </c>
      <c r="F43" s="1">
        <v>0</v>
      </c>
      <c r="G43" s="9">
        <f>SUM(OR_FINANCIAL)</f>
        <v>0</v>
      </c>
      <c r="L43" s="6"/>
      <c r="V43" s="9"/>
    </row>
    <row r="44" spans="1:22">
      <c r="A44" s="1" t="s">
        <v>65</v>
      </c>
      <c r="B44" s="6">
        <v>0</v>
      </c>
      <c r="C44" s="1">
        <v>0</v>
      </c>
      <c r="D44" s="1">
        <v>0</v>
      </c>
      <c r="E44" s="1">
        <v>0</v>
      </c>
      <c r="F44" s="1">
        <v>0</v>
      </c>
      <c r="G44" s="9">
        <f>SUM(PA_FINANCIAL)</f>
        <v>0</v>
      </c>
      <c r="L44" s="6"/>
      <c r="V44" s="9"/>
    </row>
    <row r="45" spans="1:22">
      <c r="A45" s="1" t="s">
        <v>66</v>
      </c>
      <c r="B45" s="6">
        <v>0</v>
      </c>
      <c r="C45" s="1">
        <v>0</v>
      </c>
      <c r="D45" s="1">
        <v>0</v>
      </c>
      <c r="E45" s="1">
        <v>0</v>
      </c>
      <c r="F45" s="1">
        <v>0</v>
      </c>
      <c r="G45" s="9">
        <f>SUM(PR_FINANCIAL)</f>
        <v>0</v>
      </c>
      <c r="L45" s="6"/>
      <c r="V45" s="9"/>
    </row>
    <row r="46" spans="1:22">
      <c r="A46" s="1" t="s">
        <v>67</v>
      </c>
      <c r="B46" s="6">
        <v>0</v>
      </c>
      <c r="C46" s="1">
        <v>0</v>
      </c>
      <c r="D46" s="1">
        <v>0</v>
      </c>
      <c r="E46" s="1">
        <v>0</v>
      </c>
      <c r="F46" s="1">
        <v>0</v>
      </c>
      <c r="G46" s="9">
        <f>SUM(RI_FINANCIAL)</f>
        <v>0</v>
      </c>
      <c r="L46" s="6"/>
      <c r="V46" s="9"/>
    </row>
    <row r="47" spans="1:22">
      <c r="A47" s="1" t="s">
        <v>68</v>
      </c>
      <c r="B47" s="6">
        <v>0</v>
      </c>
      <c r="C47" s="1">
        <v>0</v>
      </c>
      <c r="D47" s="1">
        <v>0</v>
      </c>
      <c r="E47" s="1">
        <v>0</v>
      </c>
      <c r="F47" s="1">
        <v>0</v>
      </c>
      <c r="G47" s="9">
        <f>SUM(SC_FINANCIAL)</f>
        <v>0</v>
      </c>
      <c r="L47" s="6"/>
      <c r="V47" s="9"/>
    </row>
    <row r="48" spans="1:22">
      <c r="A48" s="1" t="s">
        <v>69</v>
      </c>
      <c r="B48" s="6">
        <v>0</v>
      </c>
      <c r="C48" s="1">
        <v>0</v>
      </c>
      <c r="D48" s="1">
        <v>0</v>
      </c>
      <c r="E48" s="1">
        <v>0</v>
      </c>
      <c r="F48" s="1">
        <v>0</v>
      </c>
      <c r="G48" s="9">
        <f>SUM(SD_FINANCIAL)</f>
        <v>0</v>
      </c>
      <c r="L48" s="6"/>
      <c r="V48" s="9"/>
    </row>
    <row r="49" spans="1:22">
      <c r="A49" s="1" t="s">
        <v>70</v>
      </c>
      <c r="B49" s="6">
        <v>0</v>
      </c>
      <c r="C49" s="1">
        <v>0</v>
      </c>
      <c r="D49" s="1">
        <v>0</v>
      </c>
      <c r="E49" s="1">
        <v>0</v>
      </c>
      <c r="F49" s="1">
        <v>0</v>
      </c>
      <c r="G49" s="9">
        <f>SUM(TN_FINANCIAL)</f>
        <v>0</v>
      </c>
      <c r="L49" s="6"/>
      <c r="V49" s="9"/>
    </row>
    <row r="50" spans="1:22">
      <c r="A50" s="1" t="s">
        <v>71</v>
      </c>
      <c r="B50" s="6">
        <v>0</v>
      </c>
      <c r="C50" s="1">
        <v>0</v>
      </c>
      <c r="D50" s="1">
        <v>0</v>
      </c>
      <c r="E50" s="1">
        <v>0</v>
      </c>
      <c r="F50" s="1">
        <v>0</v>
      </c>
      <c r="G50" s="9">
        <f>SUM(TX_FINANCIAL)</f>
        <v>0</v>
      </c>
      <c r="L50" s="6"/>
      <c r="V50" s="9"/>
    </row>
    <row r="51" spans="1:22">
      <c r="A51" s="1" t="s">
        <v>72</v>
      </c>
      <c r="B51" s="6">
        <v>0</v>
      </c>
      <c r="C51" s="1">
        <v>0</v>
      </c>
      <c r="D51" s="1">
        <v>0</v>
      </c>
      <c r="E51" s="1">
        <v>0</v>
      </c>
      <c r="F51" s="1">
        <v>0</v>
      </c>
      <c r="G51" s="9">
        <f>SUM(UT_FINANCIAL)</f>
        <v>0</v>
      </c>
      <c r="L51" s="6"/>
      <c r="V51" s="9"/>
    </row>
    <row r="52" spans="1:22">
      <c r="A52" s="1" t="s">
        <v>73</v>
      </c>
      <c r="B52" s="6">
        <v>0</v>
      </c>
      <c r="C52" s="1">
        <v>0</v>
      </c>
      <c r="D52" s="1">
        <v>0</v>
      </c>
      <c r="E52" s="1">
        <v>0</v>
      </c>
      <c r="F52" s="1">
        <v>0</v>
      </c>
      <c r="G52" s="9">
        <f>SUM(VT_FINANCIAL)</f>
        <v>0</v>
      </c>
      <c r="L52" s="6"/>
      <c r="V52" s="9"/>
    </row>
    <row r="53" spans="1:22">
      <c r="A53" s="1" t="s">
        <v>74</v>
      </c>
      <c r="B53" s="6">
        <v>0</v>
      </c>
      <c r="C53" s="1">
        <v>0</v>
      </c>
      <c r="D53" s="1">
        <v>0</v>
      </c>
      <c r="E53" s="1">
        <v>0</v>
      </c>
      <c r="F53" s="1">
        <v>0</v>
      </c>
      <c r="G53" s="9">
        <f>SUM(VA_FINANCIAL)</f>
        <v>0</v>
      </c>
      <c r="L53" s="6"/>
      <c r="V53" s="9"/>
    </row>
    <row r="54" spans="1:22">
      <c r="A54" s="1" t="s">
        <v>75</v>
      </c>
      <c r="B54" s="6">
        <v>0</v>
      </c>
      <c r="C54" s="1">
        <v>0</v>
      </c>
      <c r="D54" s="1">
        <v>0</v>
      </c>
      <c r="E54" s="1">
        <v>0</v>
      </c>
      <c r="F54" s="1">
        <v>0</v>
      </c>
      <c r="G54" s="9">
        <f>SUM(WA_FINANCIAL)</f>
        <v>0</v>
      </c>
      <c r="L54" s="6"/>
      <c r="V54" s="9"/>
    </row>
    <row r="55" spans="1:22">
      <c r="A55" s="1" t="s">
        <v>76</v>
      </c>
      <c r="B55" s="6">
        <v>0</v>
      </c>
      <c r="C55" s="1">
        <v>0</v>
      </c>
      <c r="D55" s="1">
        <v>0</v>
      </c>
      <c r="E55" s="1">
        <v>0</v>
      </c>
      <c r="F55" s="1">
        <v>0</v>
      </c>
      <c r="G55" s="9">
        <f>SUM(WV_FINANCIAL)</f>
        <v>0</v>
      </c>
      <c r="L55" s="6"/>
      <c r="V55" s="9"/>
    </row>
    <row r="56" spans="1:22">
      <c r="A56" s="1" t="s">
        <v>77</v>
      </c>
      <c r="B56" s="6">
        <v>0</v>
      </c>
      <c r="C56" s="1">
        <v>0</v>
      </c>
      <c r="D56" s="1">
        <v>0</v>
      </c>
      <c r="E56" s="1">
        <v>0</v>
      </c>
      <c r="F56" s="1">
        <v>0</v>
      </c>
      <c r="G56" s="9">
        <f>SUM(WI_FINANCIAL)</f>
        <v>0</v>
      </c>
      <c r="L56" s="6"/>
      <c r="V56" s="9"/>
    </row>
    <row r="57" spans="1:22">
      <c r="A57" s="1" t="s">
        <v>78</v>
      </c>
      <c r="B57" s="6">
        <v>0</v>
      </c>
      <c r="C57" s="1">
        <v>0</v>
      </c>
      <c r="D57" s="1">
        <v>0</v>
      </c>
      <c r="E57" s="1">
        <v>0</v>
      </c>
      <c r="F57" s="1">
        <v>0</v>
      </c>
      <c r="G57" s="9">
        <f>SUM(WY_FINANCIAL)</f>
        <v>0</v>
      </c>
      <c r="L57" s="6"/>
      <c r="V57" s="9"/>
    </row>
    <row r="58" spans="1:22">
      <c r="A58" s="1" t="s">
        <v>79</v>
      </c>
      <c r="B58" s="6">
        <v>0</v>
      </c>
      <c r="C58" s="1">
        <v>0</v>
      </c>
      <c r="D58" s="1">
        <v>0</v>
      </c>
      <c r="E58" s="1">
        <v>0</v>
      </c>
      <c r="F58" s="1">
        <v>0</v>
      </c>
      <c r="G58" s="9">
        <f>SUM(OT_FINANCIAL)</f>
        <v>0</v>
      </c>
      <c r="L58" s="6"/>
      <c r="V58" s="9"/>
    </row>
    <row r="59" spans="1:22">
      <c r="B59" s="6"/>
      <c r="G59" s="9"/>
      <c r="L59" s="6"/>
      <c r="V59" s="9"/>
    </row>
    <row r="60" spans="1:22">
      <c r="A60" s="1" t="s">
        <v>8</v>
      </c>
      <c r="B60" s="6">
        <f>SUM(LIFE)</f>
        <v>0</v>
      </c>
      <c r="C60" s="1">
        <f>SUM(ALLOCATED)</f>
        <v>0</v>
      </c>
      <c r="D60" s="1">
        <f>SUM(HEALTH)</f>
        <v>3347549</v>
      </c>
      <c r="E60" s="1">
        <f>SUM(UNALLOCATED)</f>
        <v>0</v>
      </c>
      <c r="F60" s="1">
        <f>SUM(LTC)</f>
        <v>0</v>
      </c>
      <c r="G60" s="9">
        <f>SUM(ALL_BLOCKS)</f>
        <v>3347549</v>
      </c>
      <c r="L60" s="6">
        <f>SUM(LIFE_CALLED)</f>
        <v>0</v>
      </c>
      <c r="M60" s="1">
        <f>SUM(LIFE_REFUNDED)</f>
        <v>0</v>
      </c>
      <c r="O60" s="1">
        <f>SUM(ALLOC_CALLED)</f>
        <v>0</v>
      </c>
      <c r="P60" s="1">
        <f>SUM(ALLOC_REFUNDED)</f>
        <v>0</v>
      </c>
      <c r="R60" s="1">
        <f>SUM(HEALTH_CALLED)</f>
        <v>0</v>
      </c>
      <c r="S60" s="1">
        <f>SUM(HEALTH_REFUNDED)</f>
        <v>0</v>
      </c>
      <c r="U60" s="1">
        <f>SUM(UNALLOC_CALLED)</f>
        <v>0</v>
      </c>
      <c r="V60" s="9">
        <f>SUM(UNALLOC_REFUNDED)</f>
        <v>0</v>
      </c>
    </row>
    <row r="61" spans="1:22" ht="5.0999999999999996" customHeight="1">
      <c r="B61" s="6"/>
      <c r="G61" s="9"/>
      <c r="L61" s="6"/>
      <c r="V61" s="9"/>
    </row>
    <row r="62" spans="1:22">
      <c r="B62" s="6"/>
      <c r="G62" s="9"/>
      <c r="L62" s="78" t="s">
        <v>80</v>
      </c>
      <c r="M62" s="79"/>
      <c r="N62" s="79"/>
      <c r="O62" s="79"/>
      <c r="P62" s="79"/>
      <c r="Q62" s="79"/>
      <c r="R62" s="79"/>
      <c r="S62" s="79"/>
      <c r="T62" s="79"/>
      <c r="U62" s="79"/>
      <c r="V62" s="80"/>
    </row>
    <row r="63" spans="1:22">
      <c r="B63" s="6"/>
      <c r="G63" s="9"/>
      <c r="L63" s="81"/>
      <c r="M63" s="79"/>
      <c r="N63" s="79"/>
      <c r="O63" s="79"/>
      <c r="P63" s="79"/>
      <c r="Q63" s="79"/>
      <c r="R63" s="79"/>
      <c r="S63" s="79"/>
      <c r="T63" s="79"/>
      <c r="U63" s="79"/>
      <c r="V63" s="80"/>
    </row>
    <row r="64" spans="1:22">
      <c r="B64" s="8"/>
      <c r="C64" s="5"/>
      <c r="D64" s="5"/>
      <c r="E64" s="5"/>
      <c r="F64" s="5"/>
      <c r="G64" s="11"/>
      <c r="L64" s="82"/>
      <c r="M64" s="83"/>
      <c r="N64" s="83"/>
      <c r="O64" s="83"/>
      <c r="P64" s="83"/>
      <c r="Q64" s="83"/>
      <c r="R64" s="83"/>
      <c r="S64" s="83"/>
      <c r="T64" s="83"/>
      <c r="U64" s="83"/>
      <c r="V64" s="84"/>
    </row>
  </sheetData>
  <mergeCells count="8">
    <mergeCell ref="L62:V64"/>
    <mergeCell ref="A1:G1"/>
    <mergeCell ref="B3:G3"/>
    <mergeCell ref="L3:V3"/>
    <mergeCell ref="L4:M4"/>
    <mergeCell ref="O4:P4"/>
    <mergeCell ref="R4:S4"/>
    <mergeCell ref="U4:V4"/>
  </mergeCells>
  <pageMargins left="0" right="0" top="0" bottom="0" header="0" footer="0"/>
  <pageSetup scale="48"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V64"/>
  <sheetViews>
    <sheetView zoomScale="75" workbookViewId="0">
      <selection sqref="A1:G1"/>
    </sheetView>
  </sheetViews>
  <sheetFormatPr defaultColWidth="9.109375" defaultRowHeight="14.4"/>
  <cols>
    <col min="1" max="1" width="20" style="1" customWidth="1"/>
    <col min="2" max="7" width="15" style="1" customWidth="1"/>
    <col min="8" max="8" width="1" style="1" customWidth="1"/>
    <col min="9" max="9" width="30" style="1" customWidth="1"/>
    <col min="10" max="10" width="15" style="1" customWidth="1"/>
    <col min="11" max="11" width="1" style="1" customWidth="1"/>
    <col min="12" max="13" width="15" style="1" customWidth="1"/>
    <col min="14" max="14" width="1" style="1" customWidth="1"/>
    <col min="15" max="16" width="15" style="1" customWidth="1"/>
    <col min="17" max="17" width="1" style="1" customWidth="1"/>
    <col min="18" max="19" width="15" style="1" customWidth="1"/>
    <col min="20" max="20" width="1" style="1" customWidth="1"/>
    <col min="21" max="22" width="15" style="1" customWidth="1"/>
    <col min="23" max="23" width="9.109375" style="1" customWidth="1"/>
    <col min="24" max="16384" width="9.109375" style="1"/>
  </cols>
  <sheetData>
    <row r="1" spans="1:22">
      <c r="A1" s="85" t="s">
        <v>102</v>
      </c>
      <c r="B1" s="79"/>
      <c r="C1" s="79"/>
      <c r="D1" s="79"/>
      <c r="E1" s="79"/>
      <c r="F1" s="79"/>
      <c r="G1" s="79"/>
    </row>
    <row r="3" spans="1:22">
      <c r="B3" s="86" t="s">
        <v>1</v>
      </c>
      <c r="C3" s="87"/>
      <c r="D3" s="87"/>
      <c r="E3" s="87"/>
      <c r="F3" s="87"/>
      <c r="G3" s="88"/>
      <c r="L3" s="89" t="s">
        <v>2</v>
      </c>
      <c r="M3" s="90"/>
      <c r="N3" s="90"/>
      <c r="O3" s="90"/>
      <c r="P3" s="90"/>
      <c r="Q3" s="90"/>
      <c r="R3" s="90"/>
      <c r="S3" s="90"/>
      <c r="T3" s="90"/>
      <c r="U3" s="90"/>
      <c r="V3" s="91"/>
    </row>
    <row r="4" spans="1:22">
      <c r="B4" s="6"/>
      <c r="G4" s="9"/>
      <c r="L4" s="92" t="s">
        <v>3</v>
      </c>
      <c r="M4" s="93"/>
      <c r="N4" s="3"/>
      <c r="O4" s="94" t="s">
        <v>4</v>
      </c>
      <c r="P4" s="93"/>
      <c r="Q4" s="3"/>
      <c r="R4" s="94" t="s">
        <v>5</v>
      </c>
      <c r="S4" s="93"/>
      <c r="T4" s="3"/>
      <c r="U4" s="94" t="s">
        <v>6</v>
      </c>
      <c r="V4" s="95"/>
    </row>
    <row r="5" spans="1:22" ht="60" customHeight="1">
      <c r="B5" s="7" t="s">
        <v>3</v>
      </c>
      <c r="C5" s="4" t="s">
        <v>4</v>
      </c>
      <c r="D5" s="4" t="s">
        <v>5</v>
      </c>
      <c r="E5" s="4" t="s">
        <v>6</v>
      </c>
      <c r="F5" s="4" t="s">
        <v>7</v>
      </c>
      <c r="G5" s="10" t="s">
        <v>8</v>
      </c>
      <c r="L5" s="19" t="s">
        <v>9</v>
      </c>
      <c r="M5" s="18" t="s">
        <v>10</v>
      </c>
      <c r="N5" s="18"/>
      <c r="O5" s="18" t="s">
        <v>9</v>
      </c>
      <c r="P5" s="18" t="s">
        <v>10</v>
      </c>
      <c r="Q5" s="18"/>
      <c r="R5" s="18" t="s">
        <v>9</v>
      </c>
      <c r="S5" s="18" t="s">
        <v>10</v>
      </c>
      <c r="T5" s="18"/>
      <c r="U5" s="18" t="s">
        <v>9</v>
      </c>
      <c r="V5" s="20" t="s">
        <v>10</v>
      </c>
    </row>
    <row r="6" spans="1:22">
      <c r="A6" s="1" t="s">
        <v>11</v>
      </c>
      <c r="B6" s="6">
        <v>0</v>
      </c>
      <c r="C6" s="1">
        <v>0</v>
      </c>
      <c r="D6" s="1">
        <v>0</v>
      </c>
      <c r="E6" s="1">
        <v>0</v>
      </c>
      <c r="F6" s="1">
        <v>0</v>
      </c>
      <c r="G6" s="9">
        <f>SUM(AL_FINANCIAL)</f>
        <v>0</v>
      </c>
      <c r="L6" s="6"/>
      <c r="V6" s="9"/>
    </row>
    <row r="7" spans="1:22">
      <c r="A7" s="1" t="s">
        <v>12</v>
      </c>
      <c r="B7" s="6">
        <v>0</v>
      </c>
      <c r="C7" s="1">
        <v>0</v>
      </c>
      <c r="D7" s="1">
        <v>0</v>
      </c>
      <c r="E7" s="1">
        <v>0</v>
      </c>
      <c r="F7" s="1">
        <v>0</v>
      </c>
      <c r="G7" s="9">
        <f>SUM(AK_FINANCIAL)</f>
        <v>0</v>
      </c>
      <c r="I7" s="12"/>
      <c r="J7" s="15"/>
      <c r="L7" s="6"/>
      <c r="V7" s="9"/>
    </row>
    <row r="8" spans="1:22">
      <c r="A8" s="1" t="s">
        <v>13</v>
      </c>
      <c r="B8" s="6">
        <v>0</v>
      </c>
      <c r="C8" s="1">
        <v>0</v>
      </c>
      <c r="D8" s="1">
        <v>0</v>
      </c>
      <c r="E8" s="1">
        <v>0</v>
      </c>
      <c r="F8" s="1">
        <v>0</v>
      </c>
      <c r="G8" s="9">
        <f>SUM(AZ_FINANCIAL)</f>
        <v>0</v>
      </c>
      <c r="I8" s="13" t="s">
        <v>14</v>
      </c>
      <c r="J8" s="16"/>
      <c r="L8" s="6"/>
      <c r="V8" s="9"/>
    </row>
    <row r="9" spans="1:22">
      <c r="A9" s="1" t="s">
        <v>15</v>
      </c>
      <c r="B9" s="6">
        <v>0</v>
      </c>
      <c r="C9" s="1">
        <v>0</v>
      </c>
      <c r="D9" s="1">
        <v>0</v>
      </c>
      <c r="E9" s="1">
        <v>0</v>
      </c>
      <c r="F9" s="1">
        <v>0</v>
      </c>
      <c r="G9" s="9">
        <f>SUM(AR_FINANCIAL)</f>
        <v>0</v>
      </c>
      <c r="I9" s="13"/>
      <c r="J9" s="16"/>
      <c r="L9" s="6"/>
      <c r="V9" s="9"/>
    </row>
    <row r="10" spans="1:22">
      <c r="A10" s="1" t="s">
        <v>16</v>
      </c>
      <c r="B10" s="6">
        <v>0</v>
      </c>
      <c r="C10" s="1">
        <v>0</v>
      </c>
      <c r="D10" s="1">
        <v>0</v>
      </c>
      <c r="E10" s="1">
        <v>0</v>
      </c>
      <c r="F10" s="1">
        <v>0</v>
      </c>
      <c r="G10" s="9">
        <f>SUM(CA_FINANCIAL)</f>
        <v>0</v>
      </c>
      <c r="I10" s="13" t="s">
        <v>17</v>
      </c>
      <c r="J10" s="16">
        <v>116590114</v>
      </c>
      <c r="L10" s="6"/>
      <c r="V10" s="9"/>
    </row>
    <row r="11" spans="1:22">
      <c r="A11" s="1" t="s">
        <v>18</v>
      </c>
      <c r="B11" s="6">
        <v>0</v>
      </c>
      <c r="C11" s="1">
        <v>0</v>
      </c>
      <c r="D11" s="1">
        <v>0</v>
      </c>
      <c r="E11" s="1">
        <v>0</v>
      </c>
      <c r="F11" s="1">
        <v>0</v>
      </c>
      <c r="G11" s="9">
        <f>SUM(CO_FINANCIAL)</f>
        <v>0</v>
      </c>
      <c r="I11" s="13"/>
      <c r="J11" s="16"/>
      <c r="L11" s="6"/>
      <c r="V11" s="9"/>
    </row>
    <row r="12" spans="1:22">
      <c r="A12" s="1" t="s">
        <v>19</v>
      </c>
      <c r="B12" s="6">
        <v>0</v>
      </c>
      <c r="C12" s="1">
        <v>0</v>
      </c>
      <c r="D12" s="1">
        <v>0</v>
      </c>
      <c r="E12" s="1">
        <v>0</v>
      </c>
      <c r="F12" s="1">
        <v>0</v>
      </c>
      <c r="G12" s="9">
        <f>SUM(CT_FINANCIAL)</f>
        <v>0</v>
      </c>
      <c r="I12" s="13" t="s">
        <v>20</v>
      </c>
      <c r="J12" s="16"/>
      <c r="L12" s="6"/>
      <c r="V12" s="9"/>
    </row>
    <row r="13" spans="1:22">
      <c r="A13" s="1" t="s">
        <v>21</v>
      </c>
      <c r="B13" s="6">
        <v>0</v>
      </c>
      <c r="C13" s="1">
        <v>0</v>
      </c>
      <c r="D13" s="1">
        <v>0</v>
      </c>
      <c r="E13" s="1">
        <v>0</v>
      </c>
      <c r="F13" s="1">
        <v>0</v>
      </c>
      <c r="G13" s="9">
        <f>SUM(DE_FINANCIAL)</f>
        <v>0</v>
      </c>
      <c r="I13" s="13" t="s">
        <v>22</v>
      </c>
      <c r="J13" s="16">
        <v>0</v>
      </c>
      <c r="L13" s="6"/>
      <c r="V13" s="9"/>
    </row>
    <row r="14" spans="1:22">
      <c r="A14" s="1" t="s">
        <v>23</v>
      </c>
      <c r="B14" s="6">
        <v>0</v>
      </c>
      <c r="C14" s="1">
        <v>0</v>
      </c>
      <c r="D14" s="1">
        <v>0</v>
      </c>
      <c r="E14" s="1">
        <v>0</v>
      </c>
      <c r="F14" s="1">
        <v>0</v>
      </c>
      <c r="G14" s="9">
        <f>SUM(DC_FINANCIAL)</f>
        <v>0</v>
      </c>
      <c r="I14" s="13" t="s">
        <v>24</v>
      </c>
      <c r="J14" s="16">
        <v>0</v>
      </c>
      <c r="L14" s="6"/>
      <c r="V14" s="9"/>
    </row>
    <row r="15" spans="1:22">
      <c r="A15" s="1" t="s">
        <v>25</v>
      </c>
      <c r="B15" s="6">
        <v>0</v>
      </c>
      <c r="C15" s="1">
        <v>0</v>
      </c>
      <c r="D15" s="1">
        <v>0</v>
      </c>
      <c r="E15" s="1">
        <v>0</v>
      </c>
      <c r="F15" s="1">
        <v>0</v>
      </c>
      <c r="G15" s="9">
        <f>SUM(FL_FINANCIAL)</f>
        <v>0</v>
      </c>
      <c r="I15" s="13" t="s">
        <v>26</v>
      </c>
      <c r="J15" s="16">
        <v>0</v>
      </c>
      <c r="L15" s="6"/>
      <c r="V15" s="9"/>
    </row>
    <row r="16" spans="1:22">
      <c r="A16" s="1" t="s">
        <v>27</v>
      </c>
      <c r="B16" s="6">
        <v>0</v>
      </c>
      <c r="C16" s="1">
        <v>0</v>
      </c>
      <c r="D16" s="1">
        <v>0</v>
      </c>
      <c r="E16" s="1">
        <v>0</v>
      </c>
      <c r="F16" s="1">
        <v>0</v>
      </c>
      <c r="G16" s="9">
        <f>SUM(GA_FINANCIAL)</f>
        <v>0</v>
      </c>
      <c r="I16" s="13" t="s">
        <v>28</v>
      </c>
      <c r="J16" s="16">
        <v>0</v>
      </c>
      <c r="L16" s="6"/>
      <c r="V16" s="9"/>
    </row>
    <row r="17" spans="1:22">
      <c r="A17" s="1" t="s">
        <v>29</v>
      </c>
      <c r="B17" s="6">
        <v>0</v>
      </c>
      <c r="C17" s="1">
        <v>0</v>
      </c>
      <c r="D17" s="1">
        <v>0</v>
      </c>
      <c r="E17" s="1">
        <v>0</v>
      </c>
      <c r="F17" s="1">
        <v>0</v>
      </c>
      <c r="G17" s="9">
        <f>SUM(HI_FINANCIAL)</f>
        <v>0</v>
      </c>
      <c r="I17" s="13"/>
      <c r="J17" s="16"/>
      <c r="L17" s="6"/>
      <c r="V17" s="9"/>
    </row>
    <row r="18" spans="1:22">
      <c r="A18" s="1" t="s">
        <v>30</v>
      </c>
      <c r="B18" s="6">
        <v>0</v>
      </c>
      <c r="C18" s="1">
        <v>0</v>
      </c>
      <c r="D18" s="1">
        <v>0</v>
      </c>
      <c r="E18" s="1">
        <v>0</v>
      </c>
      <c r="F18" s="1">
        <v>0</v>
      </c>
      <c r="G18" s="9">
        <f>SUM(ID_FINANCIAL)</f>
        <v>0</v>
      </c>
      <c r="I18" s="13" t="s">
        <v>31</v>
      </c>
      <c r="J18" s="16"/>
      <c r="L18" s="6"/>
      <c r="V18" s="9"/>
    </row>
    <row r="19" spans="1:22">
      <c r="A19" s="1" t="s">
        <v>32</v>
      </c>
      <c r="B19" s="6">
        <v>0</v>
      </c>
      <c r="C19" s="1">
        <v>0</v>
      </c>
      <c r="D19" s="1">
        <v>0</v>
      </c>
      <c r="E19" s="1">
        <v>0</v>
      </c>
      <c r="F19" s="1">
        <v>0</v>
      </c>
      <c r="G19" s="9">
        <f>SUM(IL_FINANCIAL)</f>
        <v>0</v>
      </c>
      <c r="I19" s="13" t="s">
        <v>33</v>
      </c>
      <c r="J19" s="16">
        <v>0</v>
      </c>
      <c r="L19" s="6"/>
      <c r="V19" s="9"/>
    </row>
    <row r="20" spans="1:22">
      <c r="A20" s="1" t="s">
        <v>34</v>
      </c>
      <c r="B20" s="6">
        <v>0</v>
      </c>
      <c r="C20" s="1">
        <v>0</v>
      </c>
      <c r="D20" s="1">
        <v>0</v>
      </c>
      <c r="E20" s="1">
        <v>0</v>
      </c>
      <c r="F20" s="1">
        <v>0</v>
      </c>
      <c r="G20" s="9">
        <f>SUM(IN_FINANCIAL)</f>
        <v>0</v>
      </c>
      <c r="I20" s="13" t="s">
        <v>35</v>
      </c>
      <c r="J20" s="16">
        <v>116590114</v>
      </c>
      <c r="L20" s="6"/>
      <c r="V20" s="9"/>
    </row>
    <row r="21" spans="1:22">
      <c r="A21" s="1" t="s">
        <v>36</v>
      </c>
      <c r="B21" s="6">
        <v>0</v>
      </c>
      <c r="C21" s="1">
        <v>0</v>
      </c>
      <c r="D21" s="1">
        <v>0</v>
      </c>
      <c r="E21" s="1">
        <v>0</v>
      </c>
      <c r="F21" s="1">
        <v>0</v>
      </c>
      <c r="G21" s="9">
        <f>SUM(IA_FINANCIAL)</f>
        <v>0</v>
      </c>
      <c r="I21" s="13" t="s">
        <v>37</v>
      </c>
      <c r="J21" s="16"/>
      <c r="L21" s="6"/>
      <c r="V21" s="9"/>
    </row>
    <row r="22" spans="1:22">
      <c r="A22" s="1" t="s">
        <v>38</v>
      </c>
      <c r="B22" s="6">
        <v>0</v>
      </c>
      <c r="C22" s="1">
        <v>0</v>
      </c>
      <c r="D22" s="1">
        <v>0</v>
      </c>
      <c r="E22" s="1">
        <v>0</v>
      </c>
      <c r="F22" s="1">
        <v>0</v>
      </c>
      <c r="G22" s="9">
        <f>SUM(KS_FINANCIAL)</f>
        <v>0</v>
      </c>
      <c r="I22" s="13" t="s">
        <v>39</v>
      </c>
      <c r="J22" s="16">
        <v>0</v>
      </c>
      <c r="L22" s="6"/>
      <c r="V22" s="9"/>
    </row>
    <row r="23" spans="1:22">
      <c r="A23" s="1" t="s">
        <v>40</v>
      </c>
      <c r="B23" s="6">
        <v>0</v>
      </c>
      <c r="C23" s="1">
        <v>0</v>
      </c>
      <c r="D23" s="1">
        <v>0</v>
      </c>
      <c r="E23" s="1">
        <v>0</v>
      </c>
      <c r="F23" s="1">
        <v>0</v>
      </c>
      <c r="G23" s="9">
        <f>SUM(KY_FINANCIAL)</f>
        <v>0</v>
      </c>
      <c r="I23" s="13" t="s">
        <v>41</v>
      </c>
      <c r="J23" s="16"/>
      <c r="L23" s="6"/>
      <c r="V23" s="9"/>
    </row>
    <row r="24" spans="1:22">
      <c r="A24" s="1" t="s">
        <v>42</v>
      </c>
      <c r="B24" s="6">
        <v>0</v>
      </c>
      <c r="C24" s="1">
        <v>0</v>
      </c>
      <c r="D24" s="1">
        <v>0</v>
      </c>
      <c r="E24" s="1">
        <v>0</v>
      </c>
      <c r="F24" s="1">
        <v>0</v>
      </c>
      <c r="G24" s="9">
        <f>SUM(LA_FINANCIAL)</f>
        <v>0</v>
      </c>
      <c r="I24" s="13" t="s">
        <v>43</v>
      </c>
      <c r="J24" s="16">
        <v>0</v>
      </c>
      <c r="L24" s="6"/>
      <c r="V24" s="9"/>
    </row>
    <row r="25" spans="1:22">
      <c r="A25" s="1" t="s">
        <v>44</v>
      </c>
      <c r="B25" s="6">
        <v>0</v>
      </c>
      <c r="C25" s="1">
        <v>0</v>
      </c>
      <c r="D25" s="1">
        <v>0</v>
      </c>
      <c r="E25" s="1">
        <v>0</v>
      </c>
      <c r="F25" s="1">
        <v>0</v>
      </c>
      <c r="G25" s="9">
        <f>SUM(ME_FINANCIAL)</f>
        <v>0</v>
      </c>
      <c r="I25" s="13"/>
      <c r="J25" s="16"/>
      <c r="L25" s="6"/>
      <c r="V25" s="9"/>
    </row>
    <row r="26" spans="1:22">
      <c r="A26" s="1" t="s">
        <v>45</v>
      </c>
      <c r="B26" s="6">
        <v>0</v>
      </c>
      <c r="C26" s="1">
        <v>0</v>
      </c>
      <c r="D26" s="1">
        <v>0</v>
      </c>
      <c r="E26" s="1">
        <v>0</v>
      </c>
      <c r="F26" s="1">
        <v>0</v>
      </c>
      <c r="G26" s="9">
        <f>SUM(MD_FINANCIAL)</f>
        <v>0</v>
      </c>
      <c r="I26" s="13" t="s">
        <v>46</v>
      </c>
      <c r="J26" s="16">
        <f>SUM(ADD_FINANCIAL)-SUM(LESS_FINANCIAL)</f>
        <v>0</v>
      </c>
      <c r="L26" s="6"/>
      <c r="V26" s="9"/>
    </row>
    <row r="27" spans="1:22">
      <c r="A27" s="1" t="s">
        <v>47</v>
      </c>
      <c r="B27" s="6">
        <v>0</v>
      </c>
      <c r="C27" s="1">
        <v>0</v>
      </c>
      <c r="D27" s="1">
        <v>0</v>
      </c>
      <c r="E27" s="1">
        <v>0</v>
      </c>
      <c r="F27" s="1">
        <v>0</v>
      </c>
      <c r="G27" s="9">
        <f>SUM(MA_FINANCIAL)</f>
        <v>0</v>
      </c>
      <c r="I27" s="13" t="s">
        <v>48</v>
      </c>
      <c r="J27" s="16">
        <f>SUM(ALL_BLOCKS)</f>
        <v>0</v>
      </c>
      <c r="L27" s="6"/>
      <c r="V27" s="9"/>
    </row>
    <row r="28" spans="1:22">
      <c r="A28" s="1" t="s">
        <v>49</v>
      </c>
      <c r="B28" s="6">
        <v>0</v>
      </c>
      <c r="C28" s="1">
        <v>0</v>
      </c>
      <c r="D28" s="1">
        <v>0</v>
      </c>
      <c r="E28" s="1">
        <v>0</v>
      </c>
      <c r="F28" s="1">
        <v>0</v>
      </c>
      <c r="G28" s="9">
        <f>SUM(MI_FINANCIAL)</f>
        <v>0</v>
      </c>
      <c r="I28" s="14"/>
      <c r="J28" s="17"/>
      <c r="L28" s="6"/>
      <c r="V28" s="9"/>
    </row>
    <row r="29" spans="1:22">
      <c r="A29" s="1" t="s">
        <v>50</v>
      </c>
      <c r="B29" s="6">
        <v>0</v>
      </c>
      <c r="C29" s="1">
        <v>0</v>
      </c>
      <c r="D29" s="1">
        <v>0</v>
      </c>
      <c r="E29" s="1">
        <v>0</v>
      </c>
      <c r="F29" s="1">
        <v>0</v>
      </c>
      <c r="G29" s="9">
        <f>SUM(MN_FINANCIAL)</f>
        <v>0</v>
      </c>
      <c r="L29" s="6"/>
      <c r="V29" s="9"/>
    </row>
    <row r="30" spans="1:22">
      <c r="A30" s="1" t="s">
        <v>51</v>
      </c>
      <c r="B30" s="6">
        <v>0</v>
      </c>
      <c r="C30" s="1">
        <v>0</v>
      </c>
      <c r="D30" s="1">
        <v>0</v>
      </c>
      <c r="E30" s="1">
        <v>0</v>
      </c>
      <c r="F30" s="1">
        <v>0</v>
      </c>
      <c r="G30" s="9">
        <f>SUM(MS_FINANCIAL)</f>
        <v>0</v>
      </c>
      <c r="L30" s="6"/>
      <c r="V30" s="9"/>
    </row>
    <row r="31" spans="1:22">
      <c r="A31" s="1" t="s">
        <v>52</v>
      </c>
      <c r="B31" s="6">
        <v>0</v>
      </c>
      <c r="C31" s="1">
        <v>0</v>
      </c>
      <c r="D31" s="1">
        <v>0</v>
      </c>
      <c r="E31" s="1">
        <v>0</v>
      </c>
      <c r="F31" s="1">
        <v>0</v>
      </c>
      <c r="G31" s="9">
        <f>SUM(MO_FINANCIAL)</f>
        <v>0</v>
      </c>
      <c r="L31" s="6"/>
      <c r="V31" s="9"/>
    </row>
    <row r="32" spans="1:22">
      <c r="A32" s="1" t="s">
        <v>53</v>
      </c>
      <c r="B32" s="6">
        <v>0</v>
      </c>
      <c r="C32" s="1">
        <v>0</v>
      </c>
      <c r="D32" s="1">
        <v>0</v>
      </c>
      <c r="E32" s="1">
        <v>0</v>
      </c>
      <c r="F32" s="1">
        <v>0</v>
      </c>
      <c r="G32" s="9">
        <f>SUM(MT_FINANCIAL)</f>
        <v>0</v>
      </c>
      <c r="L32" s="6"/>
      <c r="V32" s="9"/>
    </row>
    <row r="33" spans="1:22">
      <c r="A33" s="1" t="s">
        <v>54</v>
      </c>
      <c r="B33" s="6">
        <v>0</v>
      </c>
      <c r="C33" s="1">
        <v>0</v>
      </c>
      <c r="D33" s="1">
        <v>0</v>
      </c>
      <c r="E33" s="1">
        <v>0</v>
      </c>
      <c r="F33" s="1">
        <v>0</v>
      </c>
      <c r="G33" s="9">
        <f>SUM(NE_FINANCIAL)</f>
        <v>0</v>
      </c>
      <c r="L33" s="6"/>
      <c r="V33" s="9"/>
    </row>
    <row r="34" spans="1:22">
      <c r="A34" s="1" t="s">
        <v>55</v>
      </c>
      <c r="B34" s="6">
        <v>0</v>
      </c>
      <c r="C34" s="1">
        <v>0</v>
      </c>
      <c r="D34" s="1">
        <v>0</v>
      </c>
      <c r="E34" s="1">
        <v>0</v>
      </c>
      <c r="F34" s="1">
        <v>0</v>
      </c>
      <c r="G34" s="9">
        <f>SUM(NV_FINANCIAL)</f>
        <v>0</v>
      </c>
      <c r="L34" s="6"/>
      <c r="V34" s="9"/>
    </row>
    <row r="35" spans="1:22">
      <c r="A35" s="1" t="s">
        <v>56</v>
      </c>
      <c r="B35" s="6">
        <v>0</v>
      </c>
      <c r="C35" s="1">
        <v>0</v>
      </c>
      <c r="D35" s="1">
        <v>0</v>
      </c>
      <c r="E35" s="1">
        <v>0</v>
      </c>
      <c r="F35" s="1">
        <v>0</v>
      </c>
      <c r="G35" s="9">
        <f>SUM(NH_FINANCIAL)</f>
        <v>0</v>
      </c>
      <c r="L35" s="6"/>
      <c r="V35" s="9"/>
    </row>
    <row r="36" spans="1:22">
      <c r="A36" s="1" t="s">
        <v>57</v>
      </c>
      <c r="B36" s="6">
        <v>0</v>
      </c>
      <c r="C36" s="1">
        <v>0</v>
      </c>
      <c r="D36" s="1">
        <v>0</v>
      </c>
      <c r="E36" s="1">
        <v>0</v>
      </c>
      <c r="F36" s="1">
        <v>0</v>
      </c>
      <c r="G36" s="9">
        <f>SUM(NJ_FINANCIAL)</f>
        <v>0</v>
      </c>
      <c r="L36" s="6"/>
      <c r="V36" s="9"/>
    </row>
    <row r="37" spans="1:22">
      <c r="A37" s="1" t="s">
        <v>58</v>
      </c>
      <c r="B37" s="6">
        <v>0</v>
      </c>
      <c r="C37" s="1">
        <v>0</v>
      </c>
      <c r="D37" s="1">
        <v>0</v>
      </c>
      <c r="E37" s="1">
        <v>0</v>
      </c>
      <c r="F37" s="1">
        <v>0</v>
      </c>
      <c r="G37" s="9">
        <f>SUM(NM_FINANCIAL)</f>
        <v>0</v>
      </c>
      <c r="L37" s="6"/>
      <c r="V37" s="9"/>
    </row>
    <row r="38" spans="1:22">
      <c r="A38" s="1" t="s">
        <v>59</v>
      </c>
      <c r="B38" s="6">
        <v>0</v>
      </c>
      <c r="C38" s="1">
        <v>0</v>
      </c>
      <c r="D38" s="1">
        <v>0</v>
      </c>
      <c r="E38" s="1">
        <v>0</v>
      </c>
      <c r="F38" s="1">
        <v>0</v>
      </c>
      <c r="G38" s="9">
        <f>SUM(NY_FINANCIAL)</f>
        <v>0</v>
      </c>
      <c r="L38" s="6"/>
      <c r="V38" s="9"/>
    </row>
    <row r="39" spans="1:22">
      <c r="A39" s="1" t="s">
        <v>60</v>
      </c>
      <c r="B39" s="6">
        <v>0</v>
      </c>
      <c r="C39" s="1">
        <v>0</v>
      </c>
      <c r="D39" s="1">
        <v>0</v>
      </c>
      <c r="E39" s="1">
        <v>0</v>
      </c>
      <c r="F39" s="1">
        <v>0</v>
      </c>
      <c r="G39" s="9">
        <f>SUM(NC_FINANCIAL)</f>
        <v>0</v>
      </c>
      <c r="L39" s="6"/>
      <c r="V39" s="9"/>
    </row>
    <row r="40" spans="1:22">
      <c r="A40" s="1" t="s">
        <v>61</v>
      </c>
      <c r="B40" s="6">
        <v>0</v>
      </c>
      <c r="C40" s="1">
        <v>0</v>
      </c>
      <c r="D40" s="1">
        <v>0</v>
      </c>
      <c r="E40" s="1">
        <v>0</v>
      </c>
      <c r="F40" s="1">
        <v>0</v>
      </c>
      <c r="G40" s="9">
        <f>SUM(ND_FINANCIAL)</f>
        <v>0</v>
      </c>
      <c r="L40" s="6"/>
      <c r="V40" s="9"/>
    </row>
    <row r="41" spans="1:22">
      <c r="A41" s="1" t="s">
        <v>62</v>
      </c>
      <c r="B41" s="6">
        <v>0</v>
      </c>
      <c r="C41" s="1">
        <v>0</v>
      </c>
      <c r="D41" s="1">
        <v>0</v>
      </c>
      <c r="E41" s="1">
        <v>0</v>
      </c>
      <c r="F41" s="1">
        <v>0</v>
      </c>
      <c r="G41" s="9">
        <f>SUM(OH_FINANCIAL)</f>
        <v>0</v>
      </c>
      <c r="L41" s="6"/>
      <c r="V41" s="9"/>
    </row>
    <row r="42" spans="1:22">
      <c r="A42" s="1" t="s">
        <v>63</v>
      </c>
      <c r="B42" s="6">
        <v>0</v>
      </c>
      <c r="C42" s="1">
        <v>0</v>
      </c>
      <c r="D42" s="1">
        <v>0</v>
      </c>
      <c r="E42" s="1">
        <v>0</v>
      </c>
      <c r="F42" s="1">
        <v>0</v>
      </c>
      <c r="G42" s="9">
        <f>SUM(OK_FINANCIAL)</f>
        <v>0</v>
      </c>
      <c r="L42" s="6"/>
      <c r="V42" s="9"/>
    </row>
    <row r="43" spans="1:22">
      <c r="A43" s="1" t="s">
        <v>64</v>
      </c>
      <c r="B43" s="6">
        <v>0</v>
      </c>
      <c r="C43" s="1">
        <v>0</v>
      </c>
      <c r="D43" s="1">
        <v>0</v>
      </c>
      <c r="E43" s="1">
        <v>0</v>
      </c>
      <c r="F43" s="1">
        <v>0</v>
      </c>
      <c r="G43" s="9">
        <f>SUM(OR_FINANCIAL)</f>
        <v>0</v>
      </c>
      <c r="L43" s="6"/>
      <c r="V43" s="9"/>
    </row>
    <row r="44" spans="1:22">
      <c r="A44" s="1" t="s">
        <v>65</v>
      </c>
      <c r="B44" s="6">
        <v>0</v>
      </c>
      <c r="C44" s="1">
        <v>0</v>
      </c>
      <c r="D44" s="1">
        <v>0</v>
      </c>
      <c r="E44" s="1">
        <v>0</v>
      </c>
      <c r="F44" s="1">
        <v>0</v>
      </c>
      <c r="G44" s="9">
        <f>SUM(PA_FINANCIAL)</f>
        <v>0</v>
      </c>
      <c r="L44" s="6"/>
      <c r="V44" s="9"/>
    </row>
    <row r="45" spans="1:22">
      <c r="A45" s="1" t="s">
        <v>66</v>
      </c>
      <c r="B45" s="6">
        <v>0</v>
      </c>
      <c r="C45" s="1">
        <v>0</v>
      </c>
      <c r="D45" s="1">
        <v>0</v>
      </c>
      <c r="E45" s="1">
        <v>0</v>
      </c>
      <c r="F45" s="1">
        <v>0</v>
      </c>
      <c r="G45" s="9">
        <f>SUM(PR_FINANCIAL)</f>
        <v>0</v>
      </c>
      <c r="L45" s="6"/>
      <c r="V45" s="9"/>
    </row>
    <row r="46" spans="1:22">
      <c r="A46" s="1" t="s">
        <v>67</v>
      </c>
      <c r="B46" s="6">
        <v>0</v>
      </c>
      <c r="C46" s="1">
        <v>0</v>
      </c>
      <c r="D46" s="1">
        <v>0</v>
      </c>
      <c r="E46" s="1">
        <v>0</v>
      </c>
      <c r="F46" s="1">
        <v>0</v>
      </c>
      <c r="G46" s="9">
        <f>SUM(RI_FINANCIAL)</f>
        <v>0</v>
      </c>
      <c r="L46" s="6"/>
      <c r="V46" s="9"/>
    </row>
    <row r="47" spans="1:22">
      <c r="A47" s="1" t="s">
        <v>68</v>
      </c>
      <c r="B47" s="6">
        <v>0</v>
      </c>
      <c r="C47" s="1">
        <v>0</v>
      </c>
      <c r="D47" s="1">
        <v>0</v>
      </c>
      <c r="E47" s="1">
        <v>0</v>
      </c>
      <c r="F47" s="1">
        <v>0</v>
      </c>
      <c r="G47" s="9">
        <f>SUM(SC_FINANCIAL)</f>
        <v>0</v>
      </c>
      <c r="L47" s="6"/>
      <c r="V47" s="9"/>
    </row>
    <row r="48" spans="1:22">
      <c r="A48" s="1" t="s">
        <v>69</v>
      </c>
      <c r="B48" s="6">
        <v>0</v>
      </c>
      <c r="C48" s="1">
        <v>0</v>
      </c>
      <c r="D48" s="1">
        <v>0</v>
      </c>
      <c r="E48" s="1">
        <v>0</v>
      </c>
      <c r="F48" s="1">
        <v>0</v>
      </c>
      <c r="G48" s="9">
        <f>SUM(SD_FINANCIAL)</f>
        <v>0</v>
      </c>
      <c r="L48" s="6"/>
      <c r="V48" s="9"/>
    </row>
    <row r="49" spans="1:22">
      <c r="A49" s="1" t="s">
        <v>70</v>
      </c>
      <c r="B49" s="6">
        <v>0</v>
      </c>
      <c r="C49" s="1">
        <v>0</v>
      </c>
      <c r="D49" s="1">
        <v>0</v>
      </c>
      <c r="E49" s="1">
        <v>0</v>
      </c>
      <c r="F49" s="1">
        <v>0</v>
      </c>
      <c r="G49" s="9">
        <f>SUM(TN_FINANCIAL)</f>
        <v>0</v>
      </c>
      <c r="L49" s="6"/>
      <c r="V49" s="9"/>
    </row>
    <row r="50" spans="1:22">
      <c r="A50" s="1" t="s">
        <v>71</v>
      </c>
      <c r="B50" s="6">
        <v>0</v>
      </c>
      <c r="C50" s="1">
        <v>0</v>
      </c>
      <c r="D50" s="1">
        <v>0</v>
      </c>
      <c r="E50" s="1">
        <v>0</v>
      </c>
      <c r="F50" s="1">
        <v>0</v>
      </c>
      <c r="G50" s="9">
        <f>SUM(TX_FINANCIAL)</f>
        <v>0</v>
      </c>
      <c r="L50" s="6"/>
      <c r="V50" s="9"/>
    </row>
    <row r="51" spans="1:22">
      <c r="A51" s="1" t="s">
        <v>72</v>
      </c>
      <c r="B51" s="6">
        <v>0</v>
      </c>
      <c r="C51" s="1">
        <v>0</v>
      </c>
      <c r="D51" s="1">
        <v>0</v>
      </c>
      <c r="E51" s="1">
        <v>0</v>
      </c>
      <c r="F51" s="1">
        <v>0</v>
      </c>
      <c r="G51" s="9">
        <f>SUM(UT_FINANCIAL)</f>
        <v>0</v>
      </c>
      <c r="L51" s="6"/>
      <c r="V51" s="9"/>
    </row>
    <row r="52" spans="1:22">
      <c r="A52" s="1" t="s">
        <v>73</v>
      </c>
      <c r="B52" s="6">
        <v>0</v>
      </c>
      <c r="C52" s="1">
        <v>0</v>
      </c>
      <c r="D52" s="1">
        <v>0</v>
      </c>
      <c r="E52" s="1">
        <v>0</v>
      </c>
      <c r="F52" s="1">
        <v>0</v>
      </c>
      <c r="G52" s="9">
        <f>SUM(VT_FINANCIAL)</f>
        <v>0</v>
      </c>
      <c r="L52" s="6"/>
      <c r="V52" s="9"/>
    </row>
    <row r="53" spans="1:22">
      <c r="A53" s="1" t="s">
        <v>74</v>
      </c>
      <c r="B53" s="6">
        <v>0</v>
      </c>
      <c r="C53" s="1">
        <v>0</v>
      </c>
      <c r="D53" s="1">
        <v>0</v>
      </c>
      <c r="E53" s="1">
        <v>0</v>
      </c>
      <c r="F53" s="1">
        <v>0</v>
      </c>
      <c r="G53" s="9">
        <f>SUM(VA_FINANCIAL)</f>
        <v>0</v>
      </c>
      <c r="L53" s="6"/>
      <c r="V53" s="9"/>
    </row>
    <row r="54" spans="1:22">
      <c r="A54" s="1" t="s">
        <v>75</v>
      </c>
      <c r="B54" s="6">
        <v>0</v>
      </c>
      <c r="C54" s="1">
        <v>0</v>
      </c>
      <c r="D54" s="1">
        <v>0</v>
      </c>
      <c r="E54" s="1">
        <v>0</v>
      </c>
      <c r="F54" s="1">
        <v>0</v>
      </c>
      <c r="G54" s="9">
        <f>SUM(WA_FINANCIAL)</f>
        <v>0</v>
      </c>
      <c r="L54" s="6"/>
      <c r="V54" s="9"/>
    </row>
    <row r="55" spans="1:22">
      <c r="A55" s="1" t="s">
        <v>76</v>
      </c>
      <c r="B55" s="6">
        <v>0</v>
      </c>
      <c r="C55" s="1">
        <v>0</v>
      </c>
      <c r="D55" s="1">
        <v>0</v>
      </c>
      <c r="E55" s="1">
        <v>0</v>
      </c>
      <c r="F55" s="1">
        <v>0</v>
      </c>
      <c r="G55" s="9">
        <f>SUM(WV_FINANCIAL)</f>
        <v>0</v>
      </c>
      <c r="L55" s="6"/>
      <c r="V55" s="9"/>
    </row>
    <row r="56" spans="1:22">
      <c r="A56" s="1" t="s">
        <v>77</v>
      </c>
      <c r="B56" s="6">
        <v>0</v>
      </c>
      <c r="C56" s="1">
        <v>0</v>
      </c>
      <c r="D56" s="1">
        <v>0</v>
      </c>
      <c r="E56" s="1">
        <v>0</v>
      </c>
      <c r="F56" s="1">
        <v>0</v>
      </c>
      <c r="G56" s="9">
        <f>SUM(WI_FINANCIAL)</f>
        <v>0</v>
      </c>
      <c r="L56" s="6"/>
      <c r="V56" s="9"/>
    </row>
    <row r="57" spans="1:22">
      <c r="A57" s="1" t="s">
        <v>78</v>
      </c>
      <c r="B57" s="6">
        <v>0</v>
      </c>
      <c r="C57" s="1">
        <v>0</v>
      </c>
      <c r="D57" s="1">
        <v>0</v>
      </c>
      <c r="E57" s="1">
        <v>0</v>
      </c>
      <c r="F57" s="1">
        <v>0</v>
      </c>
      <c r="G57" s="9">
        <f>SUM(WY_FINANCIAL)</f>
        <v>0</v>
      </c>
      <c r="L57" s="6"/>
      <c r="V57" s="9"/>
    </row>
    <row r="58" spans="1:22">
      <c r="A58" s="1" t="s">
        <v>79</v>
      </c>
      <c r="B58" s="6">
        <v>0</v>
      </c>
      <c r="C58" s="1">
        <v>0</v>
      </c>
      <c r="D58" s="1">
        <v>0</v>
      </c>
      <c r="E58" s="1">
        <v>0</v>
      </c>
      <c r="F58" s="1">
        <v>0</v>
      </c>
      <c r="G58" s="9">
        <f>SUM(OT_FINANCIAL)</f>
        <v>0</v>
      </c>
      <c r="L58" s="6"/>
      <c r="V58" s="9"/>
    </row>
    <row r="59" spans="1:22">
      <c r="B59" s="6"/>
      <c r="G59" s="9"/>
      <c r="L59" s="6"/>
      <c r="V59" s="9"/>
    </row>
    <row r="60" spans="1:22">
      <c r="A60" s="1" t="s">
        <v>8</v>
      </c>
      <c r="B60" s="6">
        <f>SUM(LIFE)</f>
        <v>0</v>
      </c>
      <c r="C60" s="1">
        <f>SUM(ALLOCATED)</f>
        <v>0</v>
      </c>
      <c r="D60" s="1">
        <f>SUM(HEALTH)</f>
        <v>0</v>
      </c>
      <c r="E60" s="1">
        <f>SUM(UNALLOCATED)</f>
        <v>0</v>
      </c>
      <c r="F60" s="1">
        <f>SUM(LTC)</f>
        <v>0</v>
      </c>
      <c r="G60" s="9">
        <f>SUM(ALL_BLOCKS)</f>
        <v>0</v>
      </c>
      <c r="L60" s="6">
        <f>SUM(LIFE_CALLED)</f>
        <v>0</v>
      </c>
      <c r="M60" s="1">
        <f>SUM(LIFE_REFUNDED)</f>
        <v>0</v>
      </c>
      <c r="O60" s="1">
        <f>SUM(ALLOC_CALLED)</f>
        <v>0</v>
      </c>
      <c r="P60" s="1">
        <f>SUM(ALLOC_REFUNDED)</f>
        <v>0</v>
      </c>
      <c r="R60" s="1">
        <f>SUM(HEALTH_CALLED)</f>
        <v>0</v>
      </c>
      <c r="S60" s="1">
        <f>SUM(HEALTH_REFUNDED)</f>
        <v>0</v>
      </c>
      <c r="U60" s="1">
        <f>SUM(UNALLOC_CALLED)</f>
        <v>0</v>
      </c>
      <c r="V60" s="9">
        <f>SUM(UNALLOC_REFUNDED)</f>
        <v>0</v>
      </c>
    </row>
    <row r="61" spans="1:22" ht="5.0999999999999996" customHeight="1">
      <c r="B61" s="6"/>
      <c r="G61" s="9"/>
      <c r="L61" s="6"/>
      <c r="V61" s="9"/>
    </row>
    <row r="62" spans="1:22">
      <c r="B62" s="6"/>
      <c r="G62" s="9"/>
      <c r="L62" s="78" t="s">
        <v>80</v>
      </c>
      <c r="M62" s="79"/>
      <c r="N62" s="79"/>
      <c r="O62" s="79"/>
      <c r="P62" s="79"/>
      <c r="Q62" s="79"/>
      <c r="R62" s="79"/>
      <c r="S62" s="79"/>
      <c r="T62" s="79"/>
      <c r="U62" s="79"/>
      <c r="V62" s="80"/>
    </row>
    <row r="63" spans="1:22">
      <c r="B63" s="6"/>
      <c r="G63" s="9"/>
      <c r="L63" s="81"/>
      <c r="M63" s="79"/>
      <c r="N63" s="79"/>
      <c r="O63" s="79"/>
      <c r="P63" s="79"/>
      <c r="Q63" s="79"/>
      <c r="R63" s="79"/>
      <c r="S63" s="79"/>
      <c r="T63" s="79"/>
      <c r="U63" s="79"/>
      <c r="V63" s="80"/>
    </row>
    <row r="64" spans="1:22">
      <c r="B64" s="8"/>
      <c r="C64" s="5"/>
      <c r="D64" s="5"/>
      <c r="E64" s="5"/>
      <c r="F64" s="5"/>
      <c r="G64" s="11"/>
      <c r="L64" s="82"/>
      <c r="M64" s="83"/>
      <c r="N64" s="83"/>
      <c r="O64" s="83"/>
      <c r="P64" s="83"/>
      <c r="Q64" s="83"/>
      <c r="R64" s="83"/>
      <c r="S64" s="83"/>
      <c r="T64" s="83"/>
      <c r="U64" s="83"/>
      <c r="V64" s="84"/>
    </row>
  </sheetData>
  <mergeCells count="8">
    <mergeCell ref="L62:V64"/>
    <mergeCell ref="A1:G1"/>
    <mergeCell ref="B3:G3"/>
    <mergeCell ref="L3:V3"/>
    <mergeCell ref="L4:M4"/>
    <mergeCell ref="O4:P4"/>
    <mergeCell ref="R4:S4"/>
    <mergeCell ref="U4:V4"/>
  </mergeCells>
  <pageMargins left="0" right="0" top="0" bottom="0" header="0" footer="0"/>
  <pageSetup scale="48"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V64"/>
  <sheetViews>
    <sheetView zoomScale="75" workbookViewId="0">
      <selection sqref="A1:G1"/>
    </sheetView>
  </sheetViews>
  <sheetFormatPr defaultColWidth="9.109375" defaultRowHeight="14.4"/>
  <cols>
    <col min="1" max="1" width="20" style="1" customWidth="1"/>
    <col min="2" max="7" width="15" style="1" customWidth="1"/>
    <col min="8" max="8" width="1" style="1" customWidth="1"/>
    <col min="9" max="9" width="30" style="1" customWidth="1"/>
    <col min="10" max="10" width="15" style="1" customWidth="1"/>
    <col min="11" max="11" width="1" style="1" customWidth="1"/>
    <col min="12" max="13" width="15" style="1" customWidth="1"/>
    <col min="14" max="14" width="1" style="1" customWidth="1"/>
    <col min="15" max="16" width="15" style="1" customWidth="1"/>
    <col min="17" max="17" width="1" style="1" customWidth="1"/>
    <col min="18" max="19" width="15" style="1" customWidth="1"/>
    <col min="20" max="20" width="1" style="1" customWidth="1"/>
    <col min="21" max="22" width="15" style="1" customWidth="1"/>
    <col min="23" max="23" width="9.109375" style="1" customWidth="1"/>
    <col min="24" max="16384" width="9.109375" style="1"/>
  </cols>
  <sheetData>
    <row r="1" spans="1:22">
      <c r="A1" s="85" t="s">
        <v>103</v>
      </c>
      <c r="B1" s="79"/>
      <c r="C1" s="79"/>
      <c r="D1" s="79"/>
      <c r="E1" s="79"/>
      <c r="F1" s="79"/>
      <c r="G1" s="79"/>
    </row>
    <row r="3" spans="1:22">
      <c r="B3" s="86" t="s">
        <v>1</v>
      </c>
      <c r="C3" s="87"/>
      <c r="D3" s="87"/>
      <c r="E3" s="87"/>
      <c r="F3" s="87"/>
      <c r="G3" s="88"/>
      <c r="L3" s="89" t="s">
        <v>2</v>
      </c>
      <c r="M3" s="90"/>
      <c r="N3" s="90"/>
      <c r="O3" s="90"/>
      <c r="P3" s="90"/>
      <c r="Q3" s="90"/>
      <c r="R3" s="90"/>
      <c r="S3" s="90"/>
      <c r="T3" s="90"/>
      <c r="U3" s="90"/>
      <c r="V3" s="91"/>
    </row>
    <row r="4" spans="1:22">
      <c r="B4" s="6"/>
      <c r="G4" s="9"/>
      <c r="L4" s="92" t="s">
        <v>3</v>
      </c>
      <c r="M4" s="93"/>
      <c r="N4" s="3"/>
      <c r="O4" s="94" t="s">
        <v>4</v>
      </c>
      <c r="P4" s="93"/>
      <c r="Q4" s="3"/>
      <c r="R4" s="94" t="s">
        <v>5</v>
      </c>
      <c r="S4" s="93"/>
      <c r="T4" s="3"/>
      <c r="U4" s="94" t="s">
        <v>6</v>
      </c>
      <c r="V4" s="95"/>
    </row>
    <row r="5" spans="1:22" ht="60" customHeight="1">
      <c r="B5" s="7" t="s">
        <v>3</v>
      </c>
      <c r="C5" s="4" t="s">
        <v>4</v>
      </c>
      <c r="D5" s="4" t="s">
        <v>5</v>
      </c>
      <c r="E5" s="4" t="s">
        <v>6</v>
      </c>
      <c r="F5" s="4" t="s">
        <v>7</v>
      </c>
      <c r="G5" s="10" t="s">
        <v>8</v>
      </c>
      <c r="L5" s="19" t="s">
        <v>9</v>
      </c>
      <c r="M5" s="18" t="s">
        <v>10</v>
      </c>
      <c r="N5" s="18"/>
      <c r="O5" s="18" t="s">
        <v>9</v>
      </c>
      <c r="P5" s="18" t="s">
        <v>10</v>
      </c>
      <c r="Q5" s="18"/>
      <c r="R5" s="18" t="s">
        <v>9</v>
      </c>
      <c r="S5" s="18" t="s">
        <v>10</v>
      </c>
      <c r="T5" s="18"/>
      <c r="U5" s="18" t="s">
        <v>9</v>
      </c>
      <c r="V5" s="20" t="s">
        <v>10</v>
      </c>
    </row>
    <row r="6" spans="1:22">
      <c r="A6" s="1" t="s">
        <v>11</v>
      </c>
      <c r="B6" s="6">
        <v>-7.4552630897187555E-2</v>
      </c>
      <c r="C6" s="1">
        <v>-6.3961696483311243</v>
      </c>
      <c r="D6" s="1">
        <v>0</v>
      </c>
      <c r="E6" s="1">
        <v>0</v>
      </c>
      <c r="F6" s="1">
        <v>0</v>
      </c>
      <c r="G6" s="9">
        <f>SUM(AL_FINANCIAL)</f>
        <v>-6.4707222792283119</v>
      </c>
      <c r="L6" s="6"/>
      <c r="V6" s="9"/>
    </row>
    <row r="7" spans="1:22">
      <c r="A7" s="1" t="s">
        <v>12</v>
      </c>
      <c r="B7" s="6">
        <v>-2.4414599875832721E-4</v>
      </c>
      <c r="C7" s="1">
        <v>-0.64447246645431733</v>
      </c>
      <c r="D7" s="1">
        <v>0</v>
      </c>
      <c r="E7" s="1">
        <v>0</v>
      </c>
      <c r="F7" s="1">
        <v>0</v>
      </c>
      <c r="G7" s="9">
        <f>SUM(AK_FINANCIAL)</f>
        <v>-0.64471661245307565</v>
      </c>
      <c r="I7" s="12"/>
      <c r="J7" s="15"/>
      <c r="L7" s="6">
        <v>200</v>
      </c>
      <c r="M7" s="1">
        <v>100</v>
      </c>
      <c r="O7" s="1">
        <v>2400</v>
      </c>
      <c r="P7" s="1">
        <v>0</v>
      </c>
      <c r="R7" s="1">
        <v>0</v>
      </c>
      <c r="S7" s="1">
        <v>0</v>
      </c>
      <c r="U7" s="1">
        <v>0</v>
      </c>
      <c r="V7" s="9">
        <v>25</v>
      </c>
    </row>
    <row r="8" spans="1:22">
      <c r="A8" s="1" t="s">
        <v>13</v>
      </c>
      <c r="B8" s="6">
        <v>-2.5441924949006989E-2</v>
      </c>
      <c r="C8" s="1">
        <v>-23.407426545134513</v>
      </c>
      <c r="D8" s="1">
        <v>-8.3442119765667899E-3</v>
      </c>
      <c r="E8" s="1">
        <v>0</v>
      </c>
      <c r="F8" s="1">
        <v>0</v>
      </c>
      <c r="G8" s="9">
        <f>SUM(AZ_FINANCIAL)</f>
        <v>-23.441212682060087</v>
      </c>
      <c r="I8" s="13" t="s">
        <v>14</v>
      </c>
      <c r="J8" s="16"/>
      <c r="L8" s="6">
        <v>640101</v>
      </c>
      <c r="M8" s="1">
        <v>0</v>
      </c>
      <c r="O8" s="1">
        <v>537167</v>
      </c>
      <c r="P8" s="1">
        <v>0</v>
      </c>
      <c r="R8" s="1">
        <v>0</v>
      </c>
      <c r="S8" s="1">
        <v>0</v>
      </c>
      <c r="U8" s="1">
        <v>0</v>
      </c>
      <c r="V8" s="9">
        <v>0</v>
      </c>
    </row>
    <row r="9" spans="1:22">
      <c r="A9" s="1" t="s">
        <v>15</v>
      </c>
      <c r="B9" s="6">
        <v>-6.522447319284197E-3</v>
      </c>
      <c r="C9" s="1">
        <v>-4.2832391436313628</v>
      </c>
      <c r="D9" s="1">
        <v>-9.9963777959470642E-3</v>
      </c>
      <c r="E9" s="1">
        <v>-8.3361703826667508</v>
      </c>
      <c r="F9" s="1">
        <v>0</v>
      </c>
      <c r="G9" s="9">
        <f>SUM(AR_FINANCIAL)</f>
        <v>-12.635928351413344</v>
      </c>
      <c r="I9" s="13"/>
      <c r="J9" s="16"/>
      <c r="L9" s="6">
        <v>208902</v>
      </c>
      <c r="M9" s="1">
        <v>0</v>
      </c>
      <c r="O9" s="1">
        <v>0</v>
      </c>
      <c r="P9" s="1">
        <v>0</v>
      </c>
      <c r="R9" s="1">
        <v>0</v>
      </c>
      <c r="S9" s="1">
        <v>0</v>
      </c>
      <c r="U9" s="1">
        <v>0</v>
      </c>
      <c r="V9" s="9">
        <v>0</v>
      </c>
    </row>
    <row r="10" spans="1:22">
      <c r="A10" s="1" t="s">
        <v>16</v>
      </c>
      <c r="B10" s="6">
        <v>-0.40975362112476432</v>
      </c>
      <c r="C10" s="1">
        <v>-100.44801000831649</v>
      </c>
      <c r="D10" s="1">
        <v>2.7339793978692876E-6</v>
      </c>
      <c r="E10" s="1">
        <v>0</v>
      </c>
      <c r="F10" s="1">
        <v>0</v>
      </c>
      <c r="G10" s="9">
        <f>SUM(CA_FINANCIAL)</f>
        <v>-100.85776089546185</v>
      </c>
      <c r="I10" s="13" t="s">
        <v>17</v>
      </c>
      <c r="J10" s="16">
        <v>3534278682.5268831</v>
      </c>
      <c r="L10" s="6">
        <v>0</v>
      </c>
      <c r="M10" s="1">
        <v>0</v>
      </c>
      <c r="O10" s="1">
        <v>938000</v>
      </c>
      <c r="P10" s="1">
        <v>1045000</v>
      </c>
      <c r="R10" s="1">
        <v>0</v>
      </c>
      <c r="S10" s="1">
        <v>0</v>
      </c>
      <c r="U10" s="1">
        <v>0</v>
      </c>
      <c r="V10" s="9">
        <v>0</v>
      </c>
    </row>
    <row r="11" spans="1:22">
      <c r="A11" s="1" t="s">
        <v>18</v>
      </c>
      <c r="B11" s="6">
        <v>-19.754925237270072</v>
      </c>
      <c r="C11" s="1">
        <v>-23.011982356663793</v>
      </c>
      <c r="D11" s="1">
        <v>9.3266080747882417E-3</v>
      </c>
      <c r="E11" s="1">
        <v>0</v>
      </c>
      <c r="F11" s="1">
        <v>0</v>
      </c>
      <c r="G11" s="9">
        <f>SUM(CO_FINANCIAL)</f>
        <v>-42.757580985859079</v>
      </c>
      <c r="I11" s="13"/>
      <c r="J11" s="16"/>
      <c r="L11" s="6">
        <v>7739</v>
      </c>
      <c r="M11" s="1">
        <v>0</v>
      </c>
      <c r="O11" s="1">
        <v>15022</v>
      </c>
      <c r="P11" s="1">
        <v>0</v>
      </c>
      <c r="R11" s="1">
        <v>0</v>
      </c>
      <c r="S11" s="1">
        <v>0</v>
      </c>
      <c r="U11" s="1">
        <v>0</v>
      </c>
      <c r="V11" s="9">
        <v>0</v>
      </c>
    </row>
    <row r="12" spans="1:22">
      <c r="A12" s="1" t="s">
        <v>19</v>
      </c>
      <c r="B12" s="6">
        <v>-0.19824298286698649</v>
      </c>
      <c r="C12" s="1">
        <v>-129.3214774208609</v>
      </c>
      <c r="D12" s="1">
        <v>-9.863180805965226E-3</v>
      </c>
      <c r="E12" s="1">
        <v>-141.41672009974718</v>
      </c>
      <c r="F12" s="1">
        <v>0</v>
      </c>
      <c r="G12" s="9">
        <f>SUM(CT_FINANCIAL)</f>
        <v>-270.94630368428102</v>
      </c>
      <c r="I12" s="13" t="s">
        <v>20</v>
      </c>
      <c r="J12" s="16"/>
      <c r="L12" s="6">
        <v>200000</v>
      </c>
      <c r="M12" s="1">
        <v>199924</v>
      </c>
      <c r="O12" s="1">
        <v>1100000</v>
      </c>
      <c r="P12" s="1">
        <v>1099902</v>
      </c>
      <c r="R12" s="1">
        <v>0</v>
      </c>
      <c r="S12" s="1">
        <v>0</v>
      </c>
      <c r="U12" s="1">
        <v>1350000</v>
      </c>
      <c r="V12" s="9">
        <v>1349994</v>
      </c>
    </row>
    <row r="13" spans="1:22">
      <c r="A13" s="1" t="s">
        <v>21</v>
      </c>
      <c r="B13" s="6">
        <v>-4.5946871370233566E-2</v>
      </c>
      <c r="C13" s="1">
        <v>-2.063781481992919</v>
      </c>
      <c r="D13" s="1">
        <v>0</v>
      </c>
      <c r="E13" s="1">
        <v>0</v>
      </c>
      <c r="F13" s="1">
        <v>0</v>
      </c>
      <c r="G13" s="9">
        <f>SUM(DE_FINANCIAL)</f>
        <v>-2.1097283533631526</v>
      </c>
      <c r="I13" s="13" t="s">
        <v>22</v>
      </c>
      <c r="J13" s="16">
        <v>0</v>
      </c>
      <c r="L13" s="6">
        <v>0</v>
      </c>
      <c r="M13" s="1">
        <v>0</v>
      </c>
      <c r="O13" s="1">
        <v>25000</v>
      </c>
      <c r="P13" s="1">
        <v>0</v>
      </c>
      <c r="R13" s="1">
        <v>0</v>
      </c>
      <c r="S13" s="1">
        <v>0</v>
      </c>
      <c r="U13" s="1">
        <v>0</v>
      </c>
      <c r="V13" s="9">
        <v>0</v>
      </c>
    </row>
    <row r="14" spans="1:22">
      <c r="A14" s="1" t="s">
        <v>23</v>
      </c>
      <c r="B14" s="6">
        <v>-3.5508518249912413E-2</v>
      </c>
      <c r="C14" s="1">
        <v>-90.757980144233443</v>
      </c>
      <c r="D14" s="1">
        <v>4.463435541157003E-6</v>
      </c>
      <c r="E14" s="1">
        <v>0</v>
      </c>
      <c r="F14" s="1">
        <v>0</v>
      </c>
      <c r="G14" s="9">
        <f>SUM(DC_FINANCIAL)</f>
        <v>-90.793484199047811</v>
      </c>
      <c r="I14" s="13" t="s">
        <v>24</v>
      </c>
      <c r="J14" s="16">
        <v>4043353.2499999725</v>
      </c>
      <c r="L14" s="6">
        <v>10000</v>
      </c>
      <c r="M14" s="1">
        <v>8983</v>
      </c>
      <c r="O14" s="1">
        <v>930000</v>
      </c>
      <c r="P14" s="1">
        <v>951758</v>
      </c>
      <c r="R14" s="1">
        <v>10000</v>
      </c>
      <c r="S14" s="1">
        <v>10064</v>
      </c>
      <c r="U14" s="1">
        <v>0</v>
      </c>
      <c r="V14" s="9">
        <v>0</v>
      </c>
    </row>
    <row r="15" spans="1:22">
      <c r="A15" s="1" t="s">
        <v>25</v>
      </c>
      <c r="B15" s="6">
        <v>-39.622774987539742</v>
      </c>
      <c r="C15" s="1">
        <v>-121.05984492436983</v>
      </c>
      <c r="D15" s="1">
        <v>-1.701443749404704E-2</v>
      </c>
      <c r="E15" s="1">
        <v>0</v>
      </c>
      <c r="F15" s="1">
        <v>0</v>
      </c>
      <c r="G15" s="9">
        <f>SUM(FL_FINANCIAL)</f>
        <v>-160.69963434940362</v>
      </c>
      <c r="I15" s="13" t="s">
        <v>26</v>
      </c>
      <c r="J15" s="16">
        <v>14370824.819999993</v>
      </c>
      <c r="L15" s="6"/>
      <c r="V15" s="9"/>
    </row>
    <row r="16" spans="1:22">
      <c r="A16" s="1" t="s">
        <v>27</v>
      </c>
      <c r="B16" s="6">
        <v>-102.13001279870514</v>
      </c>
      <c r="C16" s="1">
        <v>-1681.8285222444683</v>
      </c>
      <c r="D16" s="1">
        <v>1.8883786595421236E-2</v>
      </c>
      <c r="E16" s="1">
        <v>-520.24963257089257</v>
      </c>
      <c r="F16" s="1">
        <v>0</v>
      </c>
      <c r="G16" s="9">
        <f>SUM(GA_FINANCIAL)</f>
        <v>-2304.1892838274707</v>
      </c>
      <c r="I16" s="13" t="s">
        <v>28</v>
      </c>
      <c r="J16" s="16">
        <v>0</v>
      </c>
      <c r="L16" s="6">
        <v>0</v>
      </c>
      <c r="M16" s="1">
        <v>0</v>
      </c>
      <c r="O16" s="1">
        <v>12100000</v>
      </c>
      <c r="P16" s="1">
        <v>262519.01</v>
      </c>
      <c r="R16" s="1">
        <v>0</v>
      </c>
      <c r="S16" s="1">
        <v>0</v>
      </c>
      <c r="U16" s="1">
        <v>2800000</v>
      </c>
      <c r="V16" s="9">
        <v>-463.21</v>
      </c>
    </row>
    <row r="17" spans="1:22">
      <c r="A17" s="1" t="s">
        <v>29</v>
      </c>
      <c r="B17" s="6">
        <v>-2.6529754239959402E-2</v>
      </c>
      <c r="C17" s="1">
        <v>-1.9982547866165987</v>
      </c>
      <c r="D17" s="1">
        <v>8.7065204092955165E-3</v>
      </c>
      <c r="E17" s="1">
        <v>0</v>
      </c>
      <c r="F17" s="1">
        <v>0</v>
      </c>
      <c r="G17" s="9">
        <f>SUM(HI_FINANCIAL)</f>
        <v>-2.0160780204472628</v>
      </c>
      <c r="I17" s="13"/>
      <c r="J17" s="16"/>
      <c r="L17" s="6">
        <v>25505</v>
      </c>
      <c r="M17" s="1">
        <v>0</v>
      </c>
      <c r="O17" s="1">
        <v>4468</v>
      </c>
      <c r="P17" s="1">
        <v>0</v>
      </c>
      <c r="R17" s="1">
        <v>0</v>
      </c>
      <c r="S17" s="1">
        <v>3683</v>
      </c>
      <c r="U17" s="1">
        <v>0</v>
      </c>
      <c r="V17" s="9">
        <v>0</v>
      </c>
    </row>
    <row r="18" spans="1:22">
      <c r="A18" s="1" t="s">
        <v>30</v>
      </c>
      <c r="B18" s="6">
        <v>-9.1749581505951028E-4</v>
      </c>
      <c r="C18" s="1">
        <v>-0.91069401238200953</v>
      </c>
      <c r="D18" s="1">
        <v>3.6994653423111929E-6</v>
      </c>
      <c r="E18" s="1">
        <v>0</v>
      </c>
      <c r="F18" s="1">
        <v>0</v>
      </c>
      <c r="G18" s="9">
        <f>SUM(ID_FINANCIAL)</f>
        <v>-0.91160780873172675</v>
      </c>
      <c r="I18" s="13" t="s">
        <v>31</v>
      </c>
      <c r="J18" s="16"/>
      <c r="L18" s="6">
        <v>0</v>
      </c>
      <c r="M18" s="1">
        <v>0</v>
      </c>
      <c r="O18" s="1">
        <v>0</v>
      </c>
      <c r="P18" s="1">
        <v>0</v>
      </c>
      <c r="R18" s="1">
        <v>0</v>
      </c>
      <c r="S18" s="1">
        <v>0</v>
      </c>
      <c r="U18" s="1">
        <v>0</v>
      </c>
      <c r="V18" s="9">
        <v>0</v>
      </c>
    </row>
    <row r="19" spans="1:22">
      <c r="A19" s="1" t="s">
        <v>32</v>
      </c>
      <c r="B19" s="6">
        <v>-0.18376109026985432</v>
      </c>
      <c r="C19" s="1">
        <v>-163.45059611112811</v>
      </c>
      <c r="D19" s="1">
        <v>-9.9200105160035662E-3</v>
      </c>
      <c r="E19" s="1">
        <v>-2295.7009771205485</v>
      </c>
      <c r="F19" s="1">
        <v>0</v>
      </c>
      <c r="G19" s="9">
        <f>SUM(IL_FINANCIAL)</f>
        <v>-2459.3452543324624</v>
      </c>
      <c r="I19" s="13" t="s">
        <v>33</v>
      </c>
      <c r="J19" s="16">
        <v>3228522434.5828199</v>
      </c>
      <c r="L19" s="6">
        <v>100000</v>
      </c>
      <c r="M19" s="1">
        <v>100000</v>
      </c>
      <c r="O19" s="1">
        <v>6000000</v>
      </c>
      <c r="P19" s="1">
        <v>6300000</v>
      </c>
      <c r="R19" s="1">
        <v>100000</v>
      </c>
      <c r="S19" s="1">
        <v>100000</v>
      </c>
      <c r="U19" s="1">
        <v>21500000</v>
      </c>
      <c r="V19" s="9">
        <v>24150000</v>
      </c>
    </row>
    <row r="20" spans="1:22">
      <c r="A20" s="1" t="s">
        <v>34</v>
      </c>
      <c r="B20" s="6">
        <v>-93.956223084940575</v>
      </c>
      <c r="C20" s="1">
        <v>-32.0331249400042</v>
      </c>
      <c r="D20" s="1">
        <v>9.9985565521787276E-6</v>
      </c>
      <c r="E20" s="1">
        <v>-182.34111601440236</v>
      </c>
      <c r="F20" s="1">
        <v>0</v>
      </c>
      <c r="G20" s="9">
        <f>SUM(IN_FINANCIAL)</f>
        <v>-308.33045404079058</v>
      </c>
      <c r="I20" s="13" t="s">
        <v>35</v>
      </c>
      <c r="J20" s="16">
        <v>102571577.00399998</v>
      </c>
      <c r="L20" s="6"/>
      <c r="V20" s="9"/>
    </row>
    <row r="21" spans="1:22">
      <c r="A21" s="1" t="s">
        <v>36</v>
      </c>
      <c r="B21" s="6">
        <v>-5.1118572514425864E-3</v>
      </c>
      <c r="C21" s="1">
        <v>-2.7518446260037308</v>
      </c>
      <c r="D21" s="1">
        <v>-9.8429493235012988E-3</v>
      </c>
      <c r="E21" s="1">
        <v>-25.171420703991316</v>
      </c>
      <c r="F21" s="1">
        <v>0</v>
      </c>
      <c r="G21" s="9">
        <f>SUM(IA_FINANCIAL)</f>
        <v>-27.938220136569992</v>
      </c>
      <c r="I21" s="13" t="s">
        <v>37</v>
      </c>
      <c r="J21" s="16"/>
      <c r="L21" s="6">
        <v>0</v>
      </c>
      <c r="M21" s="1">
        <v>0</v>
      </c>
      <c r="O21" s="1">
        <v>0</v>
      </c>
      <c r="P21" s="1">
        <v>0</v>
      </c>
      <c r="R21" s="1">
        <v>0</v>
      </c>
      <c r="S21" s="1">
        <v>0</v>
      </c>
      <c r="U21" s="1">
        <v>240000</v>
      </c>
      <c r="V21" s="9">
        <v>0</v>
      </c>
    </row>
    <row r="22" spans="1:22">
      <c r="A22" s="1" t="s">
        <v>38</v>
      </c>
      <c r="B22" s="6">
        <v>-1.7747422740740149E-2</v>
      </c>
      <c r="C22" s="1">
        <v>-3.1547444270327105</v>
      </c>
      <c r="D22" s="1">
        <v>0</v>
      </c>
      <c r="E22" s="1">
        <v>0</v>
      </c>
      <c r="F22" s="1">
        <v>0</v>
      </c>
      <c r="G22" s="9">
        <f>SUM(KS_FINANCIAL)</f>
        <v>-3.1724918497734507</v>
      </c>
      <c r="I22" s="13" t="s">
        <v>39</v>
      </c>
      <c r="J22" s="16">
        <v>84689349.896513835</v>
      </c>
      <c r="L22" s="6"/>
      <c r="V22" s="9"/>
    </row>
    <row r="23" spans="1:22">
      <c r="A23" s="1" t="s">
        <v>40</v>
      </c>
      <c r="B23" s="6">
        <v>-26.765143490832997</v>
      </c>
      <c r="C23" s="1">
        <v>-4.5215210590613424</v>
      </c>
      <c r="D23" s="1">
        <v>8.1207763230062568E-3</v>
      </c>
      <c r="E23" s="1">
        <v>0</v>
      </c>
      <c r="F23" s="1">
        <v>0</v>
      </c>
      <c r="G23" s="9">
        <f>SUM(KY_FINANCIAL)</f>
        <v>-31.278543773571332</v>
      </c>
      <c r="I23" s="13" t="s">
        <v>41</v>
      </c>
      <c r="J23" s="16"/>
      <c r="L23" s="6"/>
      <c r="V23" s="9"/>
    </row>
    <row r="24" spans="1:22">
      <c r="A24" s="1" t="s">
        <v>42</v>
      </c>
      <c r="B24" s="6">
        <v>-6.7710116842818024E-2</v>
      </c>
      <c r="C24" s="1">
        <v>-6.3150724567240104</v>
      </c>
      <c r="D24" s="1">
        <v>0</v>
      </c>
      <c r="E24" s="1">
        <v>0</v>
      </c>
      <c r="F24" s="1">
        <v>0</v>
      </c>
      <c r="G24" s="9">
        <f>SUM(LA_FINANCIAL)</f>
        <v>-6.3827825735668284</v>
      </c>
      <c r="I24" s="13" t="s">
        <v>43</v>
      </c>
      <c r="J24" s="16">
        <v>136926126.18959287</v>
      </c>
      <c r="L24" s="6">
        <v>168235</v>
      </c>
      <c r="M24" s="1">
        <v>0</v>
      </c>
      <c r="O24" s="1">
        <v>51765</v>
      </c>
      <c r="P24" s="1">
        <v>0</v>
      </c>
      <c r="R24" s="1">
        <v>0</v>
      </c>
      <c r="S24" s="1">
        <v>0</v>
      </c>
      <c r="U24" s="1">
        <v>0</v>
      </c>
      <c r="V24" s="9">
        <v>0</v>
      </c>
    </row>
    <row r="25" spans="1:22">
      <c r="A25" s="1" t="s">
        <v>44</v>
      </c>
      <c r="B25" s="6">
        <v>-1.9767732914459657E-2</v>
      </c>
      <c r="C25" s="1">
        <v>-10.67859683666029</v>
      </c>
      <c r="D25" s="1">
        <v>9.9985968262281E-3</v>
      </c>
      <c r="E25" s="1">
        <v>0</v>
      </c>
      <c r="F25" s="1">
        <v>0</v>
      </c>
      <c r="G25" s="9">
        <f>SUM(ME_FINANCIAL)</f>
        <v>-10.688365972748521</v>
      </c>
      <c r="I25" s="13"/>
      <c r="J25" s="16"/>
      <c r="L25" s="6"/>
      <c r="V25" s="9"/>
    </row>
    <row r="26" spans="1:22">
      <c r="A26" s="1" t="s">
        <v>45</v>
      </c>
      <c r="B26" s="6">
        <v>7.8874028371478389E-5</v>
      </c>
      <c r="C26" s="1">
        <v>-27.056169308285462</v>
      </c>
      <c r="D26" s="1">
        <v>0</v>
      </c>
      <c r="E26" s="1">
        <v>-582.42313150968403</v>
      </c>
      <c r="F26" s="1">
        <v>0</v>
      </c>
      <c r="G26" s="9">
        <f>SUM(MD_FINANCIAL)</f>
        <v>-609.47922194394107</v>
      </c>
      <c r="I26" s="13" t="s">
        <v>46</v>
      </c>
      <c r="J26" s="16">
        <f>SUM(ADD_FINANCIAL)-SUM(LESS_FINANCIAL)</f>
        <v>-16627.076043605804</v>
      </c>
      <c r="L26" s="6">
        <v>0</v>
      </c>
      <c r="M26" s="1">
        <v>0</v>
      </c>
      <c r="O26" s="1">
        <v>6000000</v>
      </c>
      <c r="P26" s="1">
        <v>0</v>
      </c>
      <c r="R26" s="1">
        <v>0</v>
      </c>
      <c r="S26" s="1">
        <v>0</v>
      </c>
      <c r="U26" s="1">
        <v>0</v>
      </c>
      <c r="V26" s="9">
        <v>0</v>
      </c>
    </row>
    <row r="27" spans="1:22">
      <c r="A27" s="1" t="s">
        <v>47</v>
      </c>
      <c r="B27" s="6">
        <v>-0.49222693382307625</v>
      </c>
      <c r="C27" s="1">
        <v>-54.715476356388535</v>
      </c>
      <c r="D27" s="1">
        <v>3.9110059506304527E-8</v>
      </c>
      <c r="E27" s="1">
        <v>0</v>
      </c>
      <c r="F27" s="1">
        <v>0</v>
      </c>
      <c r="G27" s="9">
        <f>SUM(MA_FINANCIAL)</f>
        <v>-55.207703251101549</v>
      </c>
      <c r="I27" s="13" t="s">
        <v>48</v>
      </c>
      <c r="J27" s="16">
        <f>SUM(ALL_BLOCKS)</f>
        <v>-16627.076041025033</v>
      </c>
      <c r="L27" s="6">
        <v>0</v>
      </c>
      <c r="M27" s="1">
        <v>0</v>
      </c>
      <c r="O27" s="1">
        <v>500000</v>
      </c>
      <c r="P27" s="1">
        <v>500000</v>
      </c>
      <c r="R27" s="1">
        <v>0</v>
      </c>
      <c r="S27" s="1">
        <v>0</v>
      </c>
      <c r="U27" s="1">
        <v>0</v>
      </c>
      <c r="V27" s="9">
        <v>0</v>
      </c>
    </row>
    <row r="28" spans="1:22">
      <c r="A28" s="1" t="s">
        <v>49</v>
      </c>
      <c r="B28" s="6">
        <v>-0.23869042976275523</v>
      </c>
      <c r="C28" s="1">
        <v>-18.961346942989621</v>
      </c>
      <c r="D28" s="1">
        <v>0</v>
      </c>
      <c r="E28" s="1">
        <v>-2188.8930661901832</v>
      </c>
      <c r="F28" s="1">
        <v>0</v>
      </c>
      <c r="G28" s="9">
        <f>SUM(MI_FINANCIAL)</f>
        <v>-2208.0931035629355</v>
      </c>
      <c r="I28" s="14"/>
      <c r="J28" s="17"/>
      <c r="L28" s="6">
        <v>0</v>
      </c>
      <c r="M28" s="1">
        <v>0</v>
      </c>
      <c r="O28" s="1">
        <v>350000</v>
      </c>
      <c r="P28" s="1">
        <v>0</v>
      </c>
      <c r="R28" s="1">
        <v>0</v>
      </c>
      <c r="S28" s="1">
        <v>0</v>
      </c>
      <c r="U28" s="1">
        <v>23108333</v>
      </c>
      <c r="V28" s="9">
        <v>24800000</v>
      </c>
    </row>
    <row r="29" spans="1:22">
      <c r="A29" s="1" t="s">
        <v>50</v>
      </c>
      <c r="B29" s="6">
        <v>-4.9167019938238354E-2</v>
      </c>
      <c r="C29" s="1">
        <v>-6.1235056703735609</v>
      </c>
      <c r="D29" s="1">
        <v>1.9996763907397581E-6</v>
      </c>
      <c r="E29" s="1">
        <v>-567.99714654684067</v>
      </c>
      <c r="F29" s="1">
        <v>0</v>
      </c>
      <c r="G29" s="9">
        <f>SUM(MN_FINANCIAL)</f>
        <v>-574.16981723747608</v>
      </c>
      <c r="L29" s="6">
        <v>0</v>
      </c>
      <c r="M29" s="1">
        <v>0</v>
      </c>
      <c r="O29" s="1">
        <v>0</v>
      </c>
      <c r="P29" s="1">
        <v>0</v>
      </c>
      <c r="R29" s="1">
        <v>0</v>
      </c>
      <c r="S29" s="1">
        <v>0</v>
      </c>
      <c r="U29" s="1">
        <v>5700000</v>
      </c>
      <c r="V29" s="9">
        <v>0</v>
      </c>
    </row>
    <row r="30" spans="1:22">
      <c r="A30" s="1" t="s">
        <v>51</v>
      </c>
      <c r="B30" s="6">
        <v>-3.0918241760673482E-2</v>
      </c>
      <c r="C30" s="1">
        <v>-3.8384539603357553</v>
      </c>
      <c r="D30" s="1">
        <v>-1.8541194579640621E-6</v>
      </c>
      <c r="E30" s="1">
        <v>-97.333197792177089</v>
      </c>
      <c r="F30" s="1">
        <v>0</v>
      </c>
      <c r="G30" s="9">
        <f>SUM(MS_FINANCIAL)</f>
        <v>-101.20257184839298</v>
      </c>
      <c r="L30" s="6"/>
      <c r="V30" s="9"/>
    </row>
    <row r="31" spans="1:22">
      <c r="A31" s="1" t="s">
        <v>52</v>
      </c>
      <c r="B31" s="6">
        <v>-4.0246473463184884E-2</v>
      </c>
      <c r="C31" s="1">
        <v>-7.6243651481490815</v>
      </c>
      <c r="D31" s="1">
        <v>-9.9847919064141016E-3</v>
      </c>
      <c r="E31" s="1">
        <v>0</v>
      </c>
      <c r="F31" s="1">
        <v>0</v>
      </c>
      <c r="G31" s="9">
        <f>SUM(MO_FINANCIAL)</f>
        <v>-7.6745964135186808</v>
      </c>
      <c r="L31" s="6">
        <v>0</v>
      </c>
      <c r="M31" s="1">
        <v>0</v>
      </c>
      <c r="O31" s="1">
        <v>630730</v>
      </c>
      <c r="P31" s="1">
        <v>0</v>
      </c>
      <c r="R31" s="1">
        <v>0</v>
      </c>
      <c r="S31" s="1">
        <v>0</v>
      </c>
      <c r="U31" s="1">
        <v>0</v>
      </c>
      <c r="V31" s="9">
        <v>0</v>
      </c>
    </row>
    <row r="32" spans="1:22">
      <c r="A32" s="1" t="s">
        <v>53</v>
      </c>
      <c r="B32" s="6">
        <v>-1.5997735661699153E-3</v>
      </c>
      <c r="C32" s="1">
        <v>-3.6987069633978535</v>
      </c>
      <c r="D32" s="1">
        <v>2.0401919680095703E-5</v>
      </c>
      <c r="E32" s="1">
        <v>0</v>
      </c>
      <c r="F32" s="1">
        <v>0</v>
      </c>
      <c r="G32" s="9">
        <f>SUM(MT_FINANCIAL)</f>
        <v>-3.7002863350443436</v>
      </c>
      <c r="L32" s="6"/>
      <c r="V32" s="9"/>
    </row>
    <row r="33" spans="1:22">
      <c r="A33" s="1" t="s">
        <v>54</v>
      </c>
      <c r="B33" s="6">
        <v>-2.7967498733545426E-3</v>
      </c>
      <c r="C33" s="1">
        <v>-1.7464551299344748</v>
      </c>
      <c r="D33" s="1">
        <v>-6.9989255670824571E-7</v>
      </c>
      <c r="E33" s="1">
        <v>0</v>
      </c>
      <c r="F33" s="1">
        <v>0</v>
      </c>
      <c r="G33" s="9">
        <f>SUM(NE_FINANCIAL)</f>
        <v>-1.7492525797003862</v>
      </c>
      <c r="L33" s="6"/>
      <c r="V33" s="9"/>
    </row>
    <row r="34" spans="1:22">
      <c r="A34" s="1" t="s">
        <v>55</v>
      </c>
      <c r="B34" s="6">
        <v>-2.3325971515646415E-2</v>
      </c>
      <c r="C34" s="1">
        <v>-1.5850755074461631</v>
      </c>
      <c r="D34" s="1">
        <v>3.6101145702024845E-7</v>
      </c>
      <c r="E34" s="1">
        <v>0</v>
      </c>
      <c r="F34" s="1">
        <v>0</v>
      </c>
      <c r="G34" s="9">
        <f>SUM(NV_FINANCIAL)</f>
        <v>-1.6084011179503526</v>
      </c>
      <c r="L34" s="6"/>
      <c r="V34" s="9"/>
    </row>
    <row r="35" spans="1:22">
      <c r="A35" s="1" t="s">
        <v>56</v>
      </c>
      <c r="B35" s="6">
        <v>-2.7742016190615004E-3</v>
      </c>
      <c r="C35" s="1">
        <v>-17.931272917892784</v>
      </c>
      <c r="D35" s="1">
        <v>9.9985965934301264E-3</v>
      </c>
      <c r="E35" s="1">
        <v>0</v>
      </c>
      <c r="F35" s="1">
        <v>0</v>
      </c>
      <c r="G35" s="9">
        <f>SUM(NH_FINANCIAL)</f>
        <v>-17.924048522918415</v>
      </c>
      <c r="L35" s="6"/>
      <c r="V35" s="9"/>
    </row>
    <row r="36" spans="1:22">
      <c r="A36" s="1" t="s">
        <v>57</v>
      </c>
      <c r="B36" s="6">
        <v>0.91337711795495125</v>
      </c>
      <c r="C36" s="1">
        <v>-37.527775933092926</v>
      </c>
      <c r="D36" s="1">
        <v>0</v>
      </c>
      <c r="E36" s="1">
        <v>-951.77585843391716</v>
      </c>
      <c r="F36" s="1">
        <v>0</v>
      </c>
      <c r="G36" s="9">
        <f>SUM(NJ_FINANCIAL)</f>
        <v>-988.39025724905514</v>
      </c>
      <c r="L36" s="6">
        <v>0</v>
      </c>
      <c r="M36" s="1">
        <v>0</v>
      </c>
      <c r="O36" s="1">
        <v>0</v>
      </c>
      <c r="P36" s="1">
        <v>0</v>
      </c>
      <c r="R36" s="1">
        <v>0</v>
      </c>
      <c r="S36" s="1">
        <v>0</v>
      </c>
      <c r="U36" s="1">
        <v>10000000</v>
      </c>
      <c r="V36" s="9">
        <v>11255081</v>
      </c>
    </row>
    <row r="37" spans="1:22">
      <c r="A37" s="1" t="s">
        <v>58</v>
      </c>
      <c r="B37" s="6">
        <v>-1.0846581313700199E-2</v>
      </c>
      <c r="C37" s="1">
        <v>-2.3957268908488913</v>
      </c>
      <c r="D37" s="1">
        <v>8.4987847092505839E-6</v>
      </c>
      <c r="E37" s="1">
        <v>0</v>
      </c>
      <c r="F37" s="1">
        <v>0</v>
      </c>
      <c r="G37" s="9">
        <f>SUM(NM_FINANCIAL)</f>
        <v>-2.4065649733778822</v>
      </c>
      <c r="L37" s="6"/>
      <c r="V37" s="9"/>
    </row>
    <row r="38" spans="1:22">
      <c r="A38" s="1" t="s">
        <v>59</v>
      </c>
      <c r="B38" s="6">
        <v>4.2879902699767934E-14</v>
      </c>
      <c r="C38" s="1">
        <v>0</v>
      </c>
      <c r="D38" s="1">
        <v>0</v>
      </c>
      <c r="E38" s="1">
        <v>0</v>
      </c>
      <c r="F38" s="1">
        <v>0</v>
      </c>
      <c r="G38" s="9">
        <f>SUM(NY_FINANCIAL)</f>
        <v>4.2879902699767934E-14</v>
      </c>
      <c r="L38" s="6"/>
      <c r="V38" s="9"/>
    </row>
    <row r="39" spans="1:22">
      <c r="A39" s="1" t="s">
        <v>60</v>
      </c>
      <c r="B39" s="6">
        <v>-226.22187033691444</v>
      </c>
      <c r="C39" s="1">
        <v>-39.11386378435418</v>
      </c>
      <c r="D39" s="1">
        <v>9.9694810165114681E-3</v>
      </c>
      <c r="E39" s="1">
        <v>-1030.3796490589157</v>
      </c>
      <c r="F39" s="1">
        <v>0</v>
      </c>
      <c r="G39" s="9">
        <f>SUM(NC_FINANCIAL)</f>
        <v>-1295.7054136991678</v>
      </c>
      <c r="L39" s="6">
        <v>0</v>
      </c>
      <c r="M39" s="1">
        <v>0</v>
      </c>
      <c r="O39" s="1">
        <v>10000000</v>
      </c>
      <c r="P39" s="1">
        <v>11400000</v>
      </c>
      <c r="R39" s="1">
        <v>0</v>
      </c>
      <c r="S39" s="1">
        <v>0</v>
      </c>
      <c r="U39" s="1">
        <v>0</v>
      </c>
      <c r="V39" s="9">
        <v>0</v>
      </c>
    </row>
    <row r="40" spans="1:22">
      <c r="A40" s="1" t="s">
        <v>61</v>
      </c>
      <c r="B40" s="6">
        <v>-1.2458835828454085E-2</v>
      </c>
      <c r="C40" s="1">
        <v>-0.2070707635848521</v>
      </c>
      <c r="D40" s="1">
        <v>6.6180712256151408E-3</v>
      </c>
      <c r="E40" s="1">
        <v>0</v>
      </c>
      <c r="F40" s="1">
        <v>0</v>
      </c>
      <c r="G40" s="9">
        <f>SUM(ND_FINANCIAL)</f>
        <v>-0.21291152818769105</v>
      </c>
      <c r="L40" s="6"/>
      <c r="V40" s="9"/>
    </row>
    <row r="41" spans="1:22">
      <c r="A41" s="1" t="s">
        <v>62</v>
      </c>
      <c r="B41" s="6">
        <v>-295.77682487061247</v>
      </c>
      <c r="C41" s="1">
        <v>-67.097538403002545</v>
      </c>
      <c r="D41" s="1">
        <v>7.8753100660450132E-3</v>
      </c>
      <c r="E41" s="1">
        <v>-331.36238683154806</v>
      </c>
      <c r="F41" s="1">
        <v>0</v>
      </c>
      <c r="G41" s="9">
        <f>SUM(OH_FINANCIAL)</f>
        <v>-694.228874795097</v>
      </c>
      <c r="L41" s="6">
        <v>0</v>
      </c>
      <c r="M41" s="1">
        <v>0</v>
      </c>
      <c r="O41" s="1">
        <v>400000</v>
      </c>
      <c r="P41" s="1">
        <v>0</v>
      </c>
      <c r="R41" s="1">
        <v>0</v>
      </c>
      <c r="S41" s="1">
        <v>0</v>
      </c>
      <c r="U41" s="1">
        <v>3100000</v>
      </c>
      <c r="V41" s="9">
        <v>4800000</v>
      </c>
    </row>
    <row r="42" spans="1:22">
      <c r="A42" s="1" t="s">
        <v>63</v>
      </c>
      <c r="B42" s="6">
        <v>-1.1807290888498301E-2</v>
      </c>
      <c r="C42" s="1">
        <v>-10.241420366073726</v>
      </c>
      <c r="D42" s="1">
        <v>-4.2390299348408921E-5</v>
      </c>
      <c r="E42" s="1">
        <v>0</v>
      </c>
      <c r="F42" s="1">
        <v>0</v>
      </c>
      <c r="G42" s="9">
        <f>SUM(OK_FINANCIAL)</f>
        <v>-10.253270047261573</v>
      </c>
      <c r="L42" s="6">
        <v>47000</v>
      </c>
      <c r="M42" s="1">
        <v>23000</v>
      </c>
      <c r="O42" s="1">
        <v>44000</v>
      </c>
      <c r="P42" s="1">
        <v>22000</v>
      </c>
      <c r="R42" s="1">
        <v>9000</v>
      </c>
      <c r="S42" s="1">
        <v>5000</v>
      </c>
      <c r="U42" s="1">
        <v>0</v>
      </c>
      <c r="V42" s="9">
        <v>0</v>
      </c>
    </row>
    <row r="43" spans="1:22">
      <c r="A43" s="1" t="s">
        <v>64</v>
      </c>
      <c r="B43" s="6">
        <v>-1.6898678756916752E-2</v>
      </c>
      <c r="C43" s="1">
        <v>-17.000011947238818</v>
      </c>
      <c r="D43" s="1">
        <v>0</v>
      </c>
      <c r="E43" s="1">
        <v>0</v>
      </c>
      <c r="F43" s="1">
        <v>0</v>
      </c>
      <c r="G43" s="9">
        <f>SUM(OR_FINANCIAL)</f>
        <v>-17.016910625995735</v>
      </c>
      <c r="L43" s="6"/>
      <c r="V43" s="9"/>
    </row>
    <row r="44" spans="1:22">
      <c r="A44" s="1" t="s">
        <v>65</v>
      </c>
      <c r="B44" s="6">
        <v>-0.7662288595802238</v>
      </c>
      <c r="C44" s="1">
        <v>-74.206386814592406</v>
      </c>
      <c r="D44" s="1">
        <v>2.8925613772484228E-5</v>
      </c>
      <c r="E44" s="1">
        <v>-2502.0394705496728</v>
      </c>
      <c r="F44" s="1">
        <v>0</v>
      </c>
      <c r="G44" s="9">
        <f>SUM(PA_FINANCIAL)</f>
        <v>-2577.0120572982319</v>
      </c>
      <c r="L44" s="6">
        <v>0</v>
      </c>
      <c r="M44" s="1">
        <v>0</v>
      </c>
      <c r="O44" s="1">
        <v>0</v>
      </c>
      <c r="P44" s="1">
        <v>0</v>
      </c>
      <c r="R44" s="1">
        <v>0</v>
      </c>
      <c r="S44" s="1">
        <v>0</v>
      </c>
      <c r="U44" s="1">
        <v>32905625</v>
      </c>
      <c r="V44" s="9">
        <v>0</v>
      </c>
    </row>
    <row r="45" spans="1:22">
      <c r="A45" s="1" t="s">
        <v>66</v>
      </c>
      <c r="B45" s="6">
        <v>-5.0282159632729417E-2</v>
      </c>
      <c r="C45" s="1">
        <v>-7.9187815895129461</v>
      </c>
      <c r="D45" s="1">
        <v>0</v>
      </c>
      <c r="E45" s="1">
        <v>0</v>
      </c>
      <c r="F45" s="1">
        <v>0</v>
      </c>
      <c r="G45" s="9">
        <f>SUM(PR_FINANCIAL)</f>
        <v>-7.9690637491456755</v>
      </c>
      <c r="L45" s="6"/>
      <c r="V45" s="9"/>
    </row>
    <row r="46" spans="1:22">
      <c r="A46" s="1" t="s">
        <v>67</v>
      </c>
      <c r="B46" s="6">
        <v>-4.6187874745328372E-2</v>
      </c>
      <c r="C46" s="1">
        <v>-10.508743227139348</v>
      </c>
      <c r="D46" s="1">
        <v>0</v>
      </c>
      <c r="E46" s="1">
        <v>0</v>
      </c>
      <c r="F46" s="1">
        <v>0</v>
      </c>
      <c r="G46" s="9">
        <f>SUM(RI_FINANCIAL)</f>
        <v>-10.554931101884677</v>
      </c>
      <c r="L46" s="6">
        <v>0</v>
      </c>
      <c r="M46" s="1">
        <v>0</v>
      </c>
      <c r="O46" s="1">
        <v>35000</v>
      </c>
      <c r="P46" s="1">
        <v>0</v>
      </c>
      <c r="R46" s="1">
        <v>0</v>
      </c>
      <c r="S46" s="1">
        <v>0</v>
      </c>
      <c r="U46" s="1">
        <v>0</v>
      </c>
      <c r="V46" s="9">
        <v>0</v>
      </c>
    </row>
    <row r="47" spans="1:22">
      <c r="A47" s="1" t="s">
        <v>68</v>
      </c>
      <c r="B47" s="6">
        <v>-55.373730668972712</v>
      </c>
      <c r="C47" s="1">
        <v>-10.299304671745631</v>
      </c>
      <c r="D47" s="1">
        <v>0</v>
      </c>
      <c r="E47" s="1">
        <v>0</v>
      </c>
      <c r="F47" s="1">
        <v>0</v>
      </c>
      <c r="G47" s="9">
        <f>SUM(SC_FINANCIAL)</f>
        <v>-65.673035340718343</v>
      </c>
      <c r="L47" s="6"/>
      <c r="V47" s="9"/>
    </row>
    <row r="48" spans="1:22">
      <c r="A48" s="1" t="s">
        <v>69</v>
      </c>
      <c r="B48" s="6">
        <v>-5.1371748700148601E-3</v>
      </c>
      <c r="C48" s="1">
        <v>-0.32964455397450365</v>
      </c>
      <c r="D48" s="1">
        <v>0</v>
      </c>
      <c r="E48" s="1">
        <v>0</v>
      </c>
      <c r="F48" s="1">
        <v>0</v>
      </c>
      <c r="G48" s="9">
        <f>SUM(SD_FINANCIAL)</f>
        <v>-0.33478172884451851</v>
      </c>
      <c r="L48" s="6"/>
      <c r="V48" s="9"/>
    </row>
    <row r="49" spans="1:22">
      <c r="A49" s="1" t="s">
        <v>70</v>
      </c>
      <c r="B49" s="6">
        <v>-0.95630599789365078</v>
      </c>
      <c r="C49" s="1">
        <v>-8.7955688429501606</v>
      </c>
      <c r="D49" s="1">
        <v>-9.4893871106276392E-3</v>
      </c>
      <c r="E49" s="1">
        <v>0</v>
      </c>
      <c r="F49" s="1">
        <v>0</v>
      </c>
      <c r="G49" s="9">
        <f>SUM(TN_FINANCIAL)</f>
        <v>-9.7613642279544397</v>
      </c>
      <c r="L49" s="6"/>
      <c r="V49" s="9"/>
    </row>
    <row r="50" spans="1:22">
      <c r="A50" s="1" t="s">
        <v>71</v>
      </c>
      <c r="B50" s="6">
        <v>-174.31261640740559</v>
      </c>
      <c r="C50" s="1">
        <v>-33.322298328042962</v>
      </c>
      <c r="D50" s="1">
        <v>8.301547324806903E-3</v>
      </c>
      <c r="E50" s="1">
        <v>-532.47809251397848</v>
      </c>
      <c r="F50" s="1">
        <v>0</v>
      </c>
      <c r="G50" s="9">
        <f>SUM(TX_FINANCIAL)</f>
        <v>-740.10470570210225</v>
      </c>
      <c r="L50" s="6">
        <v>4755103</v>
      </c>
      <c r="M50" s="1">
        <v>5296700</v>
      </c>
      <c r="O50" s="1">
        <v>471044</v>
      </c>
      <c r="P50" s="1">
        <v>524695</v>
      </c>
      <c r="R50" s="1">
        <v>574882</v>
      </c>
      <c r="S50" s="1">
        <v>640360</v>
      </c>
      <c r="U50" s="1">
        <v>0</v>
      </c>
      <c r="V50" s="9">
        <v>0</v>
      </c>
    </row>
    <row r="51" spans="1:22">
      <c r="A51" s="1" t="s">
        <v>72</v>
      </c>
      <c r="B51" s="6">
        <v>-6.4242251894057745E-3</v>
      </c>
      <c r="C51" s="1">
        <v>-3.8593369701484335</v>
      </c>
      <c r="D51" s="1">
        <v>1.0000596517168715E-2</v>
      </c>
      <c r="E51" s="1">
        <v>-287.53087620949373</v>
      </c>
      <c r="F51" s="1">
        <v>0</v>
      </c>
      <c r="G51" s="9">
        <f>SUM(UT_FINANCIAL)</f>
        <v>-291.38663680831439</v>
      </c>
      <c r="L51" s="6">
        <v>5025000</v>
      </c>
      <c r="M51" s="1">
        <v>5196038</v>
      </c>
      <c r="O51" s="1">
        <v>3758000</v>
      </c>
      <c r="P51" s="1">
        <v>3886064</v>
      </c>
      <c r="R51" s="1">
        <v>0</v>
      </c>
      <c r="S51" s="1">
        <v>0</v>
      </c>
      <c r="U51" s="1">
        <v>3050000</v>
      </c>
      <c r="V51" s="9">
        <v>4549252</v>
      </c>
    </row>
    <row r="52" spans="1:22">
      <c r="A52" s="1" t="s">
        <v>73</v>
      </c>
      <c r="B52" s="6">
        <v>-2.0785353827115216E-3</v>
      </c>
      <c r="C52" s="1">
        <v>-1.4156587453053362</v>
      </c>
      <c r="D52" s="1">
        <v>0</v>
      </c>
      <c r="E52" s="1">
        <v>0</v>
      </c>
      <c r="F52" s="1">
        <v>0</v>
      </c>
      <c r="G52" s="9">
        <f>SUM(VT_FINANCIAL)</f>
        <v>-1.4177372806880477</v>
      </c>
      <c r="L52" s="6"/>
      <c r="V52" s="9"/>
    </row>
    <row r="53" spans="1:22">
      <c r="A53" s="1" t="s">
        <v>74</v>
      </c>
      <c r="B53" s="6">
        <v>-141.17865888262168</v>
      </c>
      <c r="C53" s="1">
        <v>-23.415597139974125</v>
      </c>
      <c r="D53" s="1">
        <v>-3.5385291934275523E-7</v>
      </c>
      <c r="E53" s="1">
        <v>0</v>
      </c>
      <c r="F53" s="1">
        <v>0</v>
      </c>
      <c r="G53" s="9">
        <f>SUM(VA_FINANCIAL)</f>
        <v>-164.59425637644873</v>
      </c>
      <c r="L53" s="6">
        <v>19000</v>
      </c>
      <c r="M53" s="1">
        <v>0</v>
      </c>
      <c r="O53" s="1">
        <v>13000</v>
      </c>
      <c r="P53" s="1">
        <v>0</v>
      </c>
      <c r="R53" s="1">
        <v>1200</v>
      </c>
      <c r="S53" s="1">
        <v>0</v>
      </c>
      <c r="U53" s="1">
        <v>0</v>
      </c>
      <c r="V53" s="9">
        <v>0</v>
      </c>
    </row>
    <row r="54" spans="1:22">
      <c r="A54" s="1" t="s">
        <v>75</v>
      </c>
      <c r="B54" s="6">
        <v>-1.8473417615922472E-2</v>
      </c>
      <c r="C54" s="1">
        <v>-28.808280171797378</v>
      </c>
      <c r="D54" s="1">
        <v>0</v>
      </c>
      <c r="E54" s="1">
        <v>-213.65146271022968</v>
      </c>
      <c r="F54" s="1">
        <v>0</v>
      </c>
      <c r="G54" s="9">
        <f>SUM(WA_FINANCIAL)</f>
        <v>-242.47821629964298</v>
      </c>
      <c r="L54" s="6">
        <v>100000</v>
      </c>
      <c r="M54" s="1">
        <v>50733</v>
      </c>
      <c r="O54" s="1">
        <v>150000</v>
      </c>
      <c r="P54" s="1">
        <v>210019</v>
      </c>
      <c r="R54" s="1">
        <v>200000</v>
      </c>
      <c r="S54" s="1">
        <v>201730</v>
      </c>
      <c r="U54" s="1">
        <v>4800000</v>
      </c>
      <c r="V54" s="9">
        <v>5000000</v>
      </c>
    </row>
    <row r="55" spans="1:22">
      <c r="A55" s="1" t="s">
        <v>76</v>
      </c>
      <c r="B55" s="6">
        <v>-1.9531511476600372E-2</v>
      </c>
      <c r="C55" s="1">
        <v>-1.2720615045200248</v>
      </c>
      <c r="D55" s="1">
        <v>-9.9977969323920054E-3</v>
      </c>
      <c r="E55" s="1">
        <v>0</v>
      </c>
      <c r="F55" s="1">
        <v>0</v>
      </c>
      <c r="G55" s="9">
        <f>SUM(WV_FINANCIAL)</f>
        <v>-1.3015908129290172</v>
      </c>
      <c r="L55" s="6"/>
      <c r="V55" s="9"/>
    </row>
    <row r="56" spans="1:22">
      <c r="A56" s="1" t="s">
        <v>77</v>
      </c>
      <c r="B56" s="6">
        <v>-35.023059659462888</v>
      </c>
      <c r="C56" s="1">
        <v>-23.579719660599949</v>
      </c>
      <c r="D56" s="1">
        <v>-9.9975971917309562E-3</v>
      </c>
      <c r="E56" s="1">
        <v>0</v>
      </c>
      <c r="F56" s="1">
        <v>0</v>
      </c>
      <c r="G56" s="9">
        <f>SUM(WI_FINANCIAL)</f>
        <v>-58.612776917254564</v>
      </c>
      <c r="L56" s="6"/>
      <c r="V56" s="9"/>
    </row>
    <row r="57" spans="1:22">
      <c r="A57" s="1" t="s">
        <v>78</v>
      </c>
      <c r="B57" s="6">
        <v>-3.8819517030646011E-3</v>
      </c>
      <c r="C57" s="1">
        <v>-1.2212208017117518</v>
      </c>
      <c r="D57" s="1">
        <v>-2.4996536879180111E-6</v>
      </c>
      <c r="E57" s="1">
        <v>0</v>
      </c>
      <c r="F57" s="1">
        <v>0</v>
      </c>
      <c r="G57" s="9">
        <f>SUM(WY_FINANCIAL)</f>
        <v>-1.2251052530685043</v>
      </c>
      <c r="L57" s="6"/>
      <c r="V57" s="9"/>
    </row>
    <row r="58" spans="1:22">
      <c r="A58" s="1" t="s">
        <v>79</v>
      </c>
      <c r="B58" s="6">
        <v>0</v>
      </c>
      <c r="C58" s="1">
        <v>0</v>
      </c>
      <c r="D58" s="1">
        <v>-1.6421667972321499E-2</v>
      </c>
      <c r="E58" s="1">
        <v>0</v>
      </c>
      <c r="F58" s="1">
        <v>0</v>
      </c>
      <c r="G58" s="9">
        <f>SUM(OT_FINANCIAL)</f>
        <v>-1.6421667972321499E-2</v>
      </c>
      <c r="L58" s="6"/>
      <c r="V58" s="9"/>
    </row>
    <row r="59" spans="1:22">
      <c r="B59" s="6"/>
      <c r="G59" s="9"/>
      <c r="L59" s="6"/>
      <c r="V59" s="9"/>
    </row>
    <row r="60" spans="1:22">
      <c r="A60" s="1" t="s">
        <v>8</v>
      </c>
      <c r="B60" s="6">
        <f>SUM(LIFE)</f>
        <v>-1213.1284319363447</v>
      </c>
      <c r="C60" s="1">
        <f>SUM(ALLOCATED)</f>
        <v>-2954.8541946554742</v>
      </c>
      <c r="D60" s="1">
        <f>SUM(HEALTH)</f>
        <v>-1.3039194318268192E-2</v>
      </c>
      <c r="E60" s="1">
        <f>SUM(UNALLOCATED)</f>
        <v>-12459.080375238889</v>
      </c>
      <c r="F60" s="1">
        <f>SUM(LTC)</f>
        <v>0</v>
      </c>
      <c r="G60" s="9">
        <f>SUM(ALL_BLOCKS)</f>
        <v>-16627.076041025033</v>
      </c>
      <c r="L60" s="6">
        <f>SUM(LIFE_CALLED)</f>
        <v>11306785</v>
      </c>
      <c r="M60" s="1">
        <f>SUM(LIFE_REFUNDED)</f>
        <v>10875478</v>
      </c>
      <c r="O60" s="1">
        <f>SUM(ALLOC_CALLED)</f>
        <v>44055596</v>
      </c>
      <c r="P60" s="1">
        <f>SUM(ALLOC_REFUNDED)</f>
        <v>26201957.009999998</v>
      </c>
      <c r="R60" s="1">
        <f>SUM(HEALTH_CALLED)</f>
        <v>895082</v>
      </c>
      <c r="S60" s="1">
        <f>SUM(HEALTH_REFUNDED)</f>
        <v>960837</v>
      </c>
      <c r="U60" s="1">
        <f>SUM(UNALLOC_CALLED)</f>
        <v>108553958</v>
      </c>
      <c r="V60" s="9">
        <f>SUM(UNALLOC_REFUNDED)</f>
        <v>75903888.789999992</v>
      </c>
    </row>
    <row r="61" spans="1:22" ht="5.0999999999999996" customHeight="1">
      <c r="B61" s="6"/>
      <c r="G61" s="9"/>
      <c r="L61" s="6"/>
      <c r="V61" s="9"/>
    </row>
    <row r="62" spans="1:22">
      <c r="B62" s="6"/>
      <c r="G62" s="9"/>
      <c r="L62" s="78" t="s">
        <v>80</v>
      </c>
      <c r="M62" s="79"/>
      <c r="N62" s="79"/>
      <c r="O62" s="79"/>
      <c r="P62" s="79"/>
      <c r="Q62" s="79"/>
      <c r="R62" s="79"/>
      <c r="S62" s="79"/>
      <c r="T62" s="79"/>
      <c r="U62" s="79"/>
      <c r="V62" s="80"/>
    </row>
    <row r="63" spans="1:22">
      <c r="B63" s="6"/>
      <c r="G63" s="9"/>
      <c r="L63" s="81"/>
      <c r="M63" s="79"/>
      <c r="N63" s="79"/>
      <c r="O63" s="79"/>
      <c r="P63" s="79"/>
      <c r="Q63" s="79"/>
      <c r="R63" s="79"/>
      <c r="S63" s="79"/>
      <c r="T63" s="79"/>
      <c r="U63" s="79"/>
      <c r="V63" s="80"/>
    </row>
    <row r="64" spans="1:22">
      <c r="B64" s="8"/>
      <c r="C64" s="5"/>
      <c r="D64" s="5"/>
      <c r="E64" s="5"/>
      <c r="F64" s="5"/>
      <c r="G64" s="11"/>
      <c r="L64" s="82"/>
      <c r="M64" s="83"/>
      <c r="N64" s="83"/>
      <c r="O64" s="83"/>
      <c r="P64" s="83"/>
      <c r="Q64" s="83"/>
      <c r="R64" s="83"/>
      <c r="S64" s="83"/>
      <c r="T64" s="83"/>
      <c r="U64" s="83"/>
      <c r="V64" s="84"/>
    </row>
  </sheetData>
  <mergeCells count="8">
    <mergeCell ref="L62:V64"/>
    <mergeCell ref="A1:G1"/>
    <mergeCell ref="B3:G3"/>
    <mergeCell ref="L3:V3"/>
    <mergeCell ref="L4:M4"/>
    <mergeCell ref="O4:P4"/>
    <mergeCell ref="R4:S4"/>
    <mergeCell ref="U4:V4"/>
  </mergeCells>
  <pageMargins left="0" right="0" top="0" bottom="0" header="0" footer="0"/>
  <pageSetup scale="48"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V64"/>
  <sheetViews>
    <sheetView zoomScale="75" workbookViewId="0">
      <selection sqref="A1:G1"/>
    </sheetView>
  </sheetViews>
  <sheetFormatPr defaultColWidth="9.109375" defaultRowHeight="14.4"/>
  <cols>
    <col min="1" max="1" width="20" style="1" customWidth="1"/>
    <col min="2" max="7" width="15" style="1" customWidth="1"/>
    <col min="8" max="8" width="1" style="1" customWidth="1"/>
    <col min="9" max="9" width="30" style="1" customWidth="1"/>
    <col min="10" max="10" width="15" style="1" customWidth="1"/>
    <col min="11" max="11" width="1" style="1" customWidth="1"/>
    <col min="12" max="13" width="15" style="1" customWidth="1"/>
    <col min="14" max="14" width="1" style="1" customWidth="1"/>
    <col min="15" max="16" width="15" style="1" customWidth="1"/>
    <col min="17" max="17" width="1" style="1" customWidth="1"/>
    <col min="18" max="19" width="15" style="1" customWidth="1"/>
    <col min="20" max="20" width="1" style="1" customWidth="1"/>
    <col min="21" max="22" width="15" style="1" customWidth="1"/>
    <col min="23" max="23" width="9.109375" style="1" customWidth="1"/>
    <col min="24" max="16384" width="9.109375" style="1"/>
  </cols>
  <sheetData>
    <row r="1" spans="1:22">
      <c r="A1" s="85" t="s">
        <v>104</v>
      </c>
      <c r="B1" s="79"/>
      <c r="C1" s="79"/>
      <c r="D1" s="79"/>
      <c r="E1" s="79"/>
      <c r="F1" s="79"/>
      <c r="G1" s="79"/>
    </row>
    <row r="3" spans="1:22">
      <c r="B3" s="86" t="s">
        <v>1</v>
      </c>
      <c r="C3" s="87"/>
      <c r="D3" s="87"/>
      <c r="E3" s="87"/>
      <c r="F3" s="87"/>
      <c r="G3" s="88"/>
      <c r="L3" s="89" t="s">
        <v>2</v>
      </c>
      <c r="M3" s="90"/>
      <c r="N3" s="90"/>
      <c r="O3" s="90"/>
      <c r="P3" s="90"/>
      <c r="Q3" s="90"/>
      <c r="R3" s="90"/>
      <c r="S3" s="90"/>
      <c r="T3" s="90"/>
      <c r="U3" s="90"/>
      <c r="V3" s="91"/>
    </row>
    <row r="4" spans="1:22">
      <c r="B4" s="6"/>
      <c r="G4" s="9"/>
      <c r="L4" s="92" t="s">
        <v>3</v>
      </c>
      <c r="M4" s="93"/>
      <c r="N4" s="3"/>
      <c r="O4" s="94" t="s">
        <v>4</v>
      </c>
      <c r="P4" s="93"/>
      <c r="Q4" s="3"/>
      <c r="R4" s="94" t="s">
        <v>5</v>
      </c>
      <c r="S4" s="93"/>
      <c r="T4" s="3"/>
      <c r="U4" s="94" t="s">
        <v>6</v>
      </c>
      <c r="V4" s="95"/>
    </row>
    <row r="5" spans="1:22" ht="60" customHeight="1">
      <c r="B5" s="7" t="s">
        <v>3</v>
      </c>
      <c r="C5" s="4" t="s">
        <v>4</v>
      </c>
      <c r="D5" s="4" t="s">
        <v>5</v>
      </c>
      <c r="E5" s="4" t="s">
        <v>6</v>
      </c>
      <c r="F5" s="4" t="s">
        <v>7</v>
      </c>
      <c r="G5" s="10" t="s">
        <v>8</v>
      </c>
      <c r="L5" s="19" t="s">
        <v>9</v>
      </c>
      <c r="M5" s="18" t="s">
        <v>10</v>
      </c>
      <c r="N5" s="18"/>
      <c r="O5" s="18" t="s">
        <v>9</v>
      </c>
      <c r="P5" s="18" t="s">
        <v>10</v>
      </c>
      <c r="Q5" s="18"/>
      <c r="R5" s="18" t="s">
        <v>9</v>
      </c>
      <c r="S5" s="18" t="s">
        <v>10</v>
      </c>
      <c r="T5" s="18"/>
      <c r="U5" s="18" t="s">
        <v>9</v>
      </c>
      <c r="V5" s="20" t="s">
        <v>10</v>
      </c>
    </row>
    <row r="6" spans="1:22">
      <c r="A6" s="1" t="s">
        <v>11</v>
      </c>
      <c r="B6" s="6">
        <v>816316.35869569983</v>
      </c>
      <c r="C6" s="1">
        <v>151402.52384007059</v>
      </c>
      <c r="D6" s="1">
        <v>15343.277075500904</v>
      </c>
      <c r="E6" s="1">
        <v>0</v>
      </c>
      <c r="F6" s="1">
        <v>0</v>
      </c>
      <c r="G6" s="9">
        <f>SUM(AL_FINANCIAL)</f>
        <v>983062.15961127135</v>
      </c>
      <c r="L6" s="6">
        <v>2000000</v>
      </c>
      <c r="M6" s="1">
        <v>0</v>
      </c>
      <c r="O6" s="1">
        <v>1401485</v>
      </c>
      <c r="P6" s="1">
        <v>0</v>
      </c>
      <c r="R6" s="1">
        <v>120000</v>
      </c>
      <c r="S6" s="1">
        <v>0</v>
      </c>
      <c r="U6" s="1">
        <v>0</v>
      </c>
      <c r="V6" s="9">
        <v>0</v>
      </c>
    </row>
    <row r="7" spans="1:22">
      <c r="A7" s="1" t="s">
        <v>12</v>
      </c>
      <c r="B7" s="6">
        <v>0</v>
      </c>
      <c r="C7" s="1">
        <v>0</v>
      </c>
      <c r="D7" s="1">
        <v>0</v>
      </c>
      <c r="E7" s="1">
        <v>0</v>
      </c>
      <c r="F7" s="1">
        <v>0</v>
      </c>
      <c r="G7" s="9">
        <f>SUM(AK_FINANCIAL)</f>
        <v>0</v>
      </c>
      <c r="I7" s="12"/>
      <c r="J7" s="15"/>
      <c r="L7" s="6"/>
      <c r="V7" s="9"/>
    </row>
    <row r="8" spans="1:22">
      <c r="A8" s="1" t="s">
        <v>13</v>
      </c>
      <c r="B8" s="6">
        <v>0</v>
      </c>
      <c r="C8" s="1">
        <v>0</v>
      </c>
      <c r="D8" s="1">
        <v>0</v>
      </c>
      <c r="E8" s="1">
        <v>0</v>
      </c>
      <c r="F8" s="1">
        <v>0</v>
      </c>
      <c r="G8" s="9">
        <f>SUM(AZ_FINANCIAL)</f>
        <v>0</v>
      </c>
      <c r="I8" s="13" t="s">
        <v>14</v>
      </c>
      <c r="J8" s="16"/>
      <c r="L8" s="6"/>
      <c r="V8" s="9"/>
    </row>
    <row r="9" spans="1:22">
      <c r="A9" s="1" t="s">
        <v>15</v>
      </c>
      <c r="B9" s="6">
        <v>0</v>
      </c>
      <c r="C9" s="1">
        <v>0</v>
      </c>
      <c r="D9" s="1">
        <v>0</v>
      </c>
      <c r="E9" s="1">
        <v>0</v>
      </c>
      <c r="F9" s="1">
        <v>0</v>
      </c>
      <c r="G9" s="9">
        <f>SUM(AR_FINANCIAL)</f>
        <v>0</v>
      </c>
      <c r="I9" s="13"/>
      <c r="J9" s="16"/>
      <c r="L9" s="6"/>
      <c r="V9" s="9"/>
    </row>
    <row r="10" spans="1:22">
      <c r="A10" s="1" t="s">
        <v>16</v>
      </c>
      <c r="B10" s="6">
        <v>0</v>
      </c>
      <c r="C10" s="1">
        <v>0</v>
      </c>
      <c r="D10" s="1">
        <v>0</v>
      </c>
      <c r="E10" s="1">
        <v>0</v>
      </c>
      <c r="F10" s="1">
        <v>0</v>
      </c>
      <c r="G10" s="9">
        <f>SUM(CA_FINANCIAL)</f>
        <v>0</v>
      </c>
      <c r="I10" s="13" t="s">
        <v>17</v>
      </c>
      <c r="J10" s="16">
        <v>29134211.304266348</v>
      </c>
      <c r="L10" s="6"/>
      <c r="V10" s="9"/>
    </row>
    <row r="11" spans="1:22">
      <c r="A11" s="1" t="s">
        <v>18</v>
      </c>
      <c r="B11" s="6">
        <v>0</v>
      </c>
      <c r="C11" s="1">
        <v>0</v>
      </c>
      <c r="D11" s="1">
        <v>0</v>
      </c>
      <c r="E11" s="1">
        <v>0</v>
      </c>
      <c r="F11" s="1">
        <v>0</v>
      </c>
      <c r="G11" s="9">
        <f>SUM(CO_FINANCIAL)</f>
        <v>0</v>
      </c>
      <c r="I11" s="13"/>
      <c r="J11" s="16"/>
      <c r="L11" s="6"/>
      <c r="V11" s="9"/>
    </row>
    <row r="12" spans="1:22">
      <c r="A12" s="1" t="s">
        <v>19</v>
      </c>
      <c r="B12" s="6">
        <v>0</v>
      </c>
      <c r="C12" s="1">
        <v>0</v>
      </c>
      <c r="D12" s="1">
        <v>0</v>
      </c>
      <c r="E12" s="1">
        <v>0</v>
      </c>
      <c r="F12" s="1">
        <v>0</v>
      </c>
      <c r="G12" s="9">
        <f>SUM(CT_FINANCIAL)</f>
        <v>0</v>
      </c>
      <c r="I12" s="13" t="s">
        <v>20</v>
      </c>
      <c r="J12" s="16"/>
      <c r="L12" s="6"/>
      <c r="V12" s="9"/>
    </row>
    <row r="13" spans="1:22">
      <c r="A13" s="1" t="s">
        <v>21</v>
      </c>
      <c r="B13" s="6">
        <v>0</v>
      </c>
      <c r="C13" s="1">
        <v>0</v>
      </c>
      <c r="D13" s="1">
        <v>0</v>
      </c>
      <c r="E13" s="1">
        <v>0</v>
      </c>
      <c r="F13" s="1">
        <v>0</v>
      </c>
      <c r="G13" s="9">
        <f>SUM(DE_FINANCIAL)</f>
        <v>0</v>
      </c>
      <c r="I13" s="13" t="s">
        <v>22</v>
      </c>
      <c r="J13" s="16">
        <v>0</v>
      </c>
      <c r="L13" s="6"/>
      <c r="V13" s="9"/>
    </row>
    <row r="14" spans="1:22">
      <c r="A14" s="1" t="s">
        <v>23</v>
      </c>
      <c r="B14" s="6">
        <v>0</v>
      </c>
      <c r="C14" s="1">
        <v>0</v>
      </c>
      <c r="D14" s="1">
        <v>0</v>
      </c>
      <c r="E14" s="1">
        <v>0</v>
      </c>
      <c r="F14" s="1">
        <v>0</v>
      </c>
      <c r="G14" s="9">
        <f>SUM(DC_FINANCIAL)</f>
        <v>0</v>
      </c>
      <c r="I14" s="13" t="s">
        <v>24</v>
      </c>
      <c r="J14" s="16">
        <v>0</v>
      </c>
      <c r="L14" s="6"/>
      <c r="V14" s="9"/>
    </row>
    <row r="15" spans="1:22">
      <c r="A15" s="1" t="s">
        <v>25</v>
      </c>
      <c r="B15" s="6">
        <v>68266.373293886412</v>
      </c>
      <c r="C15" s="1">
        <v>0</v>
      </c>
      <c r="D15" s="1">
        <v>244.23820187747748</v>
      </c>
      <c r="E15" s="1">
        <v>0</v>
      </c>
      <c r="F15" s="1">
        <v>0</v>
      </c>
      <c r="G15" s="9">
        <f>SUM(FL_FINANCIAL)</f>
        <v>68510.611495763893</v>
      </c>
      <c r="I15" s="13" t="s">
        <v>26</v>
      </c>
      <c r="J15" s="16">
        <v>499865.34</v>
      </c>
      <c r="L15" s="6"/>
      <c r="V15" s="9"/>
    </row>
    <row r="16" spans="1:22">
      <c r="A16" s="1" t="s">
        <v>27</v>
      </c>
      <c r="B16" s="6">
        <v>0</v>
      </c>
      <c r="C16" s="1">
        <v>0</v>
      </c>
      <c r="D16" s="1">
        <v>0</v>
      </c>
      <c r="E16" s="1">
        <v>0</v>
      </c>
      <c r="F16" s="1">
        <v>0</v>
      </c>
      <c r="G16" s="9">
        <f>SUM(GA_FINANCIAL)</f>
        <v>0</v>
      </c>
      <c r="I16" s="13" t="s">
        <v>28</v>
      </c>
      <c r="J16" s="16">
        <v>0</v>
      </c>
      <c r="L16" s="6"/>
      <c r="V16" s="9"/>
    </row>
    <row r="17" spans="1:22">
      <c r="A17" s="1" t="s">
        <v>29</v>
      </c>
      <c r="B17" s="6">
        <v>0</v>
      </c>
      <c r="C17" s="1">
        <v>0</v>
      </c>
      <c r="D17" s="1">
        <v>0</v>
      </c>
      <c r="E17" s="1">
        <v>0</v>
      </c>
      <c r="F17" s="1">
        <v>0</v>
      </c>
      <c r="G17" s="9">
        <f>SUM(HI_FINANCIAL)</f>
        <v>0</v>
      </c>
      <c r="I17" s="13"/>
      <c r="J17" s="16"/>
      <c r="L17" s="6"/>
      <c r="V17" s="9"/>
    </row>
    <row r="18" spans="1:22">
      <c r="A18" s="1" t="s">
        <v>30</v>
      </c>
      <c r="B18" s="6">
        <v>0</v>
      </c>
      <c r="C18" s="1">
        <v>0</v>
      </c>
      <c r="D18" s="1">
        <v>0</v>
      </c>
      <c r="E18" s="1">
        <v>0</v>
      </c>
      <c r="F18" s="1">
        <v>0</v>
      </c>
      <c r="G18" s="9">
        <f>SUM(ID_FINANCIAL)</f>
        <v>0</v>
      </c>
      <c r="I18" s="13" t="s">
        <v>31</v>
      </c>
      <c r="J18" s="16"/>
      <c r="L18" s="6"/>
      <c r="V18" s="9"/>
    </row>
    <row r="19" spans="1:22">
      <c r="A19" s="1" t="s">
        <v>32</v>
      </c>
      <c r="B19" s="6">
        <v>1472982.1189739003</v>
      </c>
      <c r="C19" s="1">
        <v>0</v>
      </c>
      <c r="D19" s="1">
        <v>0</v>
      </c>
      <c r="E19" s="1">
        <v>0</v>
      </c>
      <c r="F19" s="1">
        <v>0</v>
      </c>
      <c r="G19" s="9">
        <f>SUM(IL_FINANCIAL)</f>
        <v>1472982.1189739003</v>
      </c>
      <c r="I19" s="13" t="s">
        <v>33</v>
      </c>
      <c r="J19" s="16">
        <v>17500000</v>
      </c>
      <c r="L19" s="6">
        <v>2000000</v>
      </c>
      <c r="M19" s="1">
        <v>685800</v>
      </c>
      <c r="O19" s="1">
        <v>0</v>
      </c>
      <c r="P19" s="1">
        <v>0</v>
      </c>
      <c r="R19" s="1">
        <v>0</v>
      </c>
      <c r="S19" s="1">
        <v>0</v>
      </c>
      <c r="U19" s="1">
        <v>0</v>
      </c>
      <c r="V19" s="9">
        <v>0</v>
      </c>
    </row>
    <row r="20" spans="1:22">
      <c r="A20" s="1" t="s">
        <v>34</v>
      </c>
      <c r="B20" s="6">
        <v>879944.19468794228</v>
      </c>
      <c r="C20" s="1">
        <v>0</v>
      </c>
      <c r="D20" s="1">
        <v>156.11487679448868</v>
      </c>
      <c r="E20" s="1">
        <v>0</v>
      </c>
      <c r="F20" s="1">
        <v>0</v>
      </c>
      <c r="G20" s="9">
        <f>SUM(IN_FINANCIAL)</f>
        <v>880100.30956473679</v>
      </c>
      <c r="I20" s="13" t="s">
        <v>35</v>
      </c>
      <c r="J20" s="16">
        <v>-2163321.5408549192</v>
      </c>
      <c r="L20" s="6">
        <v>997214</v>
      </c>
      <c r="M20" s="1">
        <v>0</v>
      </c>
      <c r="O20" s="1">
        <v>0</v>
      </c>
      <c r="P20" s="1">
        <v>0</v>
      </c>
      <c r="R20" s="1">
        <v>0</v>
      </c>
      <c r="S20" s="1">
        <v>0</v>
      </c>
      <c r="U20" s="1">
        <v>0</v>
      </c>
      <c r="V20" s="9">
        <v>0</v>
      </c>
    </row>
    <row r="21" spans="1:22">
      <c r="A21" s="1" t="s">
        <v>36</v>
      </c>
      <c r="B21" s="6">
        <v>61626.433643122728</v>
      </c>
      <c r="C21" s="1">
        <v>0</v>
      </c>
      <c r="D21" s="1">
        <v>16.150190079001373</v>
      </c>
      <c r="E21" s="1">
        <v>0</v>
      </c>
      <c r="F21" s="1">
        <v>0</v>
      </c>
      <c r="G21" s="9">
        <f>SUM(IA_FINANCIAL)</f>
        <v>61642.58383320173</v>
      </c>
      <c r="I21" s="13" t="s">
        <v>37</v>
      </c>
      <c r="J21" s="16"/>
      <c r="L21" s="6"/>
      <c r="V21" s="9"/>
    </row>
    <row r="22" spans="1:22">
      <c r="A22" s="1" t="s">
        <v>38</v>
      </c>
      <c r="B22" s="6">
        <v>0</v>
      </c>
      <c r="C22" s="1">
        <v>0</v>
      </c>
      <c r="D22" s="1">
        <v>0</v>
      </c>
      <c r="E22" s="1">
        <v>0</v>
      </c>
      <c r="F22" s="1">
        <v>0</v>
      </c>
      <c r="G22" s="9">
        <f>SUM(KS_FINANCIAL)</f>
        <v>0</v>
      </c>
      <c r="I22" s="13" t="s">
        <v>39</v>
      </c>
      <c r="J22" s="16">
        <v>3921282.799993061</v>
      </c>
      <c r="L22" s="6"/>
      <c r="V22" s="9"/>
    </row>
    <row r="23" spans="1:22">
      <c r="A23" s="1" t="s">
        <v>40</v>
      </c>
      <c r="B23" s="6">
        <v>1212487.4429485656</v>
      </c>
      <c r="C23" s="1">
        <v>0</v>
      </c>
      <c r="D23" s="1">
        <v>1356.8883641811449</v>
      </c>
      <c r="E23" s="1">
        <v>0</v>
      </c>
      <c r="F23" s="1">
        <v>0</v>
      </c>
      <c r="G23" s="9">
        <f>SUM(KY_FINANCIAL)</f>
        <v>1213844.3313127467</v>
      </c>
      <c r="I23" s="13" t="s">
        <v>41</v>
      </c>
      <c r="J23" s="16"/>
      <c r="L23" s="6">
        <v>1404695</v>
      </c>
      <c r="M23" s="1">
        <v>355472</v>
      </c>
      <c r="O23" s="1">
        <v>0</v>
      </c>
      <c r="P23" s="1">
        <v>0</v>
      </c>
      <c r="R23" s="1">
        <v>0</v>
      </c>
      <c r="S23" s="1">
        <v>0</v>
      </c>
      <c r="U23" s="1">
        <v>0</v>
      </c>
      <c r="V23" s="9">
        <v>0</v>
      </c>
    </row>
    <row r="24" spans="1:22">
      <c r="A24" s="1" t="s">
        <v>42</v>
      </c>
      <c r="B24" s="6">
        <v>416523.03375072649</v>
      </c>
      <c r="C24" s="1">
        <v>0</v>
      </c>
      <c r="D24" s="1">
        <v>575.39360717695706</v>
      </c>
      <c r="E24" s="1">
        <v>0</v>
      </c>
      <c r="F24" s="1">
        <v>0</v>
      </c>
      <c r="G24" s="9">
        <f>SUM(LA_FINANCIAL)</f>
        <v>417098.42735790345</v>
      </c>
      <c r="I24" s="13" t="s">
        <v>43</v>
      </c>
      <c r="J24" s="16">
        <v>1492897.0000000002</v>
      </c>
      <c r="L24" s="6">
        <v>570000</v>
      </c>
      <c r="M24" s="1">
        <v>0</v>
      </c>
      <c r="O24" s="1">
        <v>0</v>
      </c>
      <c r="P24" s="1">
        <v>0</v>
      </c>
      <c r="R24" s="1">
        <v>2000</v>
      </c>
      <c r="S24" s="1">
        <v>0</v>
      </c>
      <c r="U24" s="1">
        <v>0</v>
      </c>
      <c r="V24" s="9">
        <v>0</v>
      </c>
    </row>
    <row r="25" spans="1:22">
      <c r="A25" s="1" t="s">
        <v>44</v>
      </c>
      <c r="B25" s="6">
        <v>0</v>
      </c>
      <c r="C25" s="1">
        <v>0</v>
      </c>
      <c r="D25" s="1">
        <v>0</v>
      </c>
      <c r="E25" s="1">
        <v>0</v>
      </c>
      <c r="F25" s="1">
        <v>0</v>
      </c>
      <c r="G25" s="9">
        <f>SUM(ME_FINANCIAL)</f>
        <v>0</v>
      </c>
      <c r="I25" s="13"/>
      <c r="J25" s="16"/>
      <c r="L25" s="6"/>
      <c r="V25" s="9"/>
    </row>
    <row r="26" spans="1:22">
      <c r="A26" s="1" t="s">
        <v>45</v>
      </c>
      <c r="B26" s="6">
        <v>0</v>
      </c>
      <c r="C26" s="1">
        <v>0</v>
      </c>
      <c r="D26" s="1">
        <v>0</v>
      </c>
      <c r="E26" s="1">
        <v>0</v>
      </c>
      <c r="F26" s="1">
        <v>0</v>
      </c>
      <c r="G26" s="9">
        <f>SUM(MD_FINANCIAL)</f>
        <v>0</v>
      </c>
      <c r="I26" s="13" t="s">
        <v>46</v>
      </c>
      <c r="J26" s="16">
        <f>SUM(ADD_FINANCIAL)-SUM(LESS_FINANCIAL)</f>
        <v>8883218.3851282075</v>
      </c>
      <c r="L26" s="6"/>
      <c r="V26" s="9"/>
    </row>
    <row r="27" spans="1:22">
      <c r="A27" s="1" t="s">
        <v>47</v>
      </c>
      <c r="B27" s="6">
        <v>0</v>
      </c>
      <c r="C27" s="1">
        <v>0</v>
      </c>
      <c r="D27" s="1">
        <v>0</v>
      </c>
      <c r="E27" s="1">
        <v>0</v>
      </c>
      <c r="F27" s="1">
        <v>0</v>
      </c>
      <c r="G27" s="9">
        <f>SUM(MA_FINANCIAL)</f>
        <v>0</v>
      </c>
      <c r="I27" s="13" t="s">
        <v>48</v>
      </c>
      <c r="J27" s="16">
        <f>SUM(ALL_BLOCKS)</f>
        <v>8883218.3851282038</v>
      </c>
      <c r="L27" s="6"/>
      <c r="V27" s="9"/>
    </row>
    <row r="28" spans="1:22">
      <c r="A28" s="1" t="s">
        <v>49</v>
      </c>
      <c r="B28" s="6">
        <v>90703.06442772827</v>
      </c>
      <c r="C28" s="1">
        <v>0</v>
      </c>
      <c r="D28" s="1">
        <v>692.97299411172162</v>
      </c>
      <c r="E28" s="1">
        <v>0</v>
      </c>
      <c r="F28" s="1">
        <v>0</v>
      </c>
      <c r="G28" s="9">
        <f>SUM(MI_FINANCIAL)</f>
        <v>91396.037421839996</v>
      </c>
      <c r="I28" s="14"/>
      <c r="J28" s="17"/>
      <c r="L28" s="6"/>
      <c r="V28" s="9"/>
    </row>
    <row r="29" spans="1:22">
      <c r="A29" s="1" t="s">
        <v>50</v>
      </c>
      <c r="B29" s="6">
        <v>0</v>
      </c>
      <c r="C29" s="1">
        <v>0</v>
      </c>
      <c r="D29" s="1">
        <v>0</v>
      </c>
      <c r="E29" s="1">
        <v>0</v>
      </c>
      <c r="F29" s="1">
        <v>0</v>
      </c>
      <c r="G29" s="9">
        <f>SUM(MN_FINANCIAL)</f>
        <v>0</v>
      </c>
      <c r="L29" s="6"/>
      <c r="V29" s="9"/>
    </row>
    <row r="30" spans="1:22">
      <c r="A30" s="1" t="s">
        <v>51</v>
      </c>
      <c r="B30" s="6">
        <v>22125.209195383406</v>
      </c>
      <c r="C30" s="1">
        <v>0</v>
      </c>
      <c r="D30" s="1">
        <v>6144.6333282299865</v>
      </c>
      <c r="E30" s="1">
        <v>0</v>
      </c>
      <c r="F30" s="1">
        <v>0</v>
      </c>
      <c r="G30" s="9">
        <f>SUM(MS_FINANCIAL)</f>
        <v>28269.842523613392</v>
      </c>
      <c r="L30" s="6"/>
      <c r="V30" s="9"/>
    </row>
    <row r="31" spans="1:22">
      <c r="A31" s="1" t="s">
        <v>52</v>
      </c>
      <c r="B31" s="6">
        <v>140094.50264423055</v>
      </c>
      <c r="C31" s="1">
        <v>0</v>
      </c>
      <c r="D31" s="1">
        <v>0</v>
      </c>
      <c r="E31" s="1">
        <v>0</v>
      </c>
      <c r="F31" s="1">
        <v>0</v>
      </c>
      <c r="G31" s="9">
        <f>SUM(MO_FINANCIAL)</f>
        <v>140094.50264423055</v>
      </c>
      <c r="L31" s="6"/>
      <c r="V31" s="9"/>
    </row>
    <row r="32" spans="1:22">
      <c r="A32" s="1" t="s">
        <v>53</v>
      </c>
      <c r="B32" s="6">
        <v>0</v>
      </c>
      <c r="C32" s="1">
        <v>0</v>
      </c>
      <c r="D32" s="1">
        <v>0</v>
      </c>
      <c r="E32" s="1">
        <v>0</v>
      </c>
      <c r="F32" s="1">
        <v>0</v>
      </c>
      <c r="G32" s="9">
        <f>SUM(MT_FINANCIAL)</f>
        <v>0</v>
      </c>
      <c r="L32" s="6"/>
      <c r="V32" s="9"/>
    </row>
    <row r="33" spans="1:22">
      <c r="A33" s="1" t="s">
        <v>54</v>
      </c>
      <c r="B33" s="6">
        <v>0</v>
      </c>
      <c r="C33" s="1">
        <v>0</v>
      </c>
      <c r="D33" s="1">
        <v>0</v>
      </c>
      <c r="E33" s="1">
        <v>0</v>
      </c>
      <c r="F33" s="1">
        <v>0</v>
      </c>
      <c r="G33" s="9">
        <f>SUM(NE_FINANCIAL)</f>
        <v>0</v>
      </c>
      <c r="L33" s="6"/>
      <c r="V33" s="9"/>
    </row>
    <row r="34" spans="1:22">
      <c r="A34" s="1" t="s">
        <v>55</v>
      </c>
      <c r="B34" s="6">
        <v>0</v>
      </c>
      <c r="C34" s="1">
        <v>0</v>
      </c>
      <c r="D34" s="1">
        <v>0</v>
      </c>
      <c r="E34" s="1">
        <v>0</v>
      </c>
      <c r="F34" s="1">
        <v>0</v>
      </c>
      <c r="G34" s="9">
        <f>SUM(NV_FINANCIAL)</f>
        <v>0</v>
      </c>
      <c r="L34" s="6"/>
      <c r="V34" s="9"/>
    </row>
    <row r="35" spans="1:22">
      <c r="A35" s="1" t="s">
        <v>56</v>
      </c>
      <c r="B35" s="6">
        <v>0</v>
      </c>
      <c r="C35" s="1">
        <v>0</v>
      </c>
      <c r="D35" s="1">
        <v>0</v>
      </c>
      <c r="E35" s="1">
        <v>0</v>
      </c>
      <c r="F35" s="1">
        <v>0</v>
      </c>
      <c r="G35" s="9">
        <f>SUM(NH_FINANCIAL)</f>
        <v>0</v>
      </c>
      <c r="L35" s="6"/>
      <c r="V35" s="9"/>
    </row>
    <row r="36" spans="1:22">
      <c r="A36" s="1" t="s">
        <v>57</v>
      </c>
      <c r="B36" s="6">
        <v>0</v>
      </c>
      <c r="C36" s="1">
        <v>0</v>
      </c>
      <c r="D36" s="1">
        <v>0</v>
      </c>
      <c r="E36" s="1">
        <v>0</v>
      </c>
      <c r="F36" s="1">
        <v>0</v>
      </c>
      <c r="G36" s="9">
        <f>SUM(NJ_FINANCIAL)</f>
        <v>0</v>
      </c>
      <c r="L36" s="6"/>
      <c r="V36" s="9"/>
    </row>
    <row r="37" spans="1:22">
      <c r="A37" s="1" t="s">
        <v>58</v>
      </c>
      <c r="B37" s="6">
        <v>0</v>
      </c>
      <c r="C37" s="1">
        <v>0</v>
      </c>
      <c r="D37" s="1">
        <v>0</v>
      </c>
      <c r="E37" s="1">
        <v>0</v>
      </c>
      <c r="F37" s="1">
        <v>0</v>
      </c>
      <c r="G37" s="9">
        <f>SUM(NM_FINANCIAL)</f>
        <v>0</v>
      </c>
      <c r="L37" s="6"/>
      <c r="V37" s="9"/>
    </row>
    <row r="38" spans="1:22">
      <c r="A38" s="1" t="s">
        <v>59</v>
      </c>
      <c r="B38" s="6">
        <v>0</v>
      </c>
      <c r="C38" s="1">
        <v>0</v>
      </c>
      <c r="D38" s="1">
        <v>0</v>
      </c>
      <c r="E38" s="1">
        <v>0</v>
      </c>
      <c r="F38" s="1">
        <v>0</v>
      </c>
      <c r="G38" s="9">
        <f>SUM(NY_FINANCIAL)</f>
        <v>0</v>
      </c>
      <c r="L38" s="6"/>
      <c r="V38" s="9"/>
    </row>
    <row r="39" spans="1:22">
      <c r="A39" s="1" t="s">
        <v>60</v>
      </c>
      <c r="B39" s="6">
        <v>0</v>
      </c>
      <c r="C39" s="1">
        <v>0</v>
      </c>
      <c r="D39" s="1">
        <v>0</v>
      </c>
      <c r="E39" s="1">
        <v>0</v>
      </c>
      <c r="F39" s="1">
        <v>0</v>
      </c>
      <c r="G39" s="9">
        <f>SUM(NC_FINANCIAL)</f>
        <v>0</v>
      </c>
      <c r="L39" s="6"/>
      <c r="V39" s="9"/>
    </row>
    <row r="40" spans="1:22">
      <c r="A40" s="1" t="s">
        <v>61</v>
      </c>
      <c r="B40" s="6">
        <v>0</v>
      </c>
      <c r="C40" s="1">
        <v>0</v>
      </c>
      <c r="D40" s="1">
        <v>0</v>
      </c>
      <c r="E40" s="1">
        <v>0</v>
      </c>
      <c r="F40" s="1">
        <v>0</v>
      </c>
      <c r="G40" s="9">
        <f>SUM(ND_FINANCIAL)</f>
        <v>0</v>
      </c>
      <c r="L40" s="6"/>
      <c r="V40" s="9"/>
    </row>
    <row r="41" spans="1:22">
      <c r="A41" s="1" t="s">
        <v>62</v>
      </c>
      <c r="B41" s="6">
        <v>825238.7376584115</v>
      </c>
      <c r="C41" s="1">
        <v>0</v>
      </c>
      <c r="D41" s="1">
        <v>16.149222700055343</v>
      </c>
      <c r="E41" s="1">
        <v>0</v>
      </c>
      <c r="F41" s="1">
        <v>0</v>
      </c>
      <c r="G41" s="9">
        <f>SUM(OH_FINANCIAL)</f>
        <v>825254.88688111154</v>
      </c>
      <c r="L41" s="6">
        <v>1000000</v>
      </c>
      <c r="M41" s="1">
        <v>0</v>
      </c>
      <c r="O41" s="1">
        <v>0</v>
      </c>
      <c r="P41" s="1">
        <v>0</v>
      </c>
      <c r="R41" s="1">
        <v>0</v>
      </c>
      <c r="S41" s="1">
        <v>0</v>
      </c>
      <c r="U41" s="1">
        <v>0</v>
      </c>
      <c r="V41" s="9">
        <v>0</v>
      </c>
    </row>
    <row r="42" spans="1:22">
      <c r="A42" s="1" t="s">
        <v>63</v>
      </c>
      <c r="B42" s="6">
        <v>0</v>
      </c>
      <c r="C42" s="1">
        <v>0</v>
      </c>
      <c r="D42" s="1">
        <v>0</v>
      </c>
      <c r="E42" s="1">
        <v>0</v>
      </c>
      <c r="F42" s="1">
        <v>0</v>
      </c>
      <c r="G42" s="9">
        <f>SUM(OK_FINANCIAL)</f>
        <v>0</v>
      </c>
      <c r="L42" s="6"/>
      <c r="V42" s="9"/>
    </row>
    <row r="43" spans="1:22">
      <c r="A43" s="1" t="s">
        <v>64</v>
      </c>
      <c r="B43" s="6">
        <v>0</v>
      </c>
      <c r="C43" s="1">
        <v>0</v>
      </c>
      <c r="D43" s="1">
        <v>0</v>
      </c>
      <c r="E43" s="1">
        <v>0</v>
      </c>
      <c r="F43" s="1">
        <v>0</v>
      </c>
      <c r="G43" s="9">
        <f>SUM(OR_FINANCIAL)</f>
        <v>0</v>
      </c>
      <c r="L43" s="6"/>
      <c r="V43" s="9"/>
    </row>
    <row r="44" spans="1:22">
      <c r="A44" s="1" t="s">
        <v>65</v>
      </c>
      <c r="B44" s="6">
        <v>0</v>
      </c>
      <c r="C44" s="1">
        <v>0</v>
      </c>
      <c r="D44" s="1">
        <v>0</v>
      </c>
      <c r="E44" s="1">
        <v>0</v>
      </c>
      <c r="F44" s="1">
        <v>0</v>
      </c>
      <c r="G44" s="9">
        <f>SUM(PA_FINANCIAL)</f>
        <v>0</v>
      </c>
      <c r="L44" s="6"/>
      <c r="V44" s="9"/>
    </row>
    <row r="45" spans="1:22">
      <c r="A45" s="1" t="s">
        <v>66</v>
      </c>
      <c r="B45" s="6">
        <v>0</v>
      </c>
      <c r="C45" s="1">
        <v>0</v>
      </c>
      <c r="D45" s="1">
        <v>0</v>
      </c>
      <c r="E45" s="1">
        <v>0</v>
      </c>
      <c r="F45" s="1">
        <v>0</v>
      </c>
      <c r="G45" s="9">
        <f>SUM(PR_FINANCIAL)</f>
        <v>0</v>
      </c>
      <c r="L45" s="6"/>
      <c r="V45" s="9"/>
    </row>
    <row r="46" spans="1:22">
      <c r="A46" s="1" t="s">
        <v>67</v>
      </c>
      <c r="B46" s="6">
        <v>0</v>
      </c>
      <c r="C46" s="1">
        <v>0</v>
      </c>
      <c r="D46" s="1">
        <v>0</v>
      </c>
      <c r="E46" s="1">
        <v>0</v>
      </c>
      <c r="F46" s="1">
        <v>0</v>
      </c>
      <c r="G46" s="9">
        <f>SUM(RI_FINANCIAL)</f>
        <v>0</v>
      </c>
      <c r="L46" s="6"/>
      <c r="V46" s="9"/>
    </row>
    <row r="47" spans="1:22">
      <c r="A47" s="1" t="s">
        <v>68</v>
      </c>
      <c r="B47" s="6">
        <v>0</v>
      </c>
      <c r="C47" s="1">
        <v>0</v>
      </c>
      <c r="D47" s="1">
        <v>0</v>
      </c>
      <c r="E47" s="1">
        <v>0</v>
      </c>
      <c r="F47" s="1">
        <v>0</v>
      </c>
      <c r="G47" s="9">
        <f>SUM(SC_FINANCIAL)</f>
        <v>0</v>
      </c>
      <c r="L47" s="6"/>
      <c r="V47" s="9"/>
    </row>
    <row r="48" spans="1:22">
      <c r="A48" s="1" t="s">
        <v>69</v>
      </c>
      <c r="B48" s="6">
        <v>0</v>
      </c>
      <c r="C48" s="1">
        <v>0</v>
      </c>
      <c r="D48" s="1">
        <v>0</v>
      </c>
      <c r="E48" s="1">
        <v>0</v>
      </c>
      <c r="F48" s="1">
        <v>0</v>
      </c>
      <c r="G48" s="9">
        <f>SUM(SD_FINANCIAL)</f>
        <v>0</v>
      </c>
      <c r="L48" s="6"/>
      <c r="V48" s="9"/>
    </row>
    <row r="49" spans="1:22">
      <c r="A49" s="1" t="s">
        <v>70</v>
      </c>
      <c r="B49" s="6">
        <v>0</v>
      </c>
      <c r="C49" s="1">
        <v>0</v>
      </c>
      <c r="D49" s="1">
        <v>0</v>
      </c>
      <c r="E49" s="1">
        <v>0</v>
      </c>
      <c r="F49" s="1">
        <v>0</v>
      </c>
      <c r="G49" s="9">
        <f>SUM(TN_FINANCIAL)</f>
        <v>0</v>
      </c>
      <c r="L49" s="6"/>
      <c r="V49" s="9"/>
    </row>
    <row r="50" spans="1:22">
      <c r="A50" s="1" t="s">
        <v>71</v>
      </c>
      <c r="B50" s="6">
        <v>0</v>
      </c>
      <c r="C50" s="1">
        <v>0</v>
      </c>
      <c r="D50" s="1">
        <v>0</v>
      </c>
      <c r="E50" s="1">
        <v>0</v>
      </c>
      <c r="F50" s="1">
        <v>0</v>
      </c>
      <c r="G50" s="9">
        <f>SUM(TX_FINANCIAL)</f>
        <v>0</v>
      </c>
      <c r="L50" s="6"/>
      <c r="V50" s="9"/>
    </row>
    <row r="51" spans="1:22">
      <c r="A51" s="1" t="s">
        <v>72</v>
      </c>
      <c r="B51" s="6">
        <v>0</v>
      </c>
      <c r="C51" s="1">
        <v>0</v>
      </c>
      <c r="D51" s="1">
        <v>0</v>
      </c>
      <c r="E51" s="1">
        <v>0</v>
      </c>
      <c r="F51" s="1">
        <v>0</v>
      </c>
      <c r="G51" s="9">
        <f>SUM(UT_FINANCIAL)</f>
        <v>0</v>
      </c>
      <c r="L51" s="6"/>
      <c r="V51" s="9"/>
    </row>
    <row r="52" spans="1:22">
      <c r="A52" s="1" t="s">
        <v>73</v>
      </c>
      <c r="B52" s="6">
        <v>0</v>
      </c>
      <c r="C52" s="1">
        <v>0</v>
      </c>
      <c r="D52" s="1">
        <v>0</v>
      </c>
      <c r="E52" s="1">
        <v>0</v>
      </c>
      <c r="F52" s="1">
        <v>0</v>
      </c>
      <c r="G52" s="9">
        <f>SUM(VT_FINANCIAL)</f>
        <v>0</v>
      </c>
      <c r="L52" s="6"/>
      <c r="V52" s="9"/>
    </row>
    <row r="53" spans="1:22">
      <c r="A53" s="1" t="s">
        <v>74</v>
      </c>
      <c r="B53" s="6">
        <v>0</v>
      </c>
      <c r="C53" s="1">
        <v>0</v>
      </c>
      <c r="D53" s="1">
        <v>0</v>
      </c>
      <c r="E53" s="1">
        <v>0</v>
      </c>
      <c r="F53" s="1">
        <v>0</v>
      </c>
      <c r="G53" s="9">
        <f>SUM(VA_FINANCIAL)</f>
        <v>0</v>
      </c>
      <c r="L53" s="6"/>
      <c r="V53" s="9"/>
    </row>
    <row r="54" spans="1:22">
      <c r="A54" s="1" t="s">
        <v>75</v>
      </c>
      <c r="B54" s="6">
        <v>101.33371753558548</v>
      </c>
      <c r="C54" s="1">
        <v>0</v>
      </c>
      <c r="D54" s="1">
        <v>0</v>
      </c>
      <c r="E54" s="1">
        <v>0</v>
      </c>
      <c r="F54" s="1">
        <v>0</v>
      </c>
      <c r="G54" s="9">
        <f>SUM(WA_FINANCIAL)</f>
        <v>101.33371753558548</v>
      </c>
      <c r="L54" s="6"/>
      <c r="V54" s="9"/>
    </row>
    <row r="55" spans="1:22">
      <c r="A55" s="1" t="s">
        <v>76</v>
      </c>
      <c r="B55" s="6">
        <v>0</v>
      </c>
      <c r="C55" s="1">
        <v>0</v>
      </c>
      <c r="D55" s="1">
        <v>0</v>
      </c>
      <c r="E55" s="1">
        <v>0</v>
      </c>
      <c r="F55" s="1">
        <v>0</v>
      </c>
      <c r="G55" s="9">
        <f>SUM(WV_FINANCIAL)</f>
        <v>0</v>
      </c>
      <c r="L55" s="6"/>
      <c r="V55" s="9"/>
    </row>
    <row r="56" spans="1:22">
      <c r="A56" s="1" t="s">
        <v>77</v>
      </c>
      <c r="B56" s="6">
        <v>2700861.2397903497</v>
      </c>
      <c r="C56" s="1">
        <v>0</v>
      </c>
      <c r="D56" s="1">
        <v>0</v>
      </c>
      <c r="E56" s="1">
        <v>0</v>
      </c>
      <c r="F56" s="1">
        <v>0</v>
      </c>
      <c r="G56" s="9">
        <f>SUM(WI_FINANCIAL)</f>
        <v>2700861.2397903497</v>
      </c>
      <c r="L56" s="6">
        <v>3300000</v>
      </c>
      <c r="M56" s="1">
        <v>0</v>
      </c>
      <c r="O56" s="1">
        <v>0</v>
      </c>
      <c r="P56" s="1">
        <v>0</v>
      </c>
      <c r="R56" s="1">
        <v>0</v>
      </c>
      <c r="S56" s="1">
        <v>0</v>
      </c>
      <c r="U56" s="1">
        <v>0</v>
      </c>
      <c r="V56" s="9">
        <v>0</v>
      </c>
    </row>
    <row r="57" spans="1:22">
      <c r="A57" s="1" t="s">
        <v>78</v>
      </c>
      <c r="B57" s="6">
        <v>0</v>
      </c>
      <c r="C57" s="1">
        <v>0</v>
      </c>
      <c r="D57" s="1">
        <v>0</v>
      </c>
      <c r="E57" s="1">
        <v>0</v>
      </c>
      <c r="F57" s="1">
        <v>0</v>
      </c>
      <c r="G57" s="9">
        <f>SUM(WY_FINANCIAL)</f>
        <v>0</v>
      </c>
      <c r="L57" s="6"/>
      <c r="V57" s="9"/>
    </row>
    <row r="58" spans="1:22">
      <c r="A58" s="1" t="s">
        <v>79</v>
      </c>
      <c r="B58" s="6">
        <v>0</v>
      </c>
      <c r="C58" s="1">
        <v>0</v>
      </c>
      <c r="D58" s="1">
        <v>0</v>
      </c>
      <c r="E58" s="1">
        <v>0</v>
      </c>
      <c r="F58" s="1">
        <v>0</v>
      </c>
      <c r="G58" s="9">
        <f>SUM(OT_FINANCIAL)</f>
        <v>0</v>
      </c>
      <c r="L58" s="6"/>
      <c r="V58" s="9"/>
    </row>
    <row r="59" spans="1:22">
      <c r="B59" s="6"/>
      <c r="G59" s="9"/>
      <c r="L59" s="6"/>
      <c r="V59" s="9"/>
    </row>
    <row r="60" spans="1:22">
      <c r="A60" s="1" t="s">
        <v>8</v>
      </c>
      <c r="B60" s="6">
        <f>SUM(LIFE)</f>
        <v>8707270.0434274822</v>
      </c>
      <c r="C60" s="1">
        <f>SUM(ALLOCATED)</f>
        <v>151402.52384007059</v>
      </c>
      <c r="D60" s="1">
        <f>SUM(HEALTH)</f>
        <v>24545.817860651736</v>
      </c>
      <c r="E60" s="1">
        <f>SUM(UNALLOCATED)</f>
        <v>0</v>
      </c>
      <c r="F60" s="1">
        <f>SUM(LTC)</f>
        <v>0</v>
      </c>
      <c r="G60" s="9">
        <f>SUM(ALL_BLOCKS)</f>
        <v>8883218.3851282038</v>
      </c>
      <c r="L60" s="6">
        <f>SUM(LIFE_CALLED)</f>
        <v>11271909</v>
      </c>
      <c r="M60" s="1">
        <f>SUM(LIFE_REFUNDED)</f>
        <v>1041272</v>
      </c>
      <c r="O60" s="1">
        <f>SUM(ALLOC_CALLED)</f>
        <v>1401485</v>
      </c>
      <c r="P60" s="1">
        <f>SUM(ALLOC_REFUNDED)</f>
        <v>0</v>
      </c>
      <c r="R60" s="1">
        <f>SUM(HEALTH_CALLED)</f>
        <v>122000</v>
      </c>
      <c r="S60" s="1">
        <f>SUM(HEALTH_REFUNDED)</f>
        <v>0</v>
      </c>
      <c r="U60" s="1">
        <f>SUM(UNALLOC_CALLED)</f>
        <v>0</v>
      </c>
      <c r="V60" s="9">
        <f>SUM(UNALLOC_REFUNDED)</f>
        <v>0</v>
      </c>
    </row>
    <row r="61" spans="1:22" ht="5.0999999999999996" customHeight="1">
      <c r="B61" s="6"/>
      <c r="G61" s="9"/>
      <c r="L61" s="6"/>
      <c r="V61" s="9"/>
    </row>
    <row r="62" spans="1:22">
      <c r="B62" s="6"/>
      <c r="G62" s="9"/>
      <c r="L62" s="78" t="s">
        <v>80</v>
      </c>
      <c r="M62" s="79"/>
      <c r="N62" s="79"/>
      <c r="O62" s="79"/>
      <c r="P62" s="79"/>
      <c r="Q62" s="79"/>
      <c r="R62" s="79"/>
      <c r="S62" s="79"/>
      <c r="T62" s="79"/>
      <c r="U62" s="79"/>
      <c r="V62" s="80"/>
    </row>
    <row r="63" spans="1:22">
      <c r="B63" s="6"/>
      <c r="G63" s="9"/>
      <c r="L63" s="81"/>
      <c r="M63" s="79"/>
      <c r="N63" s="79"/>
      <c r="O63" s="79"/>
      <c r="P63" s="79"/>
      <c r="Q63" s="79"/>
      <c r="R63" s="79"/>
      <c r="S63" s="79"/>
      <c r="T63" s="79"/>
      <c r="U63" s="79"/>
      <c r="V63" s="80"/>
    </row>
    <row r="64" spans="1:22">
      <c r="B64" s="8"/>
      <c r="C64" s="5"/>
      <c r="D64" s="5"/>
      <c r="E64" s="5"/>
      <c r="F64" s="5"/>
      <c r="G64" s="11"/>
      <c r="L64" s="82"/>
      <c r="M64" s="83"/>
      <c r="N64" s="83"/>
      <c r="O64" s="83"/>
      <c r="P64" s="83"/>
      <c r="Q64" s="83"/>
      <c r="R64" s="83"/>
      <c r="S64" s="83"/>
      <c r="T64" s="83"/>
      <c r="U64" s="83"/>
      <c r="V64" s="84"/>
    </row>
  </sheetData>
  <mergeCells count="8">
    <mergeCell ref="L62:V64"/>
    <mergeCell ref="A1:G1"/>
    <mergeCell ref="B3:G3"/>
    <mergeCell ref="L3:V3"/>
    <mergeCell ref="L4:M4"/>
    <mergeCell ref="O4:P4"/>
    <mergeCell ref="R4:S4"/>
    <mergeCell ref="U4:V4"/>
  </mergeCells>
  <pageMargins left="0" right="0" top="0" bottom="0" header="0" footer="0"/>
  <pageSetup scale="48"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V64"/>
  <sheetViews>
    <sheetView zoomScale="75" workbookViewId="0">
      <selection sqref="A1:G1"/>
    </sheetView>
  </sheetViews>
  <sheetFormatPr defaultColWidth="9.109375" defaultRowHeight="14.4"/>
  <cols>
    <col min="1" max="1" width="20" style="1" customWidth="1"/>
    <col min="2" max="7" width="15" style="1" customWidth="1"/>
    <col min="8" max="8" width="1" style="1" customWidth="1"/>
    <col min="9" max="9" width="30" style="1" customWidth="1"/>
    <col min="10" max="10" width="15" style="1" customWidth="1"/>
    <col min="11" max="11" width="1" style="1" customWidth="1"/>
    <col min="12" max="13" width="15" style="1" customWidth="1"/>
    <col min="14" max="14" width="1" style="1" customWidth="1"/>
    <col min="15" max="16" width="15" style="1" customWidth="1"/>
    <col min="17" max="17" width="1" style="1" customWidth="1"/>
    <col min="18" max="19" width="15" style="1" customWidth="1"/>
    <col min="20" max="20" width="1" style="1" customWidth="1"/>
    <col min="21" max="22" width="15" style="1" customWidth="1"/>
    <col min="23" max="23" width="9.109375" style="1" customWidth="1"/>
    <col min="24" max="16384" width="9.109375" style="1"/>
  </cols>
  <sheetData>
    <row r="1" spans="1:22">
      <c r="A1" s="85" t="s">
        <v>105</v>
      </c>
      <c r="B1" s="79"/>
      <c r="C1" s="79"/>
      <c r="D1" s="79"/>
      <c r="E1" s="79"/>
      <c r="F1" s="79"/>
      <c r="G1" s="79"/>
    </row>
    <row r="3" spans="1:22">
      <c r="B3" s="86" t="s">
        <v>1</v>
      </c>
      <c r="C3" s="87"/>
      <c r="D3" s="87"/>
      <c r="E3" s="87"/>
      <c r="F3" s="87"/>
      <c r="G3" s="88"/>
      <c r="L3" s="89" t="s">
        <v>2</v>
      </c>
      <c r="M3" s="90"/>
      <c r="N3" s="90"/>
      <c r="O3" s="90"/>
      <c r="P3" s="90"/>
      <c r="Q3" s="90"/>
      <c r="R3" s="90"/>
      <c r="S3" s="90"/>
      <c r="T3" s="90"/>
      <c r="U3" s="90"/>
      <c r="V3" s="91"/>
    </row>
    <row r="4" spans="1:22">
      <c r="B4" s="6"/>
      <c r="G4" s="9"/>
      <c r="L4" s="92" t="s">
        <v>3</v>
      </c>
      <c r="M4" s="93"/>
      <c r="N4" s="3"/>
      <c r="O4" s="94" t="s">
        <v>4</v>
      </c>
      <c r="P4" s="93"/>
      <c r="Q4" s="3"/>
      <c r="R4" s="94" t="s">
        <v>5</v>
      </c>
      <c r="S4" s="93"/>
      <c r="T4" s="3"/>
      <c r="U4" s="94" t="s">
        <v>6</v>
      </c>
      <c r="V4" s="95"/>
    </row>
    <row r="5" spans="1:22" ht="60" customHeight="1">
      <c r="B5" s="7" t="s">
        <v>3</v>
      </c>
      <c r="C5" s="4" t="s">
        <v>4</v>
      </c>
      <c r="D5" s="4" t="s">
        <v>5</v>
      </c>
      <c r="E5" s="4" t="s">
        <v>6</v>
      </c>
      <c r="F5" s="4" t="s">
        <v>7</v>
      </c>
      <c r="G5" s="10" t="s">
        <v>8</v>
      </c>
      <c r="L5" s="19" t="s">
        <v>9</v>
      </c>
      <c r="M5" s="18" t="s">
        <v>10</v>
      </c>
      <c r="N5" s="18"/>
      <c r="O5" s="18" t="s">
        <v>9</v>
      </c>
      <c r="P5" s="18" t="s">
        <v>10</v>
      </c>
      <c r="Q5" s="18"/>
      <c r="R5" s="18" t="s">
        <v>9</v>
      </c>
      <c r="S5" s="18" t="s">
        <v>10</v>
      </c>
      <c r="T5" s="18"/>
      <c r="U5" s="18" t="s">
        <v>9</v>
      </c>
      <c r="V5" s="20" t="s">
        <v>10</v>
      </c>
    </row>
    <row r="6" spans="1:22">
      <c r="A6" s="1" t="s">
        <v>11</v>
      </c>
      <c r="B6" s="6">
        <v>0</v>
      </c>
      <c r="C6" s="1">
        <v>0</v>
      </c>
      <c r="D6" s="1">
        <v>0</v>
      </c>
      <c r="E6" s="1">
        <v>0</v>
      </c>
      <c r="F6" s="1">
        <v>0</v>
      </c>
      <c r="G6" s="9">
        <f>SUM(AL_FINANCIAL)</f>
        <v>0</v>
      </c>
      <c r="L6" s="6"/>
      <c r="V6" s="9"/>
    </row>
    <row r="7" spans="1:22">
      <c r="A7" s="1" t="s">
        <v>12</v>
      </c>
      <c r="B7" s="6">
        <v>0</v>
      </c>
      <c r="C7" s="1">
        <v>0</v>
      </c>
      <c r="D7" s="1">
        <v>0</v>
      </c>
      <c r="E7" s="1">
        <v>0</v>
      </c>
      <c r="F7" s="1">
        <v>0</v>
      </c>
      <c r="G7" s="9">
        <f>SUM(AK_FINANCIAL)</f>
        <v>0</v>
      </c>
      <c r="I7" s="12"/>
      <c r="J7" s="15"/>
      <c r="L7" s="6"/>
      <c r="V7" s="9"/>
    </row>
    <row r="8" spans="1:22">
      <c r="A8" s="1" t="s">
        <v>13</v>
      </c>
      <c r="B8" s="6">
        <v>0</v>
      </c>
      <c r="C8" s="1">
        <v>0</v>
      </c>
      <c r="D8" s="1">
        <v>0</v>
      </c>
      <c r="E8" s="1">
        <v>0</v>
      </c>
      <c r="F8" s="1">
        <v>0</v>
      </c>
      <c r="G8" s="9">
        <f>SUM(AZ_FINANCIAL)</f>
        <v>0</v>
      </c>
      <c r="I8" s="13" t="s">
        <v>14</v>
      </c>
      <c r="J8" s="16"/>
      <c r="L8" s="6"/>
      <c r="V8" s="9"/>
    </row>
    <row r="9" spans="1:22">
      <c r="A9" s="1" t="s">
        <v>15</v>
      </c>
      <c r="B9" s="6">
        <v>0</v>
      </c>
      <c r="C9" s="1">
        <v>0</v>
      </c>
      <c r="D9" s="1">
        <v>0</v>
      </c>
      <c r="E9" s="1">
        <v>0</v>
      </c>
      <c r="F9" s="1">
        <v>0</v>
      </c>
      <c r="G9" s="9">
        <f>SUM(AR_FINANCIAL)</f>
        <v>0</v>
      </c>
      <c r="I9" s="13"/>
      <c r="J9" s="16"/>
      <c r="L9" s="6"/>
      <c r="V9" s="9"/>
    </row>
    <row r="10" spans="1:22">
      <c r="A10" s="1" t="s">
        <v>16</v>
      </c>
      <c r="B10" s="6">
        <v>0</v>
      </c>
      <c r="C10" s="1">
        <v>0</v>
      </c>
      <c r="D10" s="1">
        <v>0</v>
      </c>
      <c r="E10" s="1">
        <v>0</v>
      </c>
      <c r="F10" s="1">
        <v>0</v>
      </c>
      <c r="G10" s="9">
        <f>SUM(CA_FINANCIAL)</f>
        <v>0</v>
      </c>
      <c r="I10" s="13" t="s">
        <v>17</v>
      </c>
      <c r="J10" s="16">
        <v>37107863.440000005</v>
      </c>
      <c r="L10" s="6"/>
      <c r="V10" s="9"/>
    </row>
    <row r="11" spans="1:22">
      <c r="A11" s="1" t="s">
        <v>18</v>
      </c>
      <c r="B11" s="6">
        <v>0</v>
      </c>
      <c r="C11" s="1">
        <v>0</v>
      </c>
      <c r="D11" s="1">
        <v>0</v>
      </c>
      <c r="E11" s="1">
        <v>0</v>
      </c>
      <c r="F11" s="1">
        <v>0</v>
      </c>
      <c r="G11" s="9">
        <f>SUM(CO_FINANCIAL)</f>
        <v>0</v>
      </c>
      <c r="I11" s="13"/>
      <c r="J11" s="16"/>
      <c r="L11" s="6"/>
      <c r="V11" s="9"/>
    </row>
    <row r="12" spans="1:22">
      <c r="A12" s="1" t="s">
        <v>19</v>
      </c>
      <c r="B12" s="6">
        <v>0</v>
      </c>
      <c r="C12" s="1">
        <v>0</v>
      </c>
      <c r="D12" s="1">
        <v>0</v>
      </c>
      <c r="E12" s="1">
        <v>0</v>
      </c>
      <c r="F12" s="1">
        <v>0</v>
      </c>
      <c r="G12" s="9">
        <f>SUM(CT_FINANCIAL)</f>
        <v>0</v>
      </c>
      <c r="I12" s="13" t="s">
        <v>20</v>
      </c>
      <c r="J12" s="16"/>
      <c r="L12" s="6"/>
      <c r="V12" s="9"/>
    </row>
    <row r="13" spans="1:22">
      <c r="A13" s="1" t="s">
        <v>21</v>
      </c>
      <c r="B13" s="6">
        <v>0</v>
      </c>
      <c r="C13" s="1">
        <v>0</v>
      </c>
      <c r="D13" s="1">
        <v>0</v>
      </c>
      <c r="E13" s="1">
        <v>0</v>
      </c>
      <c r="F13" s="1">
        <v>0</v>
      </c>
      <c r="G13" s="9">
        <f>SUM(DE_FINANCIAL)</f>
        <v>0</v>
      </c>
      <c r="I13" s="13" t="s">
        <v>22</v>
      </c>
      <c r="J13" s="16">
        <v>36211540.130000003</v>
      </c>
      <c r="L13" s="6"/>
      <c r="V13" s="9"/>
    </row>
    <row r="14" spans="1:22">
      <c r="A14" s="1" t="s">
        <v>23</v>
      </c>
      <c r="B14" s="6">
        <v>0</v>
      </c>
      <c r="C14" s="1">
        <v>0</v>
      </c>
      <c r="D14" s="1">
        <v>0</v>
      </c>
      <c r="E14" s="1">
        <v>0</v>
      </c>
      <c r="F14" s="1">
        <v>0</v>
      </c>
      <c r="G14" s="9">
        <f>SUM(DC_FINANCIAL)</f>
        <v>0</v>
      </c>
      <c r="I14" s="13" t="s">
        <v>24</v>
      </c>
      <c r="J14" s="16">
        <v>4253331.22</v>
      </c>
      <c r="L14" s="6"/>
      <c r="V14" s="9"/>
    </row>
    <row r="15" spans="1:22">
      <c r="A15" s="1" t="s">
        <v>25</v>
      </c>
      <c r="B15" s="6">
        <v>0</v>
      </c>
      <c r="C15" s="1">
        <v>0</v>
      </c>
      <c r="D15" s="1">
        <v>0</v>
      </c>
      <c r="E15" s="1">
        <v>0</v>
      </c>
      <c r="F15" s="1">
        <v>0</v>
      </c>
      <c r="G15" s="9">
        <f>SUM(FL_FINANCIAL)</f>
        <v>0</v>
      </c>
      <c r="I15" s="13" t="s">
        <v>26</v>
      </c>
      <c r="J15" s="16">
        <v>0</v>
      </c>
      <c r="L15" s="6"/>
      <c r="V15" s="9"/>
    </row>
    <row r="16" spans="1:22">
      <c r="A16" s="1" t="s">
        <v>27</v>
      </c>
      <c r="B16" s="6">
        <v>0</v>
      </c>
      <c r="C16" s="1">
        <v>0</v>
      </c>
      <c r="D16" s="1">
        <v>0</v>
      </c>
      <c r="E16" s="1">
        <v>0</v>
      </c>
      <c r="F16" s="1">
        <v>0</v>
      </c>
      <c r="G16" s="9">
        <f>SUM(GA_FINANCIAL)</f>
        <v>0</v>
      </c>
      <c r="I16" s="13" t="s">
        <v>28</v>
      </c>
      <c r="J16" s="16">
        <v>300000</v>
      </c>
      <c r="L16" s="6"/>
      <c r="V16" s="9"/>
    </row>
    <row r="17" spans="1:22">
      <c r="A17" s="1" t="s">
        <v>29</v>
      </c>
      <c r="B17" s="6">
        <v>0</v>
      </c>
      <c r="C17" s="1">
        <v>0</v>
      </c>
      <c r="D17" s="1">
        <v>0</v>
      </c>
      <c r="E17" s="1">
        <v>0</v>
      </c>
      <c r="F17" s="1">
        <v>0</v>
      </c>
      <c r="G17" s="9">
        <f>SUM(HI_FINANCIAL)</f>
        <v>0</v>
      </c>
      <c r="I17" s="13"/>
      <c r="J17" s="16"/>
      <c r="L17" s="6"/>
      <c r="V17" s="9"/>
    </row>
    <row r="18" spans="1:22">
      <c r="A18" s="1" t="s">
        <v>30</v>
      </c>
      <c r="B18" s="6">
        <v>0</v>
      </c>
      <c r="C18" s="1">
        <v>0</v>
      </c>
      <c r="D18" s="1">
        <v>0</v>
      </c>
      <c r="E18" s="1">
        <v>0</v>
      </c>
      <c r="F18" s="1">
        <v>0</v>
      </c>
      <c r="G18" s="9">
        <f>SUM(ID_FINANCIAL)</f>
        <v>0</v>
      </c>
      <c r="I18" s="13" t="s">
        <v>31</v>
      </c>
      <c r="J18" s="16"/>
      <c r="L18" s="6"/>
      <c r="V18" s="9"/>
    </row>
    <row r="19" spans="1:22">
      <c r="A19" s="1" t="s">
        <v>32</v>
      </c>
      <c r="B19" s="6">
        <v>0</v>
      </c>
      <c r="C19" s="1">
        <v>0</v>
      </c>
      <c r="D19" s="1">
        <v>0</v>
      </c>
      <c r="E19" s="1">
        <v>0</v>
      </c>
      <c r="F19" s="1">
        <v>0</v>
      </c>
      <c r="G19" s="9">
        <f>SUM(IL_FINANCIAL)</f>
        <v>0</v>
      </c>
      <c r="I19" s="13" t="s">
        <v>33</v>
      </c>
      <c r="J19" s="16">
        <v>0</v>
      </c>
      <c r="L19" s="6"/>
      <c r="V19" s="9"/>
    </row>
    <row r="20" spans="1:22">
      <c r="A20" s="1" t="s">
        <v>34</v>
      </c>
      <c r="B20" s="6">
        <v>0</v>
      </c>
      <c r="C20" s="1">
        <v>0</v>
      </c>
      <c r="D20" s="1">
        <v>0</v>
      </c>
      <c r="E20" s="1">
        <v>0</v>
      </c>
      <c r="F20" s="1">
        <v>0</v>
      </c>
      <c r="G20" s="9">
        <f>SUM(IN_FINANCIAL)</f>
        <v>0</v>
      </c>
      <c r="I20" s="13" t="s">
        <v>35</v>
      </c>
      <c r="J20" s="16">
        <v>37107863.440000005</v>
      </c>
      <c r="L20" s="6"/>
      <c r="V20" s="9"/>
    </row>
    <row r="21" spans="1:22">
      <c r="A21" s="1" t="s">
        <v>36</v>
      </c>
      <c r="B21" s="6">
        <v>0</v>
      </c>
      <c r="C21" s="1">
        <v>0</v>
      </c>
      <c r="D21" s="1">
        <v>0</v>
      </c>
      <c r="E21" s="1">
        <v>0</v>
      </c>
      <c r="F21" s="1">
        <v>0</v>
      </c>
      <c r="G21" s="9">
        <f>SUM(IA_FINANCIAL)</f>
        <v>0</v>
      </c>
      <c r="I21" s="13" t="s">
        <v>37</v>
      </c>
      <c r="J21" s="16"/>
      <c r="L21" s="6"/>
      <c r="V21" s="9"/>
    </row>
    <row r="22" spans="1:22">
      <c r="A22" s="1" t="s">
        <v>38</v>
      </c>
      <c r="B22" s="6">
        <v>0</v>
      </c>
      <c r="C22" s="1">
        <v>0</v>
      </c>
      <c r="D22" s="1">
        <v>0</v>
      </c>
      <c r="E22" s="1">
        <v>0</v>
      </c>
      <c r="F22" s="1">
        <v>0</v>
      </c>
      <c r="G22" s="9">
        <f>SUM(KS_FINANCIAL)</f>
        <v>0</v>
      </c>
      <c r="I22" s="13" t="s">
        <v>39</v>
      </c>
      <c r="J22" s="16">
        <v>0</v>
      </c>
      <c r="L22" s="6"/>
      <c r="V22" s="9"/>
    </row>
    <row r="23" spans="1:22">
      <c r="A23" s="1" t="s">
        <v>40</v>
      </c>
      <c r="B23" s="6">
        <v>0</v>
      </c>
      <c r="C23" s="1">
        <v>0</v>
      </c>
      <c r="D23" s="1">
        <v>0</v>
      </c>
      <c r="E23" s="1">
        <v>0</v>
      </c>
      <c r="F23" s="1">
        <v>0</v>
      </c>
      <c r="G23" s="9">
        <f>SUM(KY_FINANCIAL)</f>
        <v>0</v>
      </c>
      <c r="I23" s="13" t="s">
        <v>41</v>
      </c>
      <c r="J23" s="16"/>
      <c r="L23" s="6"/>
      <c r="V23" s="9"/>
    </row>
    <row r="24" spans="1:22">
      <c r="A24" s="1" t="s">
        <v>42</v>
      </c>
      <c r="B24" s="6">
        <v>0</v>
      </c>
      <c r="C24" s="1">
        <v>0</v>
      </c>
      <c r="D24" s="1">
        <v>0</v>
      </c>
      <c r="E24" s="1">
        <v>0</v>
      </c>
      <c r="F24" s="1">
        <v>0</v>
      </c>
      <c r="G24" s="9">
        <f>SUM(LA_FINANCIAL)</f>
        <v>0</v>
      </c>
      <c r="I24" s="13" t="s">
        <v>43</v>
      </c>
      <c r="J24" s="16">
        <v>5980622.3899999997</v>
      </c>
      <c r="L24" s="6"/>
      <c r="V24" s="9"/>
    </row>
    <row r="25" spans="1:22">
      <c r="A25" s="1" t="s">
        <v>44</v>
      </c>
      <c r="B25" s="6">
        <v>0</v>
      </c>
      <c r="C25" s="1">
        <v>0</v>
      </c>
      <c r="D25" s="1">
        <v>0</v>
      </c>
      <c r="E25" s="1">
        <v>0</v>
      </c>
      <c r="F25" s="1">
        <v>0</v>
      </c>
      <c r="G25" s="9">
        <f>SUM(ME_FINANCIAL)</f>
        <v>0</v>
      </c>
      <c r="I25" s="13"/>
      <c r="J25" s="16"/>
      <c r="L25" s="6"/>
      <c r="V25" s="9"/>
    </row>
    <row r="26" spans="1:22">
      <c r="A26" s="1" t="s">
        <v>45</v>
      </c>
      <c r="B26" s="6">
        <v>0</v>
      </c>
      <c r="C26" s="1">
        <v>0</v>
      </c>
      <c r="D26" s="1">
        <v>0</v>
      </c>
      <c r="E26" s="1">
        <v>0</v>
      </c>
      <c r="F26" s="1">
        <v>0</v>
      </c>
      <c r="G26" s="9">
        <f>SUM(MD_FINANCIAL)</f>
        <v>0</v>
      </c>
      <c r="I26" s="13" t="s">
        <v>46</v>
      </c>
      <c r="J26" s="16">
        <f>SUM(ADD_FINANCIAL)-SUM(LESS_FINANCIAL)</f>
        <v>34784248.960000001</v>
      </c>
      <c r="L26" s="6"/>
      <c r="V26" s="9"/>
    </row>
    <row r="27" spans="1:22">
      <c r="A27" s="1" t="s">
        <v>47</v>
      </c>
      <c r="B27" s="6">
        <v>0</v>
      </c>
      <c r="C27" s="1">
        <v>0</v>
      </c>
      <c r="D27" s="1">
        <v>0</v>
      </c>
      <c r="E27" s="1">
        <v>0</v>
      </c>
      <c r="F27" s="1">
        <v>0</v>
      </c>
      <c r="G27" s="9">
        <f>SUM(MA_FINANCIAL)</f>
        <v>0</v>
      </c>
      <c r="I27" s="13" t="s">
        <v>48</v>
      </c>
      <c r="J27" s="16">
        <f>SUM(ALL_BLOCKS)</f>
        <v>34784248.960000001</v>
      </c>
      <c r="L27" s="6"/>
      <c r="V27" s="9"/>
    </row>
    <row r="28" spans="1:22">
      <c r="A28" s="1" t="s">
        <v>49</v>
      </c>
      <c r="B28" s="6">
        <v>0</v>
      </c>
      <c r="C28" s="1">
        <v>0</v>
      </c>
      <c r="D28" s="1">
        <v>0</v>
      </c>
      <c r="E28" s="1">
        <v>0</v>
      </c>
      <c r="F28" s="1">
        <v>0</v>
      </c>
      <c r="G28" s="9">
        <f>SUM(MI_FINANCIAL)</f>
        <v>0</v>
      </c>
      <c r="I28" s="14"/>
      <c r="J28" s="17"/>
      <c r="L28" s="6"/>
      <c r="V28" s="9"/>
    </row>
    <row r="29" spans="1:22">
      <c r="A29" s="1" t="s">
        <v>50</v>
      </c>
      <c r="B29" s="6">
        <v>0</v>
      </c>
      <c r="C29" s="1">
        <v>0</v>
      </c>
      <c r="D29" s="1">
        <v>0</v>
      </c>
      <c r="E29" s="1">
        <v>0</v>
      </c>
      <c r="F29" s="1">
        <v>0</v>
      </c>
      <c r="G29" s="9">
        <f>SUM(MN_FINANCIAL)</f>
        <v>0</v>
      </c>
      <c r="L29" s="6"/>
      <c r="V29" s="9"/>
    </row>
    <row r="30" spans="1:22">
      <c r="A30" s="1" t="s">
        <v>51</v>
      </c>
      <c r="B30" s="6">
        <v>0</v>
      </c>
      <c r="C30" s="1">
        <v>0</v>
      </c>
      <c r="D30" s="1">
        <v>0</v>
      </c>
      <c r="E30" s="1">
        <v>0</v>
      </c>
      <c r="F30" s="1">
        <v>0</v>
      </c>
      <c r="G30" s="9">
        <f>SUM(MS_FINANCIAL)</f>
        <v>0</v>
      </c>
      <c r="L30" s="6"/>
      <c r="V30" s="9"/>
    </row>
    <row r="31" spans="1:22">
      <c r="A31" s="1" t="s">
        <v>52</v>
      </c>
      <c r="B31" s="6">
        <v>0</v>
      </c>
      <c r="C31" s="1">
        <v>0</v>
      </c>
      <c r="D31" s="1">
        <v>0</v>
      </c>
      <c r="E31" s="1">
        <v>0</v>
      </c>
      <c r="F31" s="1">
        <v>0</v>
      </c>
      <c r="G31" s="9">
        <f>SUM(MO_FINANCIAL)</f>
        <v>0</v>
      </c>
      <c r="L31" s="6"/>
      <c r="V31" s="9"/>
    </row>
    <row r="32" spans="1:22">
      <c r="A32" s="1" t="s">
        <v>53</v>
      </c>
      <c r="B32" s="6">
        <v>0</v>
      </c>
      <c r="C32" s="1">
        <v>0</v>
      </c>
      <c r="D32" s="1">
        <v>0</v>
      </c>
      <c r="E32" s="1">
        <v>0</v>
      </c>
      <c r="F32" s="1">
        <v>0</v>
      </c>
      <c r="G32" s="9">
        <f>SUM(MT_FINANCIAL)</f>
        <v>0</v>
      </c>
      <c r="L32" s="6"/>
      <c r="V32" s="9"/>
    </row>
    <row r="33" spans="1:22">
      <c r="A33" s="1" t="s">
        <v>54</v>
      </c>
      <c r="B33" s="6">
        <v>0</v>
      </c>
      <c r="C33" s="1">
        <v>0</v>
      </c>
      <c r="D33" s="1">
        <v>0</v>
      </c>
      <c r="E33" s="1">
        <v>0</v>
      </c>
      <c r="F33" s="1">
        <v>0</v>
      </c>
      <c r="G33" s="9">
        <f>SUM(NE_FINANCIAL)</f>
        <v>0</v>
      </c>
      <c r="L33" s="6"/>
      <c r="V33" s="9"/>
    </row>
    <row r="34" spans="1:22">
      <c r="A34" s="1" t="s">
        <v>55</v>
      </c>
      <c r="B34" s="6">
        <v>0</v>
      </c>
      <c r="C34" s="1">
        <v>0</v>
      </c>
      <c r="D34" s="1">
        <v>0</v>
      </c>
      <c r="E34" s="1">
        <v>0</v>
      </c>
      <c r="F34" s="1">
        <v>0</v>
      </c>
      <c r="G34" s="9">
        <f>SUM(NV_FINANCIAL)</f>
        <v>0</v>
      </c>
      <c r="L34" s="6"/>
      <c r="V34" s="9"/>
    </row>
    <row r="35" spans="1:22">
      <c r="A35" s="1" t="s">
        <v>56</v>
      </c>
      <c r="B35" s="6">
        <v>0</v>
      </c>
      <c r="C35" s="1">
        <v>0</v>
      </c>
      <c r="D35" s="1">
        <v>0</v>
      </c>
      <c r="E35" s="1">
        <v>0</v>
      </c>
      <c r="F35" s="1">
        <v>0</v>
      </c>
      <c r="G35" s="9">
        <f>SUM(NH_FINANCIAL)</f>
        <v>0</v>
      </c>
      <c r="L35" s="6"/>
      <c r="V35" s="9"/>
    </row>
    <row r="36" spans="1:22">
      <c r="A36" s="1" t="s">
        <v>57</v>
      </c>
      <c r="B36" s="6">
        <v>0</v>
      </c>
      <c r="C36" s="1">
        <v>0</v>
      </c>
      <c r="D36" s="1">
        <v>0</v>
      </c>
      <c r="E36" s="1">
        <v>0</v>
      </c>
      <c r="F36" s="1">
        <v>0</v>
      </c>
      <c r="G36" s="9">
        <f>SUM(NJ_FINANCIAL)</f>
        <v>0</v>
      </c>
      <c r="L36" s="6"/>
      <c r="V36" s="9"/>
    </row>
    <row r="37" spans="1:22">
      <c r="A37" s="1" t="s">
        <v>58</v>
      </c>
      <c r="B37" s="6">
        <v>0</v>
      </c>
      <c r="C37" s="1">
        <v>0</v>
      </c>
      <c r="D37" s="1">
        <v>0</v>
      </c>
      <c r="E37" s="1">
        <v>0</v>
      </c>
      <c r="F37" s="1">
        <v>0</v>
      </c>
      <c r="G37" s="9">
        <f>SUM(NM_FINANCIAL)</f>
        <v>0</v>
      </c>
      <c r="L37" s="6"/>
      <c r="V37" s="9"/>
    </row>
    <row r="38" spans="1:22">
      <c r="A38" s="1" t="s">
        <v>59</v>
      </c>
      <c r="B38" s="6">
        <v>0</v>
      </c>
      <c r="C38" s="1">
        <v>0</v>
      </c>
      <c r="D38" s="1">
        <v>0</v>
      </c>
      <c r="E38" s="1">
        <v>0</v>
      </c>
      <c r="F38" s="1">
        <v>0</v>
      </c>
      <c r="G38" s="9">
        <f>SUM(NY_FINANCIAL)</f>
        <v>0</v>
      </c>
      <c r="L38" s="6"/>
      <c r="V38" s="9"/>
    </row>
    <row r="39" spans="1:22">
      <c r="A39" s="1" t="s">
        <v>60</v>
      </c>
      <c r="B39" s="6">
        <v>0</v>
      </c>
      <c r="C39" s="1">
        <v>0</v>
      </c>
      <c r="D39" s="1">
        <v>0</v>
      </c>
      <c r="E39" s="1">
        <v>0</v>
      </c>
      <c r="F39" s="1">
        <v>0</v>
      </c>
      <c r="G39" s="9">
        <f>SUM(NC_FINANCIAL)</f>
        <v>0</v>
      </c>
      <c r="L39" s="6"/>
      <c r="V39" s="9"/>
    </row>
    <row r="40" spans="1:22">
      <c r="A40" s="1" t="s">
        <v>61</v>
      </c>
      <c r="B40" s="6">
        <v>0</v>
      </c>
      <c r="C40" s="1">
        <v>0</v>
      </c>
      <c r="D40" s="1">
        <v>0</v>
      </c>
      <c r="E40" s="1">
        <v>0</v>
      </c>
      <c r="F40" s="1">
        <v>0</v>
      </c>
      <c r="G40" s="9">
        <f>SUM(ND_FINANCIAL)</f>
        <v>0</v>
      </c>
      <c r="L40" s="6"/>
      <c r="V40" s="9"/>
    </row>
    <row r="41" spans="1:22">
      <c r="A41" s="1" t="s">
        <v>62</v>
      </c>
      <c r="B41" s="6">
        <v>0</v>
      </c>
      <c r="C41" s="1">
        <v>0</v>
      </c>
      <c r="D41" s="1">
        <v>0</v>
      </c>
      <c r="E41" s="1">
        <v>0</v>
      </c>
      <c r="F41" s="1">
        <v>0</v>
      </c>
      <c r="G41" s="9">
        <f>SUM(OH_FINANCIAL)</f>
        <v>0</v>
      </c>
      <c r="L41" s="6"/>
      <c r="V41" s="9"/>
    </row>
    <row r="42" spans="1:22">
      <c r="A42" s="1" t="s">
        <v>63</v>
      </c>
      <c r="B42" s="6">
        <v>0</v>
      </c>
      <c r="C42" s="1">
        <v>0</v>
      </c>
      <c r="D42" s="1">
        <v>0</v>
      </c>
      <c r="E42" s="1">
        <v>0</v>
      </c>
      <c r="F42" s="1">
        <v>0</v>
      </c>
      <c r="G42" s="9">
        <f>SUM(OK_FINANCIAL)</f>
        <v>0</v>
      </c>
      <c r="L42" s="6"/>
      <c r="V42" s="9"/>
    </row>
    <row r="43" spans="1:22">
      <c r="A43" s="1" t="s">
        <v>64</v>
      </c>
      <c r="B43" s="6">
        <v>0</v>
      </c>
      <c r="C43" s="1">
        <v>0</v>
      </c>
      <c r="D43" s="1">
        <v>0</v>
      </c>
      <c r="E43" s="1">
        <v>0</v>
      </c>
      <c r="F43" s="1">
        <v>0</v>
      </c>
      <c r="G43" s="9">
        <f>SUM(OR_FINANCIAL)</f>
        <v>0</v>
      </c>
      <c r="L43" s="6"/>
      <c r="V43" s="9"/>
    </row>
    <row r="44" spans="1:22">
      <c r="A44" s="1" t="s">
        <v>65</v>
      </c>
      <c r="B44" s="6">
        <v>0</v>
      </c>
      <c r="C44" s="1">
        <v>0</v>
      </c>
      <c r="D44" s="1">
        <v>0</v>
      </c>
      <c r="E44" s="1">
        <v>0</v>
      </c>
      <c r="F44" s="1">
        <v>0</v>
      </c>
      <c r="G44" s="9">
        <f>SUM(PA_FINANCIAL)</f>
        <v>0</v>
      </c>
      <c r="L44" s="6"/>
      <c r="V44" s="9"/>
    </row>
    <row r="45" spans="1:22">
      <c r="A45" s="1" t="s">
        <v>66</v>
      </c>
      <c r="B45" s="6">
        <v>0</v>
      </c>
      <c r="C45" s="1">
        <v>0</v>
      </c>
      <c r="D45" s="1">
        <v>0</v>
      </c>
      <c r="E45" s="1">
        <v>0</v>
      </c>
      <c r="F45" s="1">
        <v>0</v>
      </c>
      <c r="G45" s="9">
        <f>SUM(PR_FINANCIAL)</f>
        <v>0</v>
      </c>
      <c r="L45" s="6"/>
      <c r="V45" s="9"/>
    </row>
    <row r="46" spans="1:22">
      <c r="A46" s="1" t="s">
        <v>67</v>
      </c>
      <c r="B46" s="6">
        <v>0</v>
      </c>
      <c r="C46" s="1">
        <v>0</v>
      </c>
      <c r="D46" s="1">
        <v>0</v>
      </c>
      <c r="E46" s="1">
        <v>0</v>
      </c>
      <c r="F46" s="1">
        <v>0</v>
      </c>
      <c r="G46" s="9">
        <f>SUM(RI_FINANCIAL)</f>
        <v>0</v>
      </c>
      <c r="L46" s="6"/>
      <c r="V46" s="9"/>
    </row>
    <row r="47" spans="1:22">
      <c r="A47" s="1" t="s">
        <v>68</v>
      </c>
      <c r="B47" s="6">
        <v>0</v>
      </c>
      <c r="C47" s="1">
        <v>0</v>
      </c>
      <c r="D47" s="1">
        <v>34784248.960000001</v>
      </c>
      <c r="E47" s="1">
        <v>0</v>
      </c>
      <c r="F47" s="1">
        <v>0</v>
      </c>
      <c r="G47" s="9">
        <f>SUM(SC_FINANCIAL)</f>
        <v>34784248.960000001</v>
      </c>
      <c r="L47" s="6">
        <v>0</v>
      </c>
      <c r="M47" s="1">
        <v>0</v>
      </c>
      <c r="O47" s="1">
        <v>0</v>
      </c>
      <c r="P47" s="1">
        <v>0</v>
      </c>
      <c r="R47" s="1">
        <v>48506698</v>
      </c>
      <c r="S47" s="1">
        <v>12548122</v>
      </c>
      <c r="U47" s="1">
        <v>0</v>
      </c>
      <c r="V47" s="9">
        <v>0</v>
      </c>
    </row>
    <row r="48" spans="1:22">
      <c r="A48" s="1" t="s">
        <v>69</v>
      </c>
      <c r="B48" s="6">
        <v>0</v>
      </c>
      <c r="C48" s="1">
        <v>0</v>
      </c>
      <c r="D48" s="1">
        <v>0</v>
      </c>
      <c r="E48" s="1">
        <v>0</v>
      </c>
      <c r="F48" s="1">
        <v>0</v>
      </c>
      <c r="G48" s="9">
        <f>SUM(SD_FINANCIAL)</f>
        <v>0</v>
      </c>
      <c r="L48" s="6"/>
      <c r="V48" s="9"/>
    </row>
    <row r="49" spans="1:22">
      <c r="A49" s="1" t="s">
        <v>70</v>
      </c>
      <c r="B49" s="6">
        <v>0</v>
      </c>
      <c r="C49" s="1">
        <v>0</v>
      </c>
      <c r="D49" s="1">
        <v>0</v>
      </c>
      <c r="E49" s="1">
        <v>0</v>
      </c>
      <c r="F49" s="1">
        <v>0</v>
      </c>
      <c r="G49" s="9">
        <f>SUM(TN_FINANCIAL)</f>
        <v>0</v>
      </c>
      <c r="L49" s="6"/>
      <c r="V49" s="9"/>
    </row>
    <row r="50" spans="1:22">
      <c r="A50" s="1" t="s">
        <v>71</v>
      </c>
      <c r="B50" s="6">
        <v>0</v>
      </c>
      <c r="C50" s="1">
        <v>0</v>
      </c>
      <c r="D50" s="1">
        <v>0</v>
      </c>
      <c r="E50" s="1">
        <v>0</v>
      </c>
      <c r="F50" s="1">
        <v>0</v>
      </c>
      <c r="G50" s="9">
        <f>SUM(TX_FINANCIAL)</f>
        <v>0</v>
      </c>
      <c r="L50" s="6"/>
      <c r="V50" s="9"/>
    </row>
    <row r="51" spans="1:22">
      <c r="A51" s="1" t="s">
        <v>72</v>
      </c>
      <c r="B51" s="6">
        <v>0</v>
      </c>
      <c r="C51" s="1">
        <v>0</v>
      </c>
      <c r="D51" s="1">
        <v>0</v>
      </c>
      <c r="E51" s="1">
        <v>0</v>
      </c>
      <c r="F51" s="1">
        <v>0</v>
      </c>
      <c r="G51" s="9">
        <f>SUM(UT_FINANCIAL)</f>
        <v>0</v>
      </c>
      <c r="L51" s="6"/>
      <c r="V51" s="9"/>
    </row>
    <row r="52" spans="1:22">
      <c r="A52" s="1" t="s">
        <v>73</v>
      </c>
      <c r="B52" s="6">
        <v>0</v>
      </c>
      <c r="C52" s="1">
        <v>0</v>
      </c>
      <c r="D52" s="1">
        <v>0</v>
      </c>
      <c r="E52" s="1">
        <v>0</v>
      </c>
      <c r="F52" s="1">
        <v>0</v>
      </c>
      <c r="G52" s="9">
        <f>SUM(VT_FINANCIAL)</f>
        <v>0</v>
      </c>
      <c r="L52" s="6"/>
      <c r="V52" s="9"/>
    </row>
    <row r="53" spans="1:22">
      <c r="A53" s="1" t="s">
        <v>74</v>
      </c>
      <c r="B53" s="6">
        <v>0</v>
      </c>
      <c r="C53" s="1">
        <v>0</v>
      </c>
      <c r="D53" s="1">
        <v>0</v>
      </c>
      <c r="E53" s="1">
        <v>0</v>
      </c>
      <c r="F53" s="1">
        <v>0</v>
      </c>
      <c r="G53" s="9">
        <f>SUM(VA_FINANCIAL)</f>
        <v>0</v>
      </c>
      <c r="L53" s="6"/>
      <c r="V53" s="9"/>
    </row>
    <row r="54" spans="1:22">
      <c r="A54" s="1" t="s">
        <v>75</v>
      </c>
      <c r="B54" s="6">
        <v>0</v>
      </c>
      <c r="C54" s="1">
        <v>0</v>
      </c>
      <c r="D54" s="1">
        <v>0</v>
      </c>
      <c r="E54" s="1">
        <v>0</v>
      </c>
      <c r="F54" s="1">
        <v>0</v>
      </c>
      <c r="G54" s="9">
        <f>SUM(WA_FINANCIAL)</f>
        <v>0</v>
      </c>
      <c r="L54" s="6"/>
      <c r="V54" s="9"/>
    </row>
    <row r="55" spans="1:22">
      <c r="A55" s="1" t="s">
        <v>76</v>
      </c>
      <c r="B55" s="6">
        <v>0</v>
      </c>
      <c r="C55" s="1">
        <v>0</v>
      </c>
      <c r="D55" s="1">
        <v>0</v>
      </c>
      <c r="E55" s="1">
        <v>0</v>
      </c>
      <c r="F55" s="1">
        <v>0</v>
      </c>
      <c r="G55" s="9">
        <f>SUM(WV_FINANCIAL)</f>
        <v>0</v>
      </c>
      <c r="L55" s="6"/>
      <c r="V55" s="9"/>
    </row>
    <row r="56" spans="1:22">
      <c r="A56" s="1" t="s">
        <v>77</v>
      </c>
      <c r="B56" s="6">
        <v>0</v>
      </c>
      <c r="C56" s="1">
        <v>0</v>
      </c>
      <c r="D56" s="1">
        <v>0</v>
      </c>
      <c r="E56" s="1">
        <v>0</v>
      </c>
      <c r="F56" s="1">
        <v>0</v>
      </c>
      <c r="G56" s="9">
        <f>SUM(WI_FINANCIAL)</f>
        <v>0</v>
      </c>
      <c r="L56" s="6"/>
      <c r="V56" s="9"/>
    </row>
    <row r="57" spans="1:22">
      <c r="A57" s="1" t="s">
        <v>78</v>
      </c>
      <c r="B57" s="6">
        <v>0</v>
      </c>
      <c r="C57" s="1">
        <v>0</v>
      </c>
      <c r="D57" s="1">
        <v>0</v>
      </c>
      <c r="E57" s="1">
        <v>0</v>
      </c>
      <c r="F57" s="1">
        <v>0</v>
      </c>
      <c r="G57" s="9">
        <f>SUM(WY_FINANCIAL)</f>
        <v>0</v>
      </c>
      <c r="L57" s="6"/>
      <c r="V57" s="9"/>
    </row>
    <row r="58" spans="1:22">
      <c r="A58" s="1" t="s">
        <v>79</v>
      </c>
      <c r="B58" s="6">
        <v>0</v>
      </c>
      <c r="C58" s="1">
        <v>0</v>
      </c>
      <c r="D58" s="1">
        <v>0</v>
      </c>
      <c r="E58" s="1">
        <v>0</v>
      </c>
      <c r="F58" s="1">
        <v>0</v>
      </c>
      <c r="G58" s="9">
        <f>SUM(OT_FINANCIAL)</f>
        <v>0</v>
      </c>
      <c r="L58" s="6"/>
      <c r="V58" s="9"/>
    </row>
    <row r="59" spans="1:22">
      <c r="B59" s="6"/>
      <c r="G59" s="9"/>
      <c r="L59" s="6"/>
      <c r="V59" s="9"/>
    </row>
    <row r="60" spans="1:22">
      <c r="A60" s="1" t="s">
        <v>8</v>
      </c>
      <c r="B60" s="6">
        <f>SUM(LIFE)</f>
        <v>0</v>
      </c>
      <c r="C60" s="1">
        <f>SUM(ALLOCATED)</f>
        <v>0</v>
      </c>
      <c r="D60" s="1">
        <f>SUM(HEALTH)</f>
        <v>34784248.960000001</v>
      </c>
      <c r="E60" s="1">
        <f>SUM(UNALLOCATED)</f>
        <v>0</v>
      </c>
      <c r="F60" s="1">
        <f>SUM(LTC)</f>
        <v>0</v>
      </c>
      <c r="G60" s="9">
        <f>SUM(ALL_BLOCKS)</f>
        <v>34784248.960000001</v>
      </c>
      <c r="L60" s="6">
        <f>SUM(LIFE_CALLED)</f>
        <v>0</v>
      </c>
      <c r="M60" s="1">
        <f>SUM(LIFE_REFUNDED)</f>
        <v>0</v>
      </c>
      <c r="O60" s="1">
        <f>SUM(ALLOC_CALLED)</f>
        <v>0</v>
      </c>
      <c r="P60" s="1">
        <f>SUM(ALLOC_REFUNDED)</f>
        <v>0</v>
      </c>
      <c r="R60" s="1">
        <f>SUM(HEALTH_CALLED)</f>
        <v>48506698</v>
      </c>
      <c r="S60" s="1">
        <f>SUM(HEALTH_REFUNDED)</f>
        <v>12548122</v>
      </c>
      <c r="U60" s="1">
        <f>SUM(UNALLOC_CALLED)</f>
        <v>0</v>
      </c>
      <c r="V60" s="9">
        <f>SUM(UNALLOC_REFUNDED)</f>
        <v>0</v>
      </c>
    </row>
    <row r="61" spans="1:22" ht="5.0999999999999996" customHeight="1">
      <c r="B61" s="6"/>
      <c r="G61" s="9"/>
      <c r="L61" s="6"/>
      <c r="V61" s="9"/>
    </row>
    <row r="62" spans="1:22">
      <c r="B62" s="6"/>
      <c r="G62" s="9"/>
      <c r="L62" s="78" t="s">
        <v>80</v>
      </c>
      <c r="M62" s="79"/>
      <c r="N62" s="79"/>
      <c r="O62" s="79"/>
      <c r="P62" s="79"/>
      <c r="Q62" s="79"/>
      <c r="R62" s="79"/>
      <c r="S62" s="79"/>
      <c r="T62" s="79"/>
      <c r="U62" s="79"/>
      <c r="V62" s="80"/>
    </row>
    <row r="63" spans="1:22">
      <c r="B63" s="6"/>
      <c r="G63" s="9"/>
      <c r="L63" s="81"/>
      <c r="M63" s="79"/>
      <c r="N63" s="79"/>
      <c r="O63" s="79"/>
      <c r="P63" s="79"/>
      <c r="Q63" s="79"/>
      <c r="R63" s="79"/>
      <c r="S63" s="79"/>
      <c r="T63" s="79"/>
      <c r="U63" s="79"/>
      <c r="V63" s="80"/>
    </row>
    <row r="64" spans="1:22">
      <c r="B64" s="8"/>
      <c r="C64" s="5"/>
      <c r="D64" s="5"/>
      <c r="E64" s="5"/>
      <c r="F64" s="5"/>
      <c r="G64" s="11"/>
      <c r="L64" s="82"/>
      <c r="M64" s="83"/>
      <c r="N64" s="83"/>
      <c r="O64" s="83"/>
      <c r="P64" s="83"/>
      <c r="Q64" s="83"/>
      <c r="R64" s="83"/>
      <c r="S64" s="83"/>
      <c r="T64" s="83"/>
      <c r="U64" s="83"/>
      <c r="V64" s="84"/>
    </row>
  </sheetData>
  <mergeCells count="8">
    <mergeCell ref="L62:V64"/>
    <mergeCell ref="A1:G1"/>
    <mergeCell ref="B3:G3"/>
    <mergeCell ref="L3:V3"/>
    <mergeCell ref="L4:M4"/>
    <mergeCell ref="O4:P4"/>
    <mergeCell ref="R4:S4"/>
    <mergeCell ref="U4:V4"/>
  </mergeCells>
  <pageMargins left="0" right="0" top="0" bottom="0" header="0" footer="0"/>
  <pageSetup scale="48"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V64"/>
  <sheetViews>
    <sheetView zoomScale="75" workbookViewId="0">
      <selection sqref="A1:G1"/>
    </sheetView>
  </sheetViews>
  <sheetFormatPr defaultColWidth="9.109375" defaultRowHeight="14.4"/>
  <cols>
    <col min="1" max="1" width="20" style="1" customWidth="1"/>
    <col min="2" max="7" width="15" style="1" customWidth="1"/>
    <col min="8" max="8" width="1" style="1" customWidth="1"/>
    <col min="9" max="9" width="30" style="1" customWidth="1"/>
    <col min="10" max="10" width="15" style="1" customWidth="1"/>
    <col min="11" max="11" width="1" style="1" customWidth="1"/>
    <col min="12" max="13" width="15" style="1" customWidth="1"/>
    <col min="14" max="14" width="1" style="1" customWidth="1"/>
    <col min="15" max="16" width="15" style="1" customWidth="1"/>
    <col min="17" max="17" width="1" style="1" customWidth="1"/>
    <col min="18" max="19" width="15" style="1" customWidth="1"/>
    <col min="20" max="20" width="1" style="1" customWidth="1"/>
    <col min="21" max="22" width="15" style="1" customWidth="1"/>
    <col min="23" max="23" width="9.109375" style="1" customWidth="1"/>
    <col min="24" max="16384" width="9.109375" style="1"/>
  </cols>
  <sheetData>
    <row r="1" spans="1:22">
      <c r="A1" s="85" t="s">
        <v>106</v>
      </c>
      <c r="B1" s="79"/>
      <c r="C1" s="79"/>
      <c r="D1" s="79"/>
      <c r="E1" s="79"/>
      <c r="F1" s="79"/>
      <c r="G1" s="79"/>
    </row>
    <row r="3" spans="1:22">
      <c r="B3" s="86" t="s">
        <v>1</v>
      </c>
      <c r="C3" s="87"/>
      <c r="D3" s="87"/>
      <c r="E3" s="87"/>
      <c r="F3" s="87"/>
      <c r="G3" s="88"/>
      <c r="L3" s="89" t="s">
        <v>2</v>
      </c>
      <c r="M3" s="90"/>
      <c r="N3" s="90"/>
      <c r="O3" s="90"/>
      <c r="P3" s="90"/>
      <c r="Q3" s="90"/>
      <c r="R3" s="90"/>
      <c r="S3" s="90"/>
      <c r="T3" s="90"/>
      <c r="U3" s="90"/>
      <c r="V3" s="91"/>
    </row>
    <row r="4" spans="1:22">
      <c r="B4" s="6"/>
      <c r="G4" s="9"/>
      <c r="L4" s="92" t="s">
        <v>3</v>
      </c>
      <c r="M4" s="93"/>
      <c r="N4" s="3"/>
      <c r="O4" s="94" t="s">
        <v>4</v>
      </c>
      <c r="P4" s="93"/>
      <c r="Q4" s="3"/>
      <c r="R4" s="94" t="s">
        <v>5</v>
      </c>
      <c r="S4" s="93"/>
      <c r="T4" s="3"/>
      <c r="U4" s="94" t="s">
        <v>6</v>
      </c>
      <c r="V4" s="95"/>
    </row>
    <row r="5" spans="1:22" ht="60" customHeight="1">
      <c r="B5" s="7" t="s">
        <v>3</v>
      </c>
      <c r="C5" s="4" t="s">
        <v>4</v>
      </c>
      <c r="D5" s="4" t="s">
        <v>5</v>
      </c>
      <c r="E5" s="4" t="s">
        <v>6</v>
      </c>
      <c r="F5" s="4" t="s">
        <v>7</v>
      </c>
      <c r="G5" s="10" t="s">
        <v>8</v>
      </c>
      <c r="L5" s="19" t="s">
        <v>9</v>
      </c>
      <c r="M5" s="18" t="s">
        <v>10</v>
      </c>
      <c r="N5" s="18"/>
      <c r="O5" s="18" t="s">
        <v>9</v>
      </c>
      <c r="P5" s="18" t="s">
        <v>10</v>
      </c>
      <c r="Q5" s="18"/>
      <c r="R5" s="18" t="s">
        <v>9</v>
      </c>
      <c r="S5" s="18" t="s">
        <v>10</v>
      </c>
      <c r="T5" s="18"/>
      <c r="U5" s="18" t="s">
        <v>9</v>
      </c>
      <c r="V5" s="20" t="s">
        <v>10</v>
      </c>
    </row>
    <row r="6" spans="1:22">
      <c r="A6" s="1" t="s">
        <v>11</v>
      </c>
      <c r="B6" s="6">
        <v>0</v>
      </c>
      <c r="C6" s="1">
        <v>0</v>
      </c>
      <c r="D6" s="1">
        <v>0</v>
      </c>
      <c r="E6" s="1">
        <v>0</v>
      </c>
      <c r="F6" s="1">
        <v>0</v>
      </c>
      <c r="G6" s="9">
        <f>SUM(AL_FINANCIAL)</f>
        <v>0</v>
      </c>
      <c r="L6" s="6"/>
      <c r="V6" s="9"/>
    </row>
    <row r="7" spans="1:22">
      <c r="A7" s="1" t="s">
        <v>12</v>
      </c>
      <c r="B7" s="6">
        <v>0</v>
      </c>
      <c r="C7" s="1">
        <v>0</v>
      </c>
      <c r="D7" s="1">
        <v>0</v>
      </c>
      <c r="E7" s="1">
        <v>0</v>
      </c>
      <c r="F7" s="1">
        <v>0</v>
      </c>
      <c r="G7" s="9">
        <f>SUM(AK_FINANCIAL)</f>
        <v>0</v>
      </c>
      <c r="I7" s="12"/>
      <c r="J7" s="15"/>
      <c r="L7" s="6"/>
      <c r="V7" s="9"/>
    </row>
    <row r="8" spans="1:22">
      <c r="A8" s="1" t="s">
        <v>13</v>
      </c>
      <c r="B8" s="6">
        <v>0</v>
      </c>
      <c r="C8" s="1">
        <v>0</v>
      </c>
      <c r="D8" s="1">
        <v>0</v>
      </c>
      <c r="E8" s="1">
        <v>0</v>
      </c>
      <c r="F8" s="1">
        <v>0</v>
      </c>
      <c r="G8" s="9">
        <f>SUM(AZ_FINANCIAL)</f>
        <v>0</v>
      </c>
      <c r="I8" s="13" t="s">
        <v>14</v>
      </c>
      <c r="J8" s="16"/>
      <c r="L8" s="6"/>
      <c r="V8" s="9"/>
    </row>
    <row r="9" spans="1:22">
      <c r="A9" s="1" t="s">
        <v>15</v>
      </c>
      <c r="B9" s="6">
        <v>0</v>
      </c>
      <c r="C9" s="1">
        <v>0</v>
      </c>
      <c r="D9" s="1">
        <v>0</v>
      </c>
      <c r="E9" s="1">
        <v>0</v>
      </c>
      <c r="F9" s="1">
        <v>0</v>
      </c>
      <c r="G9" s="9">
        <f>SUM(AR_FINANCIAL)</f>
        <v>0</v>
      </c>
      <c r="I9" s="13"/>
      <c r="J9" s="16"/>
      <c r="L9" s="6"/>
      <c r="V9" s="9"/>
    </row>
    <row r="10" spans="1:22">
      <c r="A10" s="1" t="s">
        <v>16</v>
      </c>
      <c r="B10" s="6">
        <v>0</v>
      </c>
      <c r="C10" s="1">
        <v>0</v>
      </c>
      <c r="D10" s="1">
        <v>0</v>
      </c>
      <c r="E10" s="1">
        <v>0</v>
      </c>
      <c r="F10" s="1">
        <v>0</v>
      </c>
      <c r="G10" s="9">
        <f>SUM(CA_FINANCIAL)</f>
        <v>0</v>
      </c>
      <c r="I10" s="13" t="s">
        <v>17</v>
      </c>
      <c r="J10" s="16">
        <v>14352000</v>
      </c>
      <c r="L10" s="6"/>
      <c r="V10" s="9"/>
    </row>
    <row r="11" spans="1:22">
      <c r="A11" s="1" t="s">
        <v>18</v>
      </c>
      <c r="B11" s="6">
        <v>0</v>
      </c>
      <c r="C11" s="1">
        <v>0</v>
      </c>
      <c r="D11" s="1">
        <v>0</v>
      </c>
      <c r="E11" s="1">
        <v>0</v>
      </c>
      <c r="F11" s="1">
        <v>0</v>
      </c>
      <c r="G11" s="9">
        <f>SUM(CO_FINANCIAL)</f>
        <v>0</v>
      </c>
      <c r="I11" s="13"/>
      <c r="J11" s="16"/>
      <c r="L11" s="6"/>
      <c r="V11" s="9"/>
    </row>
    <row r="12" spans="1:22">
      <c r="A12" s="1" t="s">
        <v>19</v>
      </c>
      <c r="B12" s="6">
        <v>0</v>
      </c>
      <c r="C12" s="1">
        <v>0</v>
      </c>
      <c r="D12" s="1">
        <v>0</v>
      </c>
      <c r="E12" s="1">
        <v>0</v>
      </c>
      <c r="F12" s="1">
        <v>0</v>
      </c>
      <c r="G12" s="9">
        <f>SUM(CT_FINANCIAL)</f>
        <v>0</v>
      </c>
      <c r="I12" s="13" t="s">
        <v>20</v>
      </c>
      <c r="J12" s="16"/>
      <c r="L12" s="6"/>
      <c r="V12" s="9"/>
    </row>
    <row r="13" spans="1:22">
      <c r="A13" s="1" t="s">
        <v>21</v>
      </c>
      <c r="B13" s="6">
        <v>0</v>
      </c>
      <c r="C13" s="1">
        <v>0</v>
      </c>
      <c r="D13" s="1">
        <v>0</v>
      </c>
      <c r="E13" s="1">
        <v>0</v>
      </c>
      <c r="F13" s="1">
        <v>0</v>
      </c>
      <c r="G13" s="9">
        <f>SUM(DE_FINANCIAL)</f>
        <v>0</v>
      </c>
      <c r="I13" s="13" t="s">
        <v>22</v>
      </c>
      <c r="J13" s="16">
        <v>14352000</v>
      </c>
      <c r="L13" s="6"/>
      <c r="V13" s="9"/>
    </row>
    <row r="14" spans="1:22">
      <c r="A14" s="1" t="s">
        <v>23</v>
      </c>
      <c r="B14" s="6">
        <v>0</v>
      </c>
      <c r="C14" s="1">
        <v>0</v>
      </c>
      <c r="D14" s="1">
        <v>0</v>
      </c>
      <c r="E14" s="1">
        <v>0</v>
      </c>
      <c r="F14" s="1">
        <v>0</v>
      </c>
      <c r="G14" s="9">
        <f>SUM(DC_FINANCIAL)</f>
        <v>0</v>
      </c>
      <c r="I14" s="13" t="s">
        <v>24</v>
      </c>
      <c r="J14" s="16">
        <v>541077</v>
      </c>
      <c r="L14" s="6"/>
      <c r="V14" s="9"/>
    </row>
    <row r="15" spans="1:22">
      <c r="A15" s="1" t="s">
        <v>25</v>
      </c>
      <c r="B15" s="6">
        <v>0</v>
      </c>
      <c r="C15" s="1">
        <v>0</v>
      </c>
      <c r="D15" s="1">
        <v>0</v>
      </c>
      <c r="E15" s="1">
        <v>0</v>
      </c>
      <c r="F15" s="1">
        <v>0</v>
      </c>
      <c r="G15" s="9">
        <f>SUM(FL_FINANCIAL)</f>
        <v>0</v>
      </c>
      <c r="I15" s="13" t="s">
        <v>26</v>
      </c>
      <c r="J15" s="16">
        <v>0</v>
      </c>
      <c r="L15" s="6"/>
      <c r="V15" s="9"/>
    </row>
    <row r="16" spans="1:22">
      <c r="A16" s="1" t="s">
        <v>27</v>
      </c>
      <c r="B16" s="6">
        <v>0</v>
      </c>
      <c r="C16" s="1">
        <v>0</v>
      </c>
      <c r="D16" s="1">
        <v>0</v>
      </c>
      <c r="E16" s="1">
        <v>0</v>
      </c>
      <c r="F16" s="1">
        <v>0</v>
      </c>
      <c r="G16" s="9">
        <f>SUM(GA_FINANCIAL)</f>
        <v>0</v>
      </c>
      <c r="I16" s="13" t="s">
        <v>28</v>
      </c>
      <c r="J16" s="16">
        <v>0</v>
      </c>
      <c r="L16" s="6"/>
      <c r="V16" s="9"/>
    </row>
    <row r="17" spans="1:22">
      <c r="A17" s="1" t="s">
        <v>29</v>
      </c>
      <c r="B17" s="6">
        <v>0</v>
      </c>
      <c r="C17" s="1">
        <v>0</v>
      </c>
      <c r="D17" s="1">
        <v>0</v>
      </c>
      <c r="E17" s="1">
        <v>0</v>
      </c>
      <c r="F17" s="1">
        <v>0</v>
      </c>
      <c r="G17" s="9">
        <f>SUM(HI_FINANCIAL)</f>
        <v>0</v>
      </c>
      <c r="I17" s="13"/>
      <c r="J17" s="16"/>
      <c r="L17" s="6"/>
      <c r="V17" s="9"/>
    </row>
    <row r="18" spans="1:22">
      <c r="A18" s="1" t="s">
        <v>30</v>
      </c>
      <c r="B18" s="6">
        <v>0</v>
      </c>
      <c r="C18" s="1">
        <v>0</v>
      </c>
      <c r="D18" s="1">
        <v>0</v>
      </c>
      <c r="E18" s="1">
        <v>0</v>
      </c>
      <c r="F18" s="1">
        <v>0</v>
      </c>
      <c r="G18" s="9">
        <f>SUM(ID_FINANCIAL)</f>
        <v>0</v>
      </c>
      <c r="I18" s="13" t="s">
        <v>31</v>
      </c>
      <c r="J18" s="16"/>
      <c r="L18" s="6"/>
      <c r="V18" s="9"/>
    </row>
    <row r="19" spans="1:22">
      <c r="A19" s="1" t="s">
        <v>32</v>
      </c>
      <c r="B19" s="6">
        <v>0</v>
      </c>
      <c r="C19" s="1">
        <v>0</v>
      </c>
      <c r="D19" s="1">
        <v>0</v>
      </c>
      <c r="E19" s="1">
        <v>0</v>
      </c>
      <c r="F19" s="1">
        <v>0</v>
      </c>
      <c r="G19" s="9">
        <f>SUM(IL_FINANCIAL)</f>
        <v>0</v>
      </c>
      <c r="I19" s="13" t="s">
        <v>33</v>
      </c>
      <c r="J19" s="16">
        <v>0</v>
      </c>
      <c r="L19" s="6"/>
      <c r="V19" s="9"/>
    </row>
    <row r="20" spans="1:22">
      <c r="A20" s="1" t="s">
        <v>34</v>
      </c>
      <c r="B20" s="6">
        <v>0</v>
      </c>
      <c r="C20" s="1">
        <v>0</v>
      </c>
      <c r="D20" s="1">
        <v>0</v>
      </c>
      <c r="E20" s="1">
        <v>0</v>
      </c>
      <c r="F20" s="1">
        <v>0</v>
      </c>
      <c r="G20" s="9">
        <f>SUM(IN_FINANCIAL)</f>
        <v>0</v>
      </c>
      <c r="I20" s="13" t="s">
        <v>35</v>
      </c>
      <c r="J20" s="16">
        <v>14352000</v>
      </c>
      <c r="L20" s="6"/>
      <c r="V20" s="9"/>
    </row>
    <row r="21" spans="1:22">
      <c r="A21" s="1" t="s">
        <v>36</v>
      </c>
      <c r="B21" s="6">
        <v>0</v>
      </c>
      <c r="C21" s="1">
        <v>0</v>
      </c>
      <c r="D21" s="1">
        <v>0</v>
      </c>
      <c r="E21" s="1">
        <v>0</v>
      </c>
      <c r="F21" s="1">
        <v>0</v>
      </c>
      <c r="G21" s="9">
        <f>SUM(IA_FINANCIAL)</f>
        <v>0</v>
      </c>
      <c r="I21" s="13" t="s">
        <v>37</v>
      </c>
      <c r="J21" s="16"/>
      <c r="L21" s="6"/>
      <c r="V21" s="9"/>
    </row>
    <row r="22" spans="1:22">
      <c r="A22" s="1" t="s">
        <v>38</v>
      </c>
      <c r="B22" s="6">
        <v>0</v>
      </c>
      <c r="C22" s="1">
        <v>0</v>
      </c>
      <c r="D22" s="1">
        <v>0</v>
      </c>
      <c r="E22" s="1">
        <v>0</v>
      </c>
      <c r="F22" s="1">
        <v>0</v>
      </c>
      <c r="G22" s="9">
        <f>SUM(KS_FINANCIAL)</f>
        <v>0</v>
      </c>
      <c r="I22" s="13" t="s">
        <v>39</v>
      </c>
      <c r="J22" s="16">
        <v>0</v>
      </c>
      <c r="L22" s="6"/>
      <c r="V22" s="9"/>
    </row>
    <row r="23" spans="1:22">
      <c r="A23" s="1" t="s">
        <v>40</v>
      </c>
      <c r="B23" s="6">
        <v>0</v>
      </c>
      <c r="C23" s="1">
        <v>0</v>
      </c>
      <c r="D23" s="1">
        <v>0</v>
      </c>
      <c r="E23" s="1">
        <v>0</v>
      </c>
      <c r="F23" s="1">
        <v>0</v>
      </c>
      <c r="G23" s="9">
        <f>SUM(KY_FINANCIAL)</f>
        <v>0</v>
      </c>
      <c r="I23" s="13" t="s">
        <v>41</v>
      </c>
      <c r="J23" s="16"/>
      <c r="L23" s="6"/>
      <c r="V23" s="9"/>
    </row>
    <row r="24" spans="1:22">
      <c r="A24" s="1" t="s">
        <v>42</v>
      </c>
      <c r="B24" s="6">
        <v>0</v>
      </c>
      <c r="C24" s="1">
        <v>0</v>
      </c>
      <c r="D24" s="1">
        <v>0</v>
      </c>
      <c r="E24" s="1">
        <v>0</v>
      </c>
      <c r="F24" s="1">
        <v>0</v>
      </c>
      <c r="G24" s="9">
        <f>SUM(LA_FINANCIAL)</f>
        <v>0</v>
      </c>
      <c r="I24" s="13" t="s">
        <v>43</v>
      </c>
      <c r="J24" s="16">
        <v>9323678</v>
      </c>
      <c r="L24" s="6"/>
      <c r="V24" s="9"/>
    </row>
    <row r="25" spans="1:22">
      <c r="A25" s="1" t="s">
        <v>44</v>
      </c>
      <c r="B25" s="6">
        <v>0</v>
      </c>
      <c r="C25" s="1">
        <v>0</v>
      </c>
      <c r="D25" s="1">
        <v>0</v>
      </c>
      <c r="E25" s="1">
        <v>0</v>
      </c>
      <c r="F25" s="1">
        <v>0</v>
      </c>
      <c r="G25" s="9">
        <f>SUM(ME_FINANCIAL)</f>
        <v>0</v>
      </c>
      <c r="I25" s="13"/>
      <c r="J25" s="16"/>
      <c r="L25" s="6"/>
      <c r="V25" s="9"/>
    </row>
    <row r="26" spans="1:22">
      <c r="A26" s="1" t="s">
        <v>45</v>
      </c>
      <c r="B26" s="6">
        <v>0</v>
      </c>
      <c r="C26" s="1">
        <v>0</v>
      </c>
      <c r="D26" s="1">
        <v>0</v>
      </c>
      <c r="E26" s="1">
        <v>0</v>
      </c>
      <c r="F26" s="1">
        <v>0</v>
      </c>
      <c r="G26" s="9">
        <f>SUM(MD_FINANCIAL)</f>
        <v>0</v>
      </c>
      <c r="I26" s="13" t="s">
        <v>46</v>
      </c>
      <c r="J26" s="16">
        <f>SUM(ADD_FINANCIAL)-SUM(LESS_FINANCIAL)</f>
        <v>5569399</v>
      </c>
      <c r="L26" s="6"/>
      <c r="V26" s="9"/>
    </row>
    <row r="27" spans="1:22">
      <c r="A27" s="1" t="s">
        <v>47</v>
      </c>
      <c r="B27" s="6">
        <v>0</v>
      </c>
      <c r="C27" s="1">
        <v>0</v>
      </c>
      <c r="D27" s="1">
        <v>0</v>
      </c>
      <c r="E27" s="1">
        <v>0</v>
      </c>
      <c r="F27" s="1">
        <v>0</v>
      </c>
      <c r="G27" s="9">
        <f>SUM(MA_FINANCIAL)</f>
        <v>0</v>
      </c>
      <c r="I27" s="13" t="s">
        <v>48</v>
      </c>
      <c r="J27" s="16">
        <f>SUM(ALL_BLOCKS)</f>
        <v>5569399</v>
      </c>
      <c r="L27" s="6"/>
      <c r="V27" s="9"/>
    </row>
    <row r="28" spans="1:22">
      <c r="A28" s="1" t="s">
        <v>49</v>
      </c>
      <c r="B28" s="6">
        <v>0</v>
      </c>
      <c r="C28" s="1">
        <v>0</v>
      </c>
      <c r="D28" s="1">
        <v>5569399</v>
      </c>
      <c r="E28" s="1">
        <v>0</v>
      </c>
      <c r="F28" s="1">
        <v>0</v>
      </c>
      <c r="G28" s="9">
        <f>SUM(MI_FINANCIAL)</f>
        <v>5569399</v>
      </c>
      <c r="I28" s="14"/>
      <c r="J28" s="17"/>
      <c r="L28" s="6">
        <v>0</v>
      </c>
      <c r="M28" s="1">
        <v>0</v>
      </c>
      <c r="O28" s="1">
        <v>0</v>
      </c>
      <c r="P28" s="1">
        <v>0</v>
      </c>
      <c r="R28" s="1">
        <v>10800000</v>
      </c>
      <c r="S28" s="1">
        <v>4998893</v>
      </c>
      <c r="U28" s="1">
        <v>0</v>
      </c>
      <c r="V28" s="9">
        <v>0</v>
      </c>
    </row>
    <row r="29" spans="1:22">
      <c r="A29" s="1" t="s">
        <v>50</v>
      </c>
      <c r="B29" s="6">
        <v>0</v>
      </c>
      <c r="C29" s="1">
        <v>0</v>
      </c>
      <c r="D29" s="1">
        <v>0</v>
      </c>
      <c r="E29" s="1">
        <v>0</v>
      </c>
      <c r="F29" s="1">
        <v>0</v>
      </c>
      <c r="G29" s="9">
        <f>SUM(MN_FINANCIAL)</f>
        <v>0</v>
      </c>
      <c r="L29" s="6"/>
      <c r="V29" s="9"/>
    </row>
    <row r="30" spans="1:22">
      <c r="A30" s="1" t="s">
        <v>51</v>
      </c>
      <c r="B30" s="6">
        <v>0</v>
      </c>
      <c r="C30" s="1">
        <v>0</v>
      </c>
      <c r="D30" s="1">
        <v>0</v>
      </c>
      <c r="E30" s="1">
        <v>0</v>
      </c>
      <c r="F30" s="1">
        <v>0</v>
      </c>
      <c r="G30" s="9">
        <f>SUM(MS_FINANCIAL)</f>
        <v>0</v>
      </c>
      <c r="L30" s="6"/>
      <c r="V30" s="9"/>
    </row>
    <row r="31" spans="1:22">
      <c r="A31" s="1" t="s">
        <v>52</v>
      </c>
      <c r="B31" s="6">
        <v>0</v>
      </c>
      <c r="C31" s="1">
        <v>0</v>
      </c>
      <c r="D31" s="1">
        <v>0</v>
      </c>
      <c r="E31" s="1">
        <v>0</v>
      </c>
      <c r="F31" s="1">
        <v>0</v>
      </c>
      <c r="G31" s="9">
        <f>SUM(MO_FINANCIAL)</f>
        <v>0</v>
      </c>
      <c r="L31" s="6"/>
      <c r="V31" s="9"/>
    </row>
    <row r="32" spans="1:22">
      <c r="A32" s="1" t="s">
        <v>53</v>
      </c>
      <c r="B32" s="6">
        <v>0</v>
      </c>
      <c r="C32" s="1">
        <v>0</v>
      </c>
      <c r="D32" s="1">
        <v>0</v>
      </c>
      <c r="E32" s="1">
        <v>0</v>
      </c>
      <c r="F32" s="1">
        <v>0</v>
      </c>
      <c r="G32" s="9">
        <f>SUM(MT_FINANCIAL)</f>
        <v>0</v>
      </c>
      <c r="L32" s="6"/>
      <c r="V32" s="9"/>
    </row>
    <row r="33" spans="1:22">
      <c r="A33" s="1" t="s">
        <v>54</v>
      </c>
      <c r="B33" s="6">
        <v>0</v>
      </c>
      <c r="C33" s="1">
        <v>0</v>
      </c>
      <c r="D33" s="1">
        <v>0</v>
      </c>
      <c r="E33" s="1">
        <v>0</v>
      </c>
      <c r="F33" s="1">
        <v>0</v>
      </c>
      <c r="G33" s="9">
        <f>SUM(NE_FINANCIAL)</f>
        <v>0</v>
      </c>
      <c r="L33" s="6"/>
      <c r="V33" s="9"/>
    </row>
    <row r="34" spans="1:22">
      <c r="A34" s="1" t="s">
        <v>55</v>
      </c>
      <c r="B34" s="6">
        <v>0</v>
      </c>
      <c r="C34" s="1">
        <v>0</v>
      </c>
      <c r="D34" s="1">
        <v>0</v>
      </c>
      <c r="E34" s="1">
        <v>0</v>
      </c>
      <c r="F34" s="1">
        <v>0</v>
      </c>
      <c r="G34" s="9">
        <f>SUM(NV_FINANCIAL)</f>
        <v>0</v>
      </c>
      <c r="L34" s="6"/>
      <c r="V34" s="9"/>
    </row>
    <row r="35" spans="1:22">
      <c r="A35" s="1" t="s">
        <v>56</v>
      </c>
      <c r="B35" s="6">
        <v>0</v>
      </c>
      <c r="C35" s="1">
        <v>0</v>
      </c>
      <c r="D35" s="1">
        <v>0</v>
      </c>
      <c r="E35" s="1">
        <v>0</v>
      </c>
      <c r="F35" s="1">
        <v>0</v>
      </c>
      <c r="G35" s="9">
        <f>SUM(NH_FINANCIAL)</f>
        <v>0</v>
      </c>
      <c r="L35" s="6"/>
      <c r="V35" s="9"/>
    </row>
    <row r="36" spans="1:22">
      <c r="A36" s="1" t="s">
        <v>57</v>
      </c>
      <c r="B36" s="6">
        <v>0</v>
      </c>
      <c r="C36" s="1">
        <v>0</v>
      </c>
      <c r="D36" s="1">
        <v>0</v>
      </c>
      <c r="E36" s="1">
        <v>0</v>
      </c>
      <c r="F36" s="1">
        <v>0</v>
      </c>
      <c r="G36" s="9">
        <f>SUM(NJ_FINANCIAL)</f>
        <v>0</v>
      </c>
      <c r="L36" s="6"/>
      <c r="V36" s="9"/>
    </row>
    <row r="37" spans="1:22">
      <c r="A37" s="1" t="s">
        <v>58</v>
      </c>
      <c r="B37" s="6">
        <v>0</v>
      </c>
      <c r="C37" s="1">
        <v>0</v>
      </c>
      <c r="D37" s="1">
        <v>0</v>
      </c>
      <c r="E37" s="1">
        <v>0</v>
      </c>
      <c r="F37" s="1">
        <v>0</v>
      </c>
      <c r="G37" s="9">
        <f>SUM(NM_FINANCIAL)</f>
        <v>0</v>
      </c>
      <c r="L37" s="6"/>
      <c r="V37" s="9"/>
    </row>
    <row r="38" spans="1:22">
      <c r="A38" s="1" t="s">
        <v>59</v>
      </c>
      <c r="B38" s="6">
        <v>0</v>
      </c>
      <c r="C38" s="1">
        <v>0</v>
      </c>
      <c r="D38" s="1">
        <v>0</v>
      </c>
      <c r="E38" s="1">
        <v>0</v>
      </c>
      <c r="F38" s="1">
        <v>0</v>
      </c>
      <c r="G38" s="9">
        <f>SUM(NY_FINANCIAL)</f>
        <v>0</v>
      </c>
      <c r="L38" s="6"/>
      <c r="V38" s="9"/>
    </row>
    <row r="39" spans="1:22">
      <c r="A39" s="1" t="s">
        <v>60</v>
      </c>
      <c r="B39" s="6">
        <v>0</v>
      </c>
      <c r="C39" s="1">
        <v>0</v>
      </c>
      <c r="D39" s="1">
        <v>0</v>
      </c>
      <c r="E39" s="1">
        <v>0</v>
      </c>
      <c r="F39" s="1">
        <v>0</v>
      </c>
      <c r="G39" s="9">
        <f>SUM(NC_FINANCIAL)</f>
        <v>0</v>
      </c>
      <c r="L39" s="6"/>
      <c r="V39" s="9"/>
    </row>
    <row r="40" spans="1:22">
      <c r="A40" s="1" t="s">
        <v>61</v>
      </c>
      <c r="B40" s="6">
        <v>0</v>
      </c>
      <c r="C40" s="1">
        <v>0</v>
      </c>
      <c r="D40" s="1">
        <v>0</v>
      </c>
      <c r="E40" s="1">
        <v>0</v>
      </c>
      <c r="F40" s="1">
        <v>0</v>
      </c>
      <c r="G40" s="9">
        <f>SUM(ND_FINANCIAL)</f>
        <v>0</v>
      </c>
      <c r="L40" s="6"/>
      <c r="V40" s="9"/>
    </row>
    <row r="41" spans="1:22">
      <c r="A41" s="1" t="s">
        <v>62</v>
      </c>
      <c r="B41" s="6">
        <v>0</v>
      </c>
      <c r="C41" s="1">
        <v>0</v>
      </c>
      <c r="D41" s="1">
        <v>0</v>
      </c>
      <c r="E41" s="1">
        <v>0</v>
      </c>
      <c r="F41" s="1">
        <v>0</v>
      </c>
      <c r="G41" s="9">
        <f>SUM(OH_FINANCIAL)</f>
        <v>0</v>
      </c>
      <c r="L41" s="6"/>
      <c r="V41" s="9"/>
    </row>
    <row r="42" spans="1:22">
      <c r="A42" s="1" t="s">
        <v>63</v>
      </c>
      <c r="B42" s="6">
        <v>0</v>
      </c>
      <c r="C42" s="1">
        <v>0</v>
      </c>
      <c r="D42" s="1">
        <v>0</v>
      </c>
      <c r="E42" s="1">
        <v>0</v>
      </c>
      <c r="F42" s="1">
        <v>0</v>
      </c>
      <c r="G42" s="9">
        <f>SUM(OK_FINANCIAL)</f>
        <v>0</v>
      </c>
      <c r="L42" s="6"/>
      <c r="V42" s="9"/>
    </row>
    <row r="43" spans="1:22">
      <c r="A43" s="1" t="s">
        <v>64</v>
      </c>
      <c r="B43" s="6">
        <v>0</v>
      </c>
      <c r="C43" s="1">
        <v>0</v>
      </c>
      <c r="D43" s="1">
        <v>0</v>
      </c>
      <c r="E43" s="1">
        <v>0</v>
      </c>
      <c r="F43" s="1">
        <v>0</v>
      </c>
      <c r="G43" s="9">
        <f>SUM(OR_FINANCIAL)</f>
        <v>0</v>
      </c>
      <c r="L43" s="6"/>
      <c r="V43" s="9"/>
    </row>
    <row r="44" spans="1:22">
      <c r="A44" s="1" t="s">
        <v>65</v>
      </c>
      <c r="B44" s="6">
        <v>0</v>
      </c>
      <c r="C44" s="1">
        <v>0</v>
      </c>
      <c r="D44" s="1">
        <v>0</v>
      </c>
      <c r="E44" s="1">
        <v>0</v>
      </c>
      <c r="F44" s="1">
        <v>0</v>
      </c>
      <c r="G44" s="9">
        <f>SUM(PA_FINANCIAL)</f>
        <v>0</v>
      </c>
      <c r="L44" s="6"/>
      <c r="V44" s="9"/>
    </row>
    <row r="45" spans="1:22">
      <c r="A45" s="1" t="s">
        <v>66</v>
      </c>
      <c r="B45" s="6">
        <v>0</v>
      </c>
      <c r="C45" s="1">
        <v>0</v>
      </c>
      <c r="D45" s="1">
        <v>0</v>
      </c>
      <c r="E45" s="1">
        <v>0</v>
      </c>
      <c r="F45" s="1">
        <v>0</v>
      </c>
      <c r="G45" s="9">
        <f>SUM(PR_FINANCIAL)</f>
        <v>0</v>
      </c>
      <c r="L45" s="6"/>
      <c r="V45" s="9"/>
    </row>
    <row r="46" spans="1:22">
      <c r="A46" s="1" t="s">
        <v>67</v>
      </c>
      <c r="B46" s="6">
        <v>0</v>
      </c>
      <c r="C46" s="1">
        <v>0</v>
      </c>
      <c r="D46" s="1">
        <v>0</v>
      </c>
      <c r="E46" s="1">
        <v>0</v>
      </c>
      <c r="F46" s="1">
        <v>0</v>
      </c>
      <c r="G46" s="9">
        <f>SUM(RI_FINANCIAL)</f>
        <v>0</v>
      </c>
      <c r="L46" s="6"/>
      <c r="V46" s="9"/>
    </row>
    <row r="47" spans="1:22">
      <c r="A47" s="1" t="s">
        <v>68</v>
      </c>
      <c r="B47" s="6">
        <v>0</v>
      </c>
      <c r="C47" s="1">
        <v>0</v>
      </c>
      <c r="D47" s="1">
        <v>0</v>
      </c>
      <c r="E47" s="1">
        <v>0</v>
      </c>
      <c r="F47" s="1">
        <v>0</v>
      </c>
      <c r="G47" s="9">
        <f>SUM(SC_FINANCIAL)</f>
        <v>0</v>
      </c>
      <c r="L47" s="6"/>
      <c r="V47" s="9"/>
    </row>
    <row r="48" spans="1:22">
      <c r="A48" s="1" t="s">
        <v>69</v>
      </c>
      <c r="B48" s="6">
        <v>0</v>
      </c>
      <c r="C48" s="1">
        <v>0</v>
      </c>
      <c r="D48" s="1">
        <v>0</v>
      </c>
      <c r="E48" s="1">
        <v>0</v>
      </c>
      <c r="F48" s="1">
        <v>0</v>
      </c>
      <c r="G48" s="9">
        <f>SUM(SD_FINANCIAL)</f>
        <v>0</v>
      </c>
      <c r="L48" s="6"/>
      <c r="V48" s="9"/>
    </row>
    <row r="49" spans="1:22">
      <c r="A49" s="1" t="s">
        <v>70</v>
      </c>
      <c r="B49" s="6">
        <v>0</v>
      </c>
      <c r="C49" s="1">
        <v>0</v>
      </c>
      <c r="D49" s="1">
        <v>0</v>
      </c>
      <c r="E49" s="1">
        <v>0</v>
      </c>
      <c r="F49" s="1">
        <v>0</v>
      </c>
      <c r="G49" s="9">
        <f>SUM(TN_FINANCIAL)</f>
        <v>0</v>
      </c>
      <c r="L49" s="6"/>
      <c r="V49" s="9"/>
    </row>
    <row r="50" spans="1:22">
      <c r="A50" s="1" t="s">
        <v>71</v>
      </c>
      <c r="B50" s="6">
        <v>0</v>
      </c>
      <c r="C50" s="1">
        <v>0</v>
      </c>
      <c r="D50" s="1">
        <v>0</v>
      </c>
      <c r="E50" s="1">
        <v>0</v>
      </c>
      <c r="F50" s="1">
        <v>0</v>
      </c>
      <c r="G50" s="9">
        <f>SUM(TX_FINANCIAL)</f>
        <v>0</v>
      </c>
      <c r="L50" s="6"/>
      <c r="V50" s="9"/>
    </row>
    <row r="51" spans="1:22">
      <c r="A51" s="1" t="s">
        <v>72</v>
      </c>
      <c r="B51" s="6">
        <v>0</v>
      </c>
      <c r="C51" s="1">
        <v>0</v>
      </c>
      <c r="D51" s="1">
        <v>0</v>
      </c>
      <c r="E51" s="1">
        <v>0</v>
      </c>
      <c r="F51" s="1">
        <v>0</v>
      </c>
      <c r="G51" s="9">
        <f>SUM(UT_FINANCIAL)</f>
        <v>0</v>
      </c>
      <c r="L51" s="6"/>
      <c r="V51" s="9"/>
    </row>
    <row r="52" spans="1:22">
      <c r="A52" s="1" t="s">
        <v>73</v>
      </c>
      <c r="B52" s="6">
        <v>0</v>
      </c>
      <c r="C52" s="1">
        <v>0</v>
      </c>
      <c r="D52" s="1">
        <v>0</v>
      </c>
      <c r="E52" s="1">
        <v>0</v>
      </c>
      <c r="F52" s="1">
        <v>0</v>
      </c>
      <c r="G52" s="9">
        <f>SUM(VT_FINANCIAL)</f>
        <v>0</v>
      </c>
      <c r="L52" s="6"/>
      <c r="V52" s="9"/>
    </row>
    <row r="53" spans="1:22">
      <c r="A53" s="1" t="s">
        <v>74</v>
      </c>
      <c r="B53" s="6">
        <v>0</v>
      </c>
      <c r="C53" s="1">
        <v>0</v>
      </c>
      <c r="D53" s="1">
        <v>0</v>
      </c>
      <c r="E53" s="1">
        <v>0</v>
      </c>
      <c r="F53" s="1">
        <v>0</v>
      </c>
      <c r="G53" s="9">
        <f>SUM(VA_FINANCIAL)</f>
        <v>0</v>
      </c>
      <c r="L53" s="6"/>
      <c r="V53" s="9"/>
    </row>
    <row r="54" spans="1:22">
      <c r="A54" s="1" t="s">
        <v>75</v>
      </c>
      <c r="B54" s="6">
        <v>0</v>
      </c>
      <c r="C54" s="1">
        <v>0</v>
      </c>
      <c r="D54" s="1">
        <v>0</v>
      </c>
      <c r="E54" s="1">
        <v>0</v>
      </c>
      <c r="F54" s="1">
        <v>0</v>
      </c>
      <c r="G54" s="9">
        <f>SUM(WA_FINANCIAL)</f>
        <v>0</v>
      </c>
      <c r="L54" s="6"/>
      <c r="V54" s="9"/>
    </row>
    <row r="55" spans="1:22">
      <c r="A55" s="1" t="s">
        <v>76</v>
      </c>
      <c r="B55" s="6">
        <v>0</v>
      </c>
      <c r="C55" s="1">
        <v>0</v>
      </c>
      <c r="D55" s="1">
        <v>0</v>
      </c>
      <c r="E55" s="1">
        <v>0</v>
      </c>
      <c r="F55" s="1">
        <v>0</v>
      </c>
      <c r="G55" s="9">
        <f>SUM(WV_FINANCIAL)</f>
        <v>0</v>
      </c>
      <c r="L55" s="6"/>
      <c r="V55" s="9"/>
    </row>
    <row r="56" spans="1:22">
      <c r="A56" s="1" t="s">
        <v>77</v>
      </c>
      <c r="B56" s="6">
        <v>0</v>
      </c>
      <c r="C56" s="1">
        <v>0</v>
      </c>
      <c r="D56" s="1">
        <v>0</v>
      </c>
      <c r="E56" s="1">
        <v>0</v>
      </c>
      <c r="F56" s="1">
        <v>0</v>
      </c>
      <c r="G56" s="9">
        <f>SUM(WI_FINANCIAL)</f>
        <v>0</v>
      </c>
      <c r="L56" s="6"/>
      <c r="V56" s="9"/>
    </row>
    <row r="57" spans="1:22">
      <c r="A57" s="1" t="s">
        <v>78</v>
      </c>
      <c r="B57" s="6">
        <v>0</v>
      </c>
      <c r="C57" s="1">
        <v>0</v>
      </c>
      <c r="D57" s="1">
        <v>0</v>
      </c>
      <c r="E57" s="1">
        <v>0</v>
      </c>
      <c r="F57" s="1">
        <v>0</v>
      </c>
      <c r="G57" s="9">
        <f>SUM(WY_FINANCIAL)</f>
        <v>0</v>
      </c>
      <c r="L57" s="6"/>
      <c r="V57" s="9"/>
    </row>
    <row r="58" spans="1:22">
      <c r="A58" s="1" t="s">
        <v>79</v>
      </c>
      <c r="B58" s="6">
        <v>0</v>
      </c>
      <c r="C58" s="1">
        <v>0</v>
      </c>
      <c r="D58" s="1">
        <v>0</v>
      </c>
      <c r="E58" s="1">
        <v>0</v>
      </c>
      <c r="F58" s="1">
        <v>0</v>
      </c>
      <c r="G58" s="9">
        <f>SUM(OT_FINANCIAL)</f>
        <v>0</v>
      </c>
      <c r="L58" s="6"/>
      <c r="V58" s="9"/>
    </row>
    <row r="59" spans="1:22">
      <c r="B59" s="6"/>
      <c r="G59" s="9"/>
      <c r="L59" s="6"/>
      <c r="V59" s="9"/>
    </row>
    <row r="60" spans="1:22">
      <c r="A60" s="1" t="s">
        <v>8</v>
      </c>
      <c r="B60" s="6">
        <f>SUM(LIFE)</f>
        <v>0</v>
      </c>
      <c r="C60" s="1">
        <f>SUM(ALLOCATED)</f>
        <v>0</v>
      </c>
      <c r="D60" s="1">
        <f>SUM(HEALTH)</f>
        <v>5569399</v>
      </c>
      <c r="E60" s="1">
        <f>SUM(UNALLOCATED)</f>
        <v>0</v>
      </c>
      <c r="F60" s="1">
        <f>SUM(LTC)</f>
        <v>0</v>
      </c>
      <c r="G60" s="9">
        <f>SUM(ALL_BLOCKS)</f>
        <v>5569399</v>
      </c>
      <c r="L60" s="6">
        <f>SUM(LIFE_CALLED)</f>
        <v>0</v>
      </c>
      <c r="M60" s="1">
        <f>SUM(LIFE_REFUNDED)</f>
        <v>0</v>
      </c>
      <c r="O60" s="1">
        <f>SUM(ALLOC_CALLED)</f>
        <v>0</v>
      </c>
      <c r="P60" s="1">
        <f>SUM(ALLOC_REFUNDED)</f>
        <v>0</v>
      </c>
      <c r="R60" s="1">
        <f>SUM(HEALTH_CALLED)</f>
        <v>10800000</v>
      </c>
      <c r="S60" s="1">
        <f>SUM(HEALTH_REFUNDED)</f>
        <v>4998893</v>
      </c>
      <c r="U60" s="1">
        <f>SUM(UNALLOC_CALLED)</f>
        <v>0</v>
      </c>
      <c r="V60" s="9">
        <f>SUM(UNALLOC_REFUNDED)</f>
        <v>0</v>
      </c>
    </row>
    <row r="61" spans="1:22" ht="5.0999999999999996" customHeight="1">
      <c r="B61" s="6"/>
      <c r="G61" s="9"/>
      <c r="L61" s="6"/>
      <c r="V61" s="9"/>
    </row>
    <row r="62" spans="1:22">
      <c r="B62" s="6"/>
      <c r="G62" s="9"/>
      <c r="L62" s="78" t="s">
        <v>80</v>
      </c>
      <c r="M62" s="79"/>
      <c r="N62" s="79"/>
      <c r="O62" s="79"/>
      <c r="P62" s="79"/>
      <c r="Q62" s="79"/>
      <c r="R62" s="79"/>
      <c r="S62" s="79"/>
      <c r="T62" s="79"/>
      <c r="U62" s="79"/>
      <c r="V62" s="80"/>
    </row>
    <row r="63" spans="1:22">
      <c r="B63" s="6"/>
      <c r="G63" s="9"/>
      <c r="L63" s="81"/>
      <c r="M63" s="79"/>
      <c r="N63" s="79"/>
      <c r="O63" s="79"/>
      <c r="P63" s="79"/>
      <c r="Q63" s="79"/>
      <c r="R63" s="79"/>
      <c r="S63" s="79"/>
      <c r="T63" s="79"/>
      <c r="U63" s="79"/>
      <c r="V63" s="80"/>
    </row>
    <row r="64" spans="1:22">
      <c r="B64" s="8"/>
      <c r="C64" s="5"/>
      <c r="D64" s="5"/>
      <c r="E64" s="5"/>
      <c r="F64" s="5"/>
      <c r="G64" s="11"/>
      <c r="L64" s="82"/>
      <c r="M64" s="83"/>
      <c r="N64" s="83"/>
      <c r="O64" s="83"/>
      <c r="P64" s="83"/>
      <c r="Q64" s="83"/>
      <c r="R64" s="83"/>
      <c r="S64" s="83"/>
      <c r="T64" s="83"/>
      <c r="U64" s="83"/>
      <c r="V64" s="84"/>
    </row>
  </sheetData>
  <mergeCells count="8">
    <mergeCell ref="L62:V64"/>
    <mergeCell ref="A1:G1"/>
    <mergeCell ref="B3:G3"/>
    <mergeCell ref="L3:V3"/>
    <mergeCell ref="L4:M4"/>
    <mergeCell ref="O4:P4"/>
    <mergeCell ref="R4:S4"/>
    <mergeCell ref="U4:V4"/>
  </mergeCells>
  <pageMargins left="0" right="0" top="0" bottom="0" header="0" footer="0"/>
  <pageSetup scale="48"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V64"/>
  <sheetViews>
    <sheetView zoomScale="75" workbookViewId="0">
      <selection sqref="A1:G1"/>
    </sheetView>
  </sheetViews>
  <sheetFormatPr defaultColWidth="9.109375" defaultRowHeight="14.4"/>
  <cols>
    <col min="1" max="1" width="20" style="1" customWidth="1"/>
    <col min="2" max="7" width="15" style="1" customWidth="1"/>
    <col min="8" max="8" width="1" style="1" customWidth="1"/>
    <col min="9" max="9" width="30" style="1" customWidth="1"/>
    <col min="10" max="10" width="15" style="1" customWidth="1"/>
    <col min="11" max="11" width="1" style="1" customWidth="1"/>
    <col min="12" max="13" width="15" style="1" customWidth="1"/>
    <col min="14" max="14" width="1" style="1" customWidth="1"/>
    <col min="15" max="16" width="15" style="1" customWidth="1"/>
    <col min="17" max="17" width="1" style="1" customWidth="1"/>
    <col min="18" max="19" width="15" style="1" customWidth="1"/>
    <col min="20" max="20" width="1" style="1" customWidth="1"/>
    <col min="21" max="22" width="15" style="1" customWidth="1"/>
    <col min="23" max="23" width="9.109375" style="1" customWidth="1"/>
    <col min="24" max="16384" width="9.109375" style="1"/>
  </cols>
  <sheetData>
    <row r="1" spans="1:22">
      <c r="A1" s="85" t="s">
        <v>107</v>
      </c>
      <c r="B1" s="79"/>
      <c r="C1" s="79"/>
      <c r="D1" s="79"/>
      <c r="E1" s="79"/>
      <c r="F1" s="79"/>
      <c r="G1" s="79"/>
    </row>
    <row r="3" spans="1:22">
      <c r="B3" s="86" t="s">
        <v>1</v>
      </c>
      <c r="C3" s="87"/>
      <c r="D3" s="87"/>
      <c r="E3" s="87"/>
      <c r="F3" s="87"/>
      <c r="G3" s="88"/>
      <c r="L3" s="89" t="s">
        <v>2</v>
      </c>
      <c r="M3" s="90"/>
      <c r="N3" s="90"/>
      <c r="O3" s="90"/>
      <c r="P3" s="90"/>
      <c r="Q3" s="90"/>
      <c r="R3" s="90"/>
      <c r="S3" s="90"/>
      <c r="T3" s="90"/>
      <c r="U3" s="90"/>
      <c r="V3" s="91"/>
    </row>
    <row r="4" spans="1:22">
      <c r="B4" s="6"/>
      <c r="G4" s="9"/>
      <c r="L4" s="92" t="s">
        <v>3</v>
      </c>
      <c r="M4" s="93"/>
      <c r="N4" s="3"/>
      <c r="O4" s="94" t="s">
        <v>4</v>
      </c>
      <c r="P4" s="93"/>
      <c r="Q4" s="3"/>
      <c r="R4" s="94" t="s">
        <v>5</v>
      </c>
      <c r="S4" s="93"/>
      <c r="T4" s="3"/>
      <c r="U4" s="94" t="s">
        <v>6</v>
      </c>
      <c r="V4" s="95"/>
    </row>
    <row r="5" spans="1:22" ht="60" customHeight="1">
      <c r="B5" s="7" t="s">
        <v>3</v>
      </c>
      <c r="C5" s="4" t="s">
        <v>4</v>
      </c>
      <c r="D5" s="4" t="s">
        <v>5</v>
      </c>
      <c r="E5" s="4" t="s">
        <v>6</v>
      </c>
      <c r="F5" s="4" t="s">
        <v>7</v>
      </c>
      <c r="G5" s="10" t="s">
        <v>8</v>
      </c>
      <c r="L5" s="19" t="s">
        <v>9</v>
      </c>
      <c r="M5" s="18" t="s">
        <v>10</v>
      </c>
      <c r="N5" s="18"/>
      <c r="O5" s="18" t="s">
        <v>9</v>
      </c>
      <c r="P5" s="18" t="s">
        <v>10</v>
      </c>
      <c r="Q5" s="18"/>
      <c r="R5" s="18" t="s">
        <v>9</v>
      </c>
      <c r="S5" s="18" t="s">
        <v>10</v>
      </c>
      <c r="T5" s="18"/>
      <c r="U5" s="18" t="s">
        <v>9</v>
      </c>
      <c r="V5" s="20" t="s">
        <v>10</v>
      </c>
    </row>
    <row r="6" spans="1:22">
      <c r="A6" s="1" t="s">
        <v>11</v>
      </c>
      <c r="B6" s="6">
        <v>10770.217937444266</v>
      </c>
      <c r="C6" s="1">
        <v>40544.559974380958</v>
      </c>
      <c r="D6" s="1">
        <v>0</v>
      </c>
      <c r="E6" s="1">
        <v>0</v>
      </c>
      <c r="F6" s="1">
        <v>0</v>
      </c>
      <c r="G6" s="9">
        <f>SUM(AL_FINANCIAL)</f>
        <v>51314.777911825222</v>
      </c>
      <c r="L6" s="6">
        <v>41000</v>
      </c>
      <c r="M6" s="1">
        <v>0</v>
      </c>
      <c r="O6" s="1">
        <v>16288</v>
      </c>
      <c r="P6" s="1">
        <v>0</v>
      </c>
      <c r="R6" s="1">
        <v>4000</v>
      </c>
      <c r="S6" s="1">
        <v>0</v>
      </c>
      <c r="U6" s="1">
        <v>0</v>
      </c>
      <c r="V6" s="9">
        <v>0</v>
      </c>
    </row>
    <row r="7" spans="1:22">
      <c r="A7" s="1" t="s">
        <v>12</v>
      </c>
      <c r="B7" s="6">
        <v>1233.0089681852314</v>
      </c>
      <c r="C7" s="1">
        <v>21206.142046263201</v>
      </c>
      <c r="D7" s="1">
        <v>8217.2192335518866</v>
      </c>
      <c r="E7" s="1">
        <v>0</v>
      </c>
      <c r="F7" s="1">
        <v>0</v>
      </c>
      <c r="G7" s="9">
        <f>SUM(AK_FINANCIAL)</f>
        <v>30656.370248000319</v>
      </c>
      <c r="I7" s="12"/>
      <c r="J7" s="15"/>
      <c r="L7" s="6">
        <v>3200</v>
      </c>
      <c r="M7" s="1">
        <v>0</v>
      </c>
      <c r="O7" s="1">
        <v>27000</v>
      </c>
      <c r="P7" s="1">
        <v>0</v>
      </c>
      <c r="R7" s="1">
        <v>12400</v>
      </c>
      <c r="S7" s="1">
        <v>0</v>
      </c>
      <c r="U7" s="1">
        <v>40</v>
      </c>
      <c r="V7" s="9">
        <v>4</v>
      </c>
    </row>
    <row r="8" spans="1:22">
      <c r="A8" s="1" t="s">
        <v>13</v>
      </c>
      <c r="B8" s="6">
        <v>12377.882179430973</v>
      </c>
      <c r="C8" s="1">
        <v>267520.53635516338</v>
      </c>
      <c r="D8" s="1">
        <v>0</v>
      </c>
      <c r="E8" s="1">
        <v>0</v>
      </c>
      <c r="F8" s="1">
        <v>0</v>
      </c>
      <c r="G8" s="9">
        <f>SUM(AZ_FINANCIAL)</f>
        <v>279898.41853459436</v>
      </c>
      <c r="I8" s="13" t="s">
        <v>14</v>
      </c>
      <c r="J8" s="16"/>
      <c r="L8" s="6">
        <v>14519</v>
      </c>
      <c r="M8" s="1">
        <v>0</v>
      </c>
      <c r="O8" s="1">
        <v>147070</v>
      </c>
      <c r="P8" s="1">
        <v>0</v>
      </c>
      <c r="R8" s="1">
        <v>36314</v>
      </c>
      <c r="S8" s="1">
        <v>0</v>
      </c>
      <c r="U8" s="1">
        <v>0</v>
      </c>
      <c r="V8" s="9">
        <v>0</v>
      </c>
    </row>
    <row r="9" spans="1:22">
      <c r="A9" s="1" t="s">
        <v>15</v>
      </c>
      <c r="B9" s="6">
        <v>28032.350042922204</v>
      </c>
      <c r="C9" s="1">
        <v>21684.263401337364</v>
      </c>
      <c r="D9" s="1">
        <v>0</v>
      </c>
      <c r="E9" s="1">
        <v>0</v>
      </c>
      <c r="F9" s="1">
        <v>0</v>
      </c>
      <c r="G9" s="9">
        <f>SUM(AR_FINANCIAL)</f>
        <v>49716.613444259565</v>
      </c>
      <c r="I9" s="13"/>
      <c r="J9" s="16"/>
      <c r="L9" s="6">
        <v>0</v>
      </c>
      <c r="M9" s="1">
        <v>0</v>
      </c>
      <c r="O9" s="1">
        <v>0</v>
      </c>
      <c r="P9" s="1">
        <v>0</v>
      </c>
      <c r="R9" s="1">
        <v>96472</v>
      </c>
      <c r="S9" s="1">
        <v>0</v>
      </c>
      <c r="U9" s="1">
        <v>0</v>
      </c>
      <c r="V9" s="9">
        <v>0</v>
      </c>
    </row>
    <row r="10" spans="1:22">
      <c r="A10" s="1" t="s">
        <v>16</v>
      </c>
      <c r="B10" s="6">
        <v>91997.62988190641</v>
      </c>
      <c r="C10" s="1">
        <v>782311.25516173732</v>
      </c>
      <c r="D10" s="1">
        <v>1458469.4761874815</v>
      </c>
      <c r="E10" s="1">
        <v>0</v>
      </c>
      <c r="F10" s="1">
        <v>0</v>
      </c>
      <c r="G10" s="9">
        <f>SUM(CA_FINANCIAL)</f>
        <v>2332778.3612311254</v>
      </c>
      <c r="I10" s="13" t="s">
        <v>17</v>
      </c>
      <c r="J10" s="16">
        <v>17669766.800000001</v>
      </c>
      <c r="L10" s="6">
        <v>96300</v>
      </c>
      <c r="M10" s="1">
        <v>0</v>
      </c>
      <c r="O10" s="1">
        <v>1091400</v>
      </c>
      <c r="P10" s="1">
        <v>275000</v>
      </c>
      <c r="R10" s="1">
        <v>2022300</v>
      </c>
      <c r="S10" s="1">
        <v>400000</v>
      </c>
      <c r="U10" s="1">
        <v>0</v>
      </c>
      <c r="V10" s="9">
        <v>0</v>
      </c>
    </row>
    <row r="11" spans="1:22">
      <c r="A11" s="1" t="s">
        <v>18</v>
      </c>
      <c r="B11" s="6">
        <v>11655.300784299843</v>
      </c>
      <c r="C11" s="1">
        <v>46511.800154535114</v>
      </c>
      <c r="D11" s="1">
        <v>116889.59928804255</v>
      </c>
      <c r="E11" s="1">
        <v>0</v>
      </c>
      <c r="F11" s="1">
        <v>0</v>
      </c>
      <c r="G11" s="9">
        <f>SUM(CO_FINANCIAL)</f>
        <v>175056.7002268775</v>
      </c>
      <c r="I11" s="13"/>
      <c r="J11" s="16"/>
      <c r="L11" s="6">
        <v>0</v>
      </c>
      <c r="M11" s="1">
        <v>0</v>
      </c>
      <c r="O11" s="1">
        <v>0</v>
      </c>
      <c r="P11" s="1">
        <v>0</v>
      </c>
      <c r="R11" s="1">
        <v>2000000</v>
      </c>
      <c r="S11" s="1">
        <v>1884084</v>
      </c>
      <c r="U11" s="1">
        <v>0</v>
      </c>
      <c r="V11" s="9">
        <v>0</v>
      </c>
    </row>
    <row r="12" spans="1:22">
      <c r="A12" s="1" t="s">
        <v>19</v>
      </c>
      <c r="B12" s="6">
        <v>0</v>
      </c>
      <c r="C12" s="1">
        <v>0</v>
      </c>
      <c r="D12" s="1">
        <v>0</v>
      </c>
      <c r="E12" s="1">
        <v>0</v>
      </c>
      <c r="F12" s="1">
        <v>0</v>
      </c>
      <c r="G12" s="9">
        <f>SUM(CT_FINANCIAL)</f>
        <v>0</v>
      </c>
      <c r="I12" s="13" t="s">
        <v>20</v>
      </c>
      <c r="J12" s="16"/>
      <c r="L12" s="6"/>
      <c r="V12" s="9"/>
    </row>
    <row r="13" spans="1:22">
      <c r="A13" s="1" t="s">
        <v>21</v>
      </c>
      <c r="B13" s="6">
        <v>245307.06126209249</v>
      </c>
      <c r="C13" s="1">
        <v>2638421.782914523</v>
      </c>
      <c r="D13" s="1">
        <v>1431129.8887586533</v>
      </c>
      <c r="E13" s="1">
        <v>0</v>
      </c>
      <c r="F13" s="1">
        <v>0</v>
      </c>
      <c r="G13" s="9">
        <f>SUM(DE_FINANCIAL)</f>
        <v>4314858.7329352684</v>
      </c>
      <c r="I13" s="13" t="s">
        <v>22</v>
      </c>
      <c r="J13" s="16">
        <v>9335960.7999999989</v>
      </c>
      <c r="L13" s="6">
        <v>148000</v>
      </c>
      <c r="M13" s="1">
        <v>0</v>
      </c>
      <c r="O13" s="1">
        <v>1702000</v>
      </c>
      <c r="P13" s="1">
        <v>0</v>
      </c>
      <c r="R13" s="1">
        <v>1850000</v>
      </c>
      <c r="S13" s="1">
        <v>0</v>
      </c>
      <c r="U13" s="1">
        <v>0</v>
      </c>
      <c r="V13" s="9">
        <v>0</v>
      </c>
    </row>
    <row r="14" spans="1:22">
      <c r="A14" s="1" t="s">
        <v>23</v>
      </c>
      <c r="B14" s="6">
        <v>1677.3265396510028</v>
      </c>
      <c r="C14" s="1">
        <v>36791.554686723961</v>
      </c>
      <c r="D14" s="1">
        <v>0</v>
      </c>
      <c r="E14" s="1">
        <v>0</v>
      </c>
      <c r="F14" s="1">
        <v>0</v>
      </c>
      <c r="G14" s="9">
        <f>SUM(DC_FINANCIAL)</f>
        <v>38468.881226374964</v>
      </c>
      <c r="I14" s="13" t="s">
        <v>24</v>
      </c>
      <c r="J14" s="16">
        <v>1230967.8400000001</v>
      </c>
      <c r="L14" s="6">
        <v>100000</v>
      </c>
      <c r="M14" s="1">
        <v>102326</v>
      </c>
      <c r="O14" s="1">
        <v>31672</v>
      </c>
      <c r="P14" s="1">
        <v>0</v>
      </c>
      <c r="R14" s="1">
        <v>600000</v>
      </c>
      <c r="S14" s="1">
        <v>232606</v>
      </c>
      <c r="U14" s="1">
        <v>0</v>
      </c>
      <c r="V14" s="9">
        <v>0</v>
      </c>
    </row>
    <row r="15" spans="1:22">
      <c r="A15" s="1" t="s">
        <v>25</v>
      </c>
      <c r="B15" s="6">
        <v>55871.210051537804</v>
      </c>
      <c r="C15" s="1">
        <v>398191.60982441413</v>
      </c>
      <c r="D15" s="1">
        <v>0</v>
      </c>
      <c r="E15" s="1">
        <v>0</v>
      </c>
      <c r="F15" s="1">
        <v>0</v>
      </c>
      <c r="G15" s="9">
        <f>SUM(FL_FINANCIAL)</f>
        <v>454062.81987595191</v>
      </c>
      <c r="I15" s="13" t="s">
        <v>26</v>
      </c>
      <c r="J15" s="16">
        <v>1290905.6199999996</v>
      </c>
      <c r="L15" s="6">
        <v>107000</v>
      </c>
      <c r="M15" s="1">
        <v>0</v>
      </c>
      <c r="O15" s="1">
        <v>252000</v>
      </c>
      <c r="P15" s="1">
        <v>0</v>
      </c>
      <c r="R15" s="1">
        <v>750000</v>
      </c>
      <c r="S15" s="1">
        <v>0</v>
      </c>
      <c r="U15" s="1">
        <v>0</v>
      </c>
      <c r="V15" s="9">
        <v>0</v>
      </c>
    </row>
    <row r="16" spans="1:22">
      <c r="A16" s="1" t="s">
        <v>27</v>
      </c>
      <c r="B16" s="6">
        <v>20625.073608786151</v>
      </c>
      <c r="C16" s="1">
        <v>59808.197396385571</v>
      </c>
      <c r="D16" s="1">
        <v>78364.699933542943</v>
      </c>
      <c r="E16" s="1">
        <v>0</v>
      </c>
      <c r="F16" s="1">
        <v>0</v>
      </c>
      <c r="G16" s="9">
        <f>SUM(GA_FINANCIAL)</f>
        <v>158797.97093871469</v>
      </c>
      <c r="I16" s="13" t="s">
        <v>28</v>
      </c>
      <c r="J16" s="16">
        <v>0</v>
      </c>
      <c r="L16" s="6">
        <v>25000</v>
      </c>
      <c r="M16" s="1">
        <v>0</v>
      </c>
      <c r="O16" s="1">
        <v>0</v>
      </c>
      <c r="P16" s="1">
        <v>0</v>
      </c>
      <c r="R16" s="1">
        <v>0</v>
      </c>
      <c r="S16" s="1">
        <v>64528</v>
      </c>
      <c r="U16" s="1">
        <v>0</v>
      </c>
      <c r="V16" s="9">
        <v>0</v>
      </c>
    </row>
    <row r="17" spans="1:22">
      <c r="A17" s="1" t="s">
        <v>29</v>
      </c>
      <c r="B17" s="6">
        <v>0</v>
      </c>
      <c r="C17" s="1">
        <v>0</v>
      </c>
      <c r="D17" s="1">
        <v>0</v>
      </c>
      <c r="E17" s="1">
        <v>0</v>
      </c>
      <c r="F17" s="1">
        <v>0</v>
      </c>
      <c r="G17" s="9">
        <f>SUM(HI_FINANCIAL)</f>
        <v>0</v>
      </c>
      <c r="I17" s="13"/>
      <c r="J17" s="16"/>
      <c r="L17" s="6"/>
      <c r="V17" s="9"/>
    </row>
    <row r="18" spans="1:22">
      <c r="A18" s="1" t="s">
        <v>30</v>
      </c>
      <c r="B18" s="6">
        <v>8584.2349475043047</v>
      </c>
      <c r="C18" s="1">
        <v>71945.75001133245</v>
      </c>
      <c r="D18" s="1">
        <v>944.76042285907852</v>
      </c>
      <c r="E18" s="1">
        <v>0</v>
      </c>
      <c r="F18" s="1">
        <v>0</v>
      </c>
      <c r="G18" s="9">
        <f>SUM(ID_FINANCIAL)</f>
        <v>81474.74538169583</v>
      </c>
      <c r="I18" s="13" t="s">
        <v>31</v>
      </c>
      <c r="J18" s="16"/>
      <c r="L18" s="6">
        <v>5200</v>
      </c>
      <c r="M18" s="1">
        <v>0</v>
      </c>
      <c r="O18" s="1">
        <v>44000</v>
      </c>
      <c r="P18" s="1">
        <v>0</v>
      </c>
      <c r="R18" s="1">
        <v>60800</v>
      </c>
      <c r="S18" s="1">
        <v>0</v>
      </c>
      <c r="U18" s="1">
        <v>0</v>
      </c>
      <c r="V18" s="9">
        <v>0</v>
      </c>
    </row>
    <row r="19" spans="1:22">
      <c r="A19" s="1" t="s">
        <v>32</v>
      </c>
      <c r="B19" s="6">
        <v>10614.34899136395</v>
      </c>
      <c r="C19" s="1">
        <v>255725.97287720913</v>
      </c>
      <c r="D19" s="1">
        <v>121072.90848985797</v>
      </c>
      <c r="E19" s="1">
        <v>0</v>
      </c>
      <c r="F19" s="1">
        <v>0</v>
      </c>
      <c r="G19" s="9">
        <f>SUM(IL_FINANCIAL)</f>
        <v>387413.23035843106</v>
      </c>
      <c r="I19" s="13" t="s">
        <v>33</v>
      </c>
      <c r="J19" s="16">
        <v>0</v>
      </c>
      <c r="L19" s="6">
        <v>55000</v>
      </c>
      <c r="M19" s="1">
        <v>0</v>
      </c>
      <c r="O19" s="1">
        <v>300000</v>
      </c>
      <c r="P19" s="1">
        <v>0</v>
      </c>
      <c r="R19" s="1">
        <v>295000</v>
      </c>
      <c r="S19" s="1">
        <v>0</v>
      </c>
      <c r="U19" s="1">
        <v>0</v>
      </c>
      <c r="V19" s="9">
        <v>0</v>
      </c>
    </row>
    <row r="20" spans="1:22">
      <c r="A20" s="1" t="s">
        <v>34</v>
      </c>
      <c r="B20" s="6">
        <v>10924.188324565252</v>
      </c>
      <c r="C20" s="1">
        <v>85854.062757073698</v>
      </c>
      <c r="D20" s="1">
        <v>95460.878959276073</v>
      </c>
      <c r="E20" s="1">
        <v>0</v>
      </c>
      <c r="F20" s="1">
        <v>0</v>
      </c>
      <c r="G20" s="9">
        <f>SUM(IN_FINANCIAL)</f>
        <v>192239.13004091504</v>
      </c>
      <c r="I20" s="13" t="s">
        <v>35</v>
      </c>
      <c r="J20" s="16">
        <v>9387292.4799999986</v>
      </c>
      <c r="L20" s="6"/>
      <c r="V20" s="9"/>
    </row>
    <row r="21" spans="1:22">
      <c r="A21" s="1" t="s">
        <v>36</v>
      </c>
      <c r="B21" s="6">
        <v>1964.5044055690164</v>
      </c>
      <c r="C21" s="1">
        <v>66818.476446917295</v>
      </c>
      <c r="D21" s="1">
        <v>2365.0032839540363</v>
      </c>
      <c r="E21" s="1">
        <v>0</v>
      </c>
      <c r="F21" s="1">
        <v>0</v>
      </c>
      <c r="G21" s="9">
        <f>SUM(IA_FINANCIAL)</f>
        <v>71147.984136440355</v>
      </c>
      <c r="I21" s="13" t="s">
        <v>37</v>
      </c>
      <c r="J21" s="16"/>
      <c r="L21" s="6"/>
      <c r="V21" s="9"/>
    </row>
    <row r="22" spans="1:22">
      <c r="A22" s="1" t="s">
        <v>38</v>
      </c>
      <c r="B22" s="6">
        <v>0</v>
      </c>
      <c r="C22" s="1">
        <v>0</v>
      </c>
      <c r="D22" s="1">
        <v>0</v>
      </c>
      <c r="E22" s="1">
        <v>0</v>
      </c>
      <c r="F22" s="1">
        <v>0</v>
      </c>
      <c r="G22" s="9">
        <f>SUM(KS_FINANCIAL)</f>
        <v>0</v>
      </c>
      <c r="I22" s="13" t="s">
        <v>39</v>
      </c>
      <c r="J22" s="16">
        <v>-125003</v>
      </c>
      <c r="L22" s="6"/>
      <c r="V22" s="9"/>
    </row>
    <row r="23" spans="1:22">
      <c r="A23" s="1" t="s">
        <v>40</v>
      </c>
      <c r="B23" s="6">
        <v>8929.1501091480968</v>
      </c>
      <c r="C23" s="1">
        <v>49545.61140002359</v>
      </c>
      <c r="D23" s="1">
        <v>53886.63231771475</v>
      </c>
      <c r="E23" s="1">
        <v>0</v>
      </c>
      <c r="F23" s="1">
        <v>0</v>
      </c>
      <c r="G23" s="9">
        <f>SUM(KY_FINANCIAL)</f>
        <v>112361.39382688643</v>
      </c>
      <c r="I23" s="13" t="s">
        <v>41</v>
      </c>
      <c r="J23" s="16"/>
      <c r="L23" s="6">
        <v>26779</v>
      </c>
      <c r="M23" s="1">
        <v>0</v>
      </c>
      <c r="O23" s="1">
        <v>76788</v>
      </c>
      <c r="P23" s="1">
        <v>0</v>
      </c>
      <c r="R23" s="1">
        <v>82494</v>
      </c>
      <c r="S23" s="1">
        <v>0</v>
      </c>
      <c r="U23" s="1">
        <v>0</v>
      </c>
      <c r="V23" s="9">
        <v>0</v>
      </c>
    </row>
    <row r="24" spans="1:22">
      <c r="A24" s="1" t="s">
        <v>42</v>
      </c>
      <c r="B24" s="6">
        <v>5106.6018043942131</v>
      </c>
      <c r="C24" s="1">
        <v>26396.475364421876</v>
      </c>
      <c r="D24" s="1">
        <v>0</v>
      </c>
      <c r="E24" s="1">
        <v>0</v>
      </c>
      <c r="F24" s="1">
        <v>0</v>
      </c>
      <c r="G24" s="9">
        <f>SUM(LA_FINANCIAL)</f>
        <v>31503.077168816089</v>
      </c>
      <c r="I24" s="13" t="s">
        <v>43</v>
      </c>
      <c r="J24" s="16">
        <v>5160779.8499999987</v>
      </c>
      <c r="L24" s="6">
        <v>0</v>
      </c>
      <c r="M24" s="1">
        <v>0</v>
      </c>
      <c r="O24" s="1">
        <v>0</v>
      </c>
      <c r="P24" s="1">
        <v>0</v>
      </c>
      <c r="R24" s="1">
        <v>180000</v>
      </c>
      <c r="S24" s="1">
        <v>0</v>
      </c>
      <c r="U24" s="1">
        <v>0</v>
      </c>
      <c r="V24" s="9">
        <v>0</v>
      </c>
    </row>
    <row r="25" spans="1:22">
      <c r="A25" s="1" t="s">
        <v>44</v>
      </c>
      <c r="B25" s="6">
        <v>0</v>
      </c>
      <c r="C25" s="1">
        <v>0</v>
      </c>
      <c r="D25" s="1">
        <v>0</v>
      </c>
      <c r="E25" s="1">
        <v>0</v>
      </c>
      <c r="F25" s="1">
        <v>0</v>
      </c>
      <c r="G25" s="9">
        <f>SUM(ME_FINANCIAL)</f>
        <v>0</v>
      </c>
      <c r="I25" s="13"/>
      <c r="J25" s="16"/>
      <c r="L25" s="6"/>
      <c r="V25" s="9"/>
    </row>
    <row r="26" spans="1:22">
      <c r="A26" s="1" t="s">
        <v>45</v>
      </c>
      <c r="B26" s="6">
        <v>0</v>
      </c>
      <c r="C26" s="1">
        <v>0</v>
      </c>
      <c r="D26" s="1">
        <v>0</v>
      </c>
      <c r="E26" s="1">
        <v>0</v>
      </c>
      <c r="F26" s="1">
        <v>0</v>
      </c>
      <c r="G26" s="9">
        <f>SUM(MD_FINANCIAL)</f>
        <v>0</v>
      </c>
      <c r="I26" s="13" t="s">
        <v>46</v>
      </c>
      <c r="J26" s="16">
        <f>SUM(ADD_FINANCIAL)-SUM(LESS_FINANCIAL)</f>
        <v>15104531.730000004</v>
      </c>
      <c r="L26" s="6"/>
      <c r="V26" s="9"/>
    </row>
    <row r="27" spans="1:22">
      <c r="A27" s="1" t="s">
        <v>47</v>
      </c>
      <c r="B27" s="6">
        <v>0</v>
      </c>
      <c r="C27" s="1">
        <v>0</v>
      </c>
      <c r="D27" s="1">
        <v>0</v>
      </c>
      <c r="E27" s="1">
        <v>0</v>
      </c>
      <c r="F27" s="1">
        <v>0</v>
      </c>
      <c r="G27" s="9">
        <f>SUM(MA_FINANCIAL)</f>
        <v>0</v>
      </c>
      <c r="I27" s="13" t="s">
        <v>48</v>
      </c>
      <c r="J27" s="16">
        <f>SUM(ALL_BLOCKS)</f>
        <v>15104531.730000004</v>
      </c>
      <c r="L27" s="6"/>
      <c r="V27" s="9"/>
    </row>
    <row r="28" spans="1:22">
      <c r="A28" s="1" t="s">
        <v>49</v>
      </c>
      <c r="B28" s="6">
        <v>18283.239892346457</v>
      </c>
      <c r="C28" s="1">
        <v>457940.11149334145</v>
      </c>
      <c r="D28" s="1">
        <v>172596.87872087414</v>
      </c>
      <c r="E28" s="1">
        <v>0</v>
      </c>
      <c r="F28" s="1">
        <v>0</v>
      </c>
      <c r="G28" s="9">
        <f>SUM(MI_FINANCIAL)</f>
        <v>648820.23010656203</v>
      </c>
      <c r="I28" s="14"/>
      <c r="J28" s="17"/>
      <c r="L28" s="6"/>
      <c r="V28" s="9"/>
    </row>
    <row r="29" spans="1:22">
      <c r="A29" s="1" t="s">
        <v>50</v>
      </c>
      <c r="B29" s="6">
        <v>8171.9936581693373</v>
      </c>
      <c r="C29" s="1">
        <v>152233.53622273158</v>
      </c>
      <c r="D29" s="1">
        <v>225421.02306658457</v>
      </c>
      <c r="E29" s="1">
        <v>0</v>
      </c>
      <c r="F29" s="1">
        <v>0</v>
      </c>
      <c r="G29" s="9">
        <f>SUM(MN_FINANCIAL)</f>
        <v>385826.55294748547</v>
      </c>
      <c r="L29" s="6">
        <v>10500</v>
      </c>
      <c r="M29" s="1">
        <v>0</v>
      </c>
      <c r="O29" s="1">
        <v>210000</v>
      </c>
      <c r="P29" s="1">
        <v>0</v>
      </c>
      <c r="R29" s="1">
        <v>85000</v>
      </c>
      <c r="S29" s="1">
        <v>0</v>
      </c>
      <c r="U29" s="1">
        <v>0</v>
      </c>
      <c r="V29" s="9">
        <v>0</v>
      </c>
    </row>
    <row r="30" spans="1:22">
      <c r="A30" s="1" t="s">
        <v>51</v>
      </c>
      <c r="B30" s="6">
        <v>2454.329439244756</v>
      </c>
      <c r="C30" s="1">
        <v>5242.0319651882292</v>
      </c>
      <c r="D30" s="1">
        <v>90094.124647679055</v>
      </c>
      <c r="E30" s="1">
        <v>0</v>
      </c>
      <c r="F30" s="1">
        <v>0</v>
      </c>
      <c r="G30" s="9">
        <f>SUM(MS_FINANCIAL)</f>
        <v>97790.486052112043</v>
      </c>
      <c r="L30" s="6">
        <v>12150</v>
      </c>
      <c r="M30" s="1">
        <v>0</v>
      </c>
      <c r="O30" s="1">
        <v>122850</v>
      </c>
      <c r="P30" s="1">
        <v>0</v>
      </c>
      <c r="R30" s="1">
        <v>0</v>
      </c>
      <c r="S30" s="1">
        <v>0</v>
      </c>
      <c r="U30" s="1">
        <v>0</v>
      </c>
      <c r="V30" s="9">
        <v>0</v>
      </c>
    </row>
    <row r="31" spans="1:22">
      <c r="A31" s="1" t="s">
        <v>52</v>
      </c>
      <c r="B31" s="6">
        <v>10377.592584856107</v>
      </c>
      <c r="C31" s="1">
        <v>154209.75488190912</v>
      </c>
      <c r="D31" s="1">
        <v>46852.542017657965</v>
      </c>
      <c r="E31" s="1">
        <v>0</v>
      </c>
      <c r="F31" s="1">
        <v>0</v>
      </c>
      <c r="G31" s="9">
        <f>SUM(MO_FINANCIAL)</f>
        <v>211439.88948442321</v>
      </c>
      <c r="L31" s="6"/>
      <c r="V31" s="9"/>
    </row>
    <row r="32" spans="1:22">
      <c r="A32" s="1" t="s">
        <v>53</v>
      </c>
      <c r="B32" s="6">
        <v>1339.1619934633902</v>
      </c>
      <c r="C32" s="1">
        <v>21097.691448040052</v>
      </c>
      <c r="D32" s="1">
        <v>25077.481102083613</v>
      </c>
      <c r="E32" s="1">
        <v>0</v>
      </c>
      <c r="F32" s="1">
        <v>0</v>
      </c>
      <c r="G32" s="9">
        <f>SUM(MT_FINANCIAL)</f>
        <v>47514.334543587058</v>
      </c>
      <c r="L32" s="6">
        <v>0</v>
      </c>
      <c r="M32" s="1">
        <v>0</v>
      </c>
      <c r="O32" s="1">
        <v>0</v>
      </c>
      <c r="P32" s="1">
        <v>0</v>
      </c>
      <c r="R32" s="1">
        <v>50000</v>
      </c>
      <c r="S32" s="1">
        <v>0</v>
      </c>
      <c r="U32" s="1">
        <v>0</v>
      </c>
      <c r="V32" s="9">
        <v>0</v>
      </c>
    </row>
    <row r="33" spans="1:22">
      <c r="A33" s="1" t="s">
        <v>54</v>
      </c>
      <c r="B33" s="6">
        <v>3023.2997161794101</v>
      </c>
      <c r="C33" s="1">
        <v>73400.968841583759</v>
      </c>
      <c r="D33" s="1">
        <v>0</v>
      </c>
      <c r="E33" s="1">
        <v>0</v>
      </c>
      <c r="F33" s="1">
        <v>0</v>
      </c>
      <c r="G33" s="9">
        <f>SUM(NE_FINANCIAL)</f>
        <v>76424.268557763164</v>
      </c>
      <c r="L33" s="6">
        <v>16650</v>
      </c>
      <c r="M33" s="1">
        <v>0</v>
      </c>
      <c r="O33" s="1">
        <v>17218</v>
      </c>
      <c r="P33" s="1">
        <v>0</v>
      </c>
      <c r="R33" s="1">
        <v>3700</v>
      </c>
      <c r="S33" s="1">
        <v>0</v>
      </c>
      <c r="U33" s="1">
        <v>0</v>
      </c>
      <c r="V33" s="9">
        <v>0</v>
      </c>
    </row>
    <row r="34" spans="1:22">
      <c r="A34" s="1" t="s">
        <v>55</v>
      </c>
      <c r="B34" s="6">
        <v>3153.5176249922315</v>
      </c>
      <c r="C34" s="1">
        <v>57898.748577094877</v>
      </c>
      <c r="D34" s="1">
        <v>0</v>
      </c>
      <c r="E34" s="1">
        <v>0</v>
      </c>
      <c r="F34" s="1">
        <v>0</v>
      </c>
      <c r="G34" s="9">
        <f>SUM(NV_FINANCIAL)</f>
        <v>61052.266202087107</v>
      </c>
      <c r="L34" s="6">
        <v>4600</v>
      </c>
      <c r="M34" s="1">
        <v>0</v>
      </c>
      <c r="O34" s="1">
        <v>78800</v>
      </c>
      <c r="P34" s="1">
        <v>0</v>
      </c>
      <c r="R34" s="1">
        <v>39600</v>
      </c>
      <c r="S34" s="1">
        <v>0</v>
      </c>
      <c r="U34" s="1">
        <v>0</v>
      </c>
      <c r="V34" s="9">
        <v>0</v>
      </c>
    </row>
    <row r="35" spans="1:22">
      <c r="A35" s="1" t="s">
        <v>56</v>
      </c>
      <c r="B35" s="6">
        <v>3043.6297318656461</v>
      </c>
      <c r="C35" s="1">
        <v>2798.8615522655864</v>
      </c>
      <c r="D35" s="1">
        <v>147063.80101363381</v>
      </c>
      <c r="E35" s="1">
        <v>0</v>
      </c>
      <c r="F35" s="1">
        <v>0</v>
      </c>
      <c r="G35" s="9">
        <f>SUM(NH_FINANCIAL)</f>
        <v>152906.29229776503</v>
      </c>
      <c r="L35" s="6">
        <v>0</v>
      </c>
      <c r="M35" s="1">
        <v>0</v>
      </c>
      <c r="O35" s="1">
        <v>0</v>
      </c>
      <c r="P35" s="1">
        <v>0</v>
      </c>
      <c r="R35" s="1">
        <v>210000</v>
      </c>
      <c r="S35" s="1">
        <v>0</v>
      </c>
      <c r="U35" s="1">
        <v>0</v>
      </c>
      <c r="V35" s="9">
        <v>0</v>
      </c>
    </row>
    <row r="36" spans="1:22">
      <c r="A36" s="1" t="s">
        <v>57</v>
      </c>
      <c r="B36" s="6">
        <v>0</v>
      </c>
      <c r="C36" s="1">
        <v>0</v>
      </c>
      <c r="D36" s="1">
        <v>0</v>
      </c>
      <c r="E36" s="1">
        <v>0</v>
      </c>
      <c r="F36" s="1">
        <v>0</v>
      </c>
      <c r="G36" s="9">
        <f>SUM(NJ_FINANCIAL)</f>
        <v>0</v>
      </c>
      <c r="L36" s="6"/>
      <c r="V36" s="9"/>
    </row>
    <row r="37" spans="1:22">
      <c r="A37" s="1" t="s">
        <v>58</v>
      </c>
      <c r="B37" s="6">
        <v>7228.1257096362624</v>
      </c>
      <c r="C37" s="1">
        <v>11542.563247114749</v>
      </c>
      <c r="D37" s="1">
        <v>66572.433176813603</v>
      </c>
      <c r="E37" s="1">
        <v>0</v>
      </c>
      <c r="F37" s="1">
        <v>0</v>
      </c>
      <c r="G37" s="9">
        <f>SUM(NM_FINANCIAL)</f>
        <v>85343.122133564611</v>
      </c>
      <c r="L37" s="6">
        <v>0</v>
      </c>
      <c r="M37" s="1">
        <v>0</v>
      </c>
      <c r="O37" s="1">
        <v>0</v>
      </c>
      <c r="P37" s="1">
        <v>0</v>
      </c>
      <c r="R37" s="1">
        <v>59981</v>
      </c>
      <c r="S37" s="1">
        <v>0</v>
      </c>
      <c r="U37" s="1">
        <v>0</v>
      </c>
      <c r="V37" s="9">
        <v>0</v>
      </c>
    </row>
    <row r="38" spans="1:22">
      <c r="A38" s="1" t="s">
        <v>59</v>
      </c>
      <c r="B38" s="6">
        <v>0</v>
      </c>
      <c r="C38" s="1">
        <v>0</v>
      </c>
      <c r="D38" s="1">
        <v>0</v>
      </c>
      <c r="E38" s="1">
        <v>0</v>
      </c>
      <c r="F38" s="1">
        <v>0</v>
      </c>
      <c r="G38" s="9">
        <f>SUM(NY_FINANCIAL)</f>
        <v>0</v>
      </c>
      <c r="L38" s="6"/>
      <c r="V38" s="9"/>
    </row>
    <row r="39" spans="1:22">
      <c r="A39" s="1" t="s">
        <v>60</v>
      </c>
      <c r="B39" s="6">
        <v>0</v>
      </c>
      <c r="C39" s="1">
        <v>0</v>
      </c>
      <c r="D39" s="1">
        <v>0</v>
      </c>
      <c r="E39" s="1">
        <v>0</v>
      </c>
      <c r="F39" s="1">
        <v>0</v>
      </c>
      <c r="G39" s="9">
        <f>SUM(NC_FINANCIAL)</f>
        <v>0</v>
      </c>
      <c r="L39" s="6"/>
      <c r="V39" s="9"/>
    </row>
    <row r="40" spans="1:22">
      <c r="A40" s="1" t="s">
        <v>61</v>
      </c>
      <c r="B40" s="6">
        <v>1929.7768344430567</v>
      </c>
      <c r="C40" s="1">
        <v>-37.092627742620955</v>
      </c>
      <c r="D40" s="1">
        <v>0</v>
      </c>
      <c r="E40" s="1">
        <v>0</v>
      </c>
      <c r="F40" s="1">
        <v>0</v>
      </c>
      <c r="G40" s="9">
        <f>SUM(ND_FINANCIAL)</f>
        <v>1892.6842067004357</v>
      </c>
      <c r="L40" s="6"/>
      <c r="V40" s="9"/>
    </row>
    <row r="41" spans="1:22">
      <c r="A41" s="1" t="s">
        <v>62</v>
      </c>
      <c r="B41" s="6">
        <v>8109.6624790075966</v>
      </c>
      <c r="C41" s="1">
        <v>79821.732828294378</v>
      </c>
      <c r="D41" s="1">
        <v>80786.429505060543</v>
      </c>
      <c r="E41" s="1">
        <v>0</v>
      </c>
      <c r="F41" s="1">
        <v>0</v>
      </c>
      <c r="G41" s="9">
        <f>SUM(OH_FINANCIAL)</f>
        <v>168717.82481236252</v>
      </c>
      <c r="L41" s="6">
        <v>10000</v>
      </c>
      <c r="M41" s="1">
        <v>0</v>
      </c>
      <c r="O41" s="1">
        <v>70000</v>
      </c>
      <c r="P41" s="1">
        <v>0</v>
      </c>
      <c r="R41" s="1">
        <v>150000</v>
      </c>
      <c r="S41" s="1">
        <v>0</v>
      </c>
      <c r="U41" s="1">
        <v>0</v>
      </c>
      <c r="V41" s="9">
        <v>0</v>
      </c>
    </row>
    <row r="42" spans="1:22">
      <c r="A42" s="1" t="s">
        <v>63</v>
      </c>
      <c r="B42" s="6">
        <v>5254.4790484070272</v>
      </c>
      <c r="C42" s="1">
        <v>62824.093292050267</v>
      </c>
      <c r="D42" s="1">
        <v>172157.16063597822</v>
      </c>
      <c r="E42" s="1">
        <v>0</v>
      </c>
      <c r="F42" s="1">
        <v>0</v>
      </c>
      <c r="G42" s="9">
        <f>SUM(OK_FINANCIAL)</f>
        <v>240235.73297643551</v>
      </c>
      <c r="L42" s="6">
        <v>98000</v>
      </c>
      <c r="M42" s="1">
        <v>0</v>
      </c>
      <c r="O42" s="1">
        <v>7000</v>
      </c>
      <c r="P42" s="1">
        <v>0</v>
      </c>
      <c r="R42" s="1">
        <v>245000</v>
      </c>
      <c r="S42" s="1">
        <v>0</v>
      </c>
      <c r="U42" s="1">
        <v>0</v>
      </c>
      <c r="V42" s="9">
        <v>0</v>
      </c>
    </row>
    <row r="43" spans="1:22">
      <c r="A43" s="1" t="s">
        <v>64</v>
      </c>
      <c r="B43" s="6">
        <v>6050.7767216623233</v>
      </c>
      <c r="C43" s="1">
        <v>106279.86914581647</v>
      </c>
      <c r="D43" s="1">
        <v>42010.801261440472</v>
      </c>
      <c r="E43" s="1">
        <v>0</v>
      </c>
      <c r="F43" s="1">
        <v>0</v>
      </c>
      <c r="G43" s="9">
        <f>SUM(OR_FINANCIAL)</f>
        <v>154341.44712891924</v>
      </c>
      <c r="L43" s="6"/>
      <c r="V43" s="9"/>
    </row>
    <row r="44" spans="1:22">
      <c r="A44" s="1" t="s">
        <v>65</v>
      </c>
      <c r="B44" s="6">
        <v>15959.923147959817</v>
      </c>
      <c r="C44" s="1">
        <v>445661.6055514912</v>
      </c>
      <c r="D44" s="1">
        <v>151650.54128231324</v>
      </c>
      <c r="E44" s="1">
        <v>0</v>
      </c>
      <c r="F44" s="1">
        <v>0</v>
      </c>
      <c r="G44" s="9">
        <f>SUM(PA_FINANCIAL)</f>
        <v>613272.0699817643</v>
      </c>
      <c r="L44" s="6"/>
      <c r="V44" s="9"/>
    </row>
    <row r="45" spans="1:22">
      <c r="A45" s="1" t="s">
        <v>66</v>
      </c>
      <c r="B45" s="6">
        <v>0</v>
      </c>
      <c r="C45" s="1">
        <v>0</v>
      </c>
      <c r="D45" s="1">
        <v>0</v>
      </c>
      <c r="E45" s="1">
        <v>0</v>
      </c>
      <c r="F45" s="1">
        <v>0</v>
      </c>
      <c r="G45" s="9">
        <f>SUM(PR_FINANCIAL)</f>
        <v>0</v>
      </c>
      <c r="L45" s="6"/>
      <c r="V45" s="9"/>
    </row>
    <row r="46" spans="1:22">
      <c r="A46" s="1" t="s">
        <v>67</v>
      </c>
      <c r="B46" s="6">
        <v>3357.762060272471</v>
      </c>
      <c r="C46" s="1">
        <v>21792.872835884918</v>
      </c>
      <c r="D46" s="1">
        <v>0</v>
      </c>
      <c r="E46" s="1">
        <v>0</v>
      </c>
      <c r="F46" s="1">
        <v>0</v>
      </c>
      <c r="G46" s="9">
        <f>SUM(RI_FINANCIAL)</f>
        <v>25150.634896157389</v>
      </c>
      <c r="L46" s="6">
        <v>3400</v>
      </c>
      <c r="M46" s="1">
        <v>0</v>
      </c>
      <c r="O46" s="1">
        <v>11900</v>
      </c>
      <c r="P46" s="1">
        <v>0</v>
      </c>
      <c r="R46" s="1">
        <v>18700</v>
      </c>
      <c r="S46" s="1">
        <v>0</v>
      </c>
      <c r="U46" s="1">
        <v>0</v>
      </c>
      <c r="V46" s="9">
        <v>0</v>
      </c>
    </row>
    <row r="47" spans="1:22">
      <c r="A47" s="1" t="s">
        <v>68</v>
      </c>
      <c r="B47" s="6">
        <v>15909.257317700927</v>
      </c>
      <c r="C47" s="1">
        <v>40031.26241010036</v>
      </c>
      <c r="D47" s="1">
        <v>16245.183002790511</v>
      </c>
      <c r="E47" s="1">
        <v>0</v>
      </c>
      <c r="F47" s="1">
        <v>0</v>
      </c>
      <c r="G47" s="9">
        <f>SUM(SC_FINANCIAL)</f>
        <v>72185.702730591802</v>
      </c>
      <c r="L47" s="6"/>
      <c r="V47" s="9"/>
    </row>
    <row r="48" spans="1:22">
      <c r="A48" s="1" t="s">
        <v>69</v>
      </c>
      <c r="B48" s="6">
        <v>1788.4696385634775</v>
      </c>
      <c r="C48" s="1">
        <v>141505.45275858362</v>
      </c>
      <c r="D48" s="1">
        <v>0</v>
      </c>
      <c r="E48" s="1">
        <v>0</v>
      </c>
      <c r="F48" s="1">
        <v>0</v>
      </c>
      <c r="G48" s="9">
        <f>SUM(SD_FINANCIAL)</f>
        <v>143293.92239714711</v>
      </c>
      <c r="L48" s="6">
        <v>0</v>
      </c>
      <c r="M48" s="1">
        <v>0</v>
      </c>
      <c r="O48" s="1">
        <v>0</v>
      </c>
      <c r="P48" s="1">
        <v>0</v>
      </c>
      <c r="R48" s="1">
        <v>102492</v>
      </c>
      <c r="S48" s="1">
        <v>0</v>
      </c>
      <c r="U48" s="1">
        <v>0</v>
      </c>
      <c r="V48" s="9">
        <v>0</v>
      </c>
    </row>
    <row r="49" spans="1:22">
      <c r="A49" s="1" t="s">
        <v>70</v>
      </c>
      <c r="B49" s="6">
        <v>0</v>
      </c>
      <c r="C49" s="1">
        <v>0</v>
      </c>
      <c r="D49" s="1">
        <v>0</v>
      </c>
      <c r="E49" s="1">
        <v>0</v>
      </c>
      <c r="F49" s="1">
        <v>0</v>
      </c>
      <c r="G49" s="9">
        <f>SUM(TN_FINANCIAL)</f>
        <v>0</v>
      </c>
      <c r="L49" s="6"/>
      <c r="V49" s="9"/>
    </row>
    <row r="50" spans="1:22">
      <c r="A50" s="1" t="s">
        <v>71</v>
      </c>
      <c r="B50" s="6">
        <v>37801.224038488268</v>
      </c>
      <c r="C50" s="1">
        <v>488534.57285741449</v>
      </c>
      <c r="D50" s="1">
        <v>666089.11994123075</v>
      </c>
      <c r="E50" s="1">
        <v>0</v>
      </c>
      <c r="F50" s="1">
        <v>0</v>
      </c>
      <c r="G50" s="9">
        <f>SUM(TX_FINANCIAL)</f>
        <v>1192424.9168371335</v>
      </c>
      <c r="L50" s="6">
        <v>19461</v>
      </c>
      <c r="M50" s="1">
        <v>2042.0701079999999</v>
      </c>
      <c r="O50" s="1">
        <v>2706</v>
      </c>
      <c r="P50" s="1">
        <v>275.95542</v>
      </c>
      <c r="R50" s="1">
        <v>1740990</v>
      </c>
      <c r="S50" s="1">
        <v>181652.254472</v>
      </c>
      <c r="U50" s="1">
        <v>0</v>
      </c>
      <c r="V50" s="9">
        <v>0</v>
      </c>
    </row>
    <row r="51" spans="1:22">
      <c r="A51" s="1" t="s">
        <v>72</v>
      </c>
      <c r="B51" s="6">
        <v>1733.7809146081777</v>
      </c>
      <c r="C51" s="1">
        <v>10300.329746907139</v>
      </c>
      <c r="D51" s="1">
        <v>864.80156463588605</v>
      </c>
      <c r="E51" s="1">
        <v>0</v>
      </c>
      <c r="F51" s="1">
        <v>0</v>
      </c>
      <c r="G51" s="9">
        <f>SUM(UT_FINANCIAL)</f>
        <v>12898.912226151202</v>
      </c>
      <c r="L51" s="6">
        <v>3290</v>
      </c>
      <c r="M51" s="1">
        <v>0</v>
      </c>
      <c r="O51" s="1">
        <v>20210</v>
      </c>
      <c r="P51" s="1">
        <v>0</v>
      </c>
      <c r="R51" s="1">
        <v>0</v>
      </c>
      <c r="S51" s="1">
        <v>0</v>
      </c>
      <c r="U51" s="1">
        <v>0</v>
      </c>
      <c r="V51" s="9">
        <v>0</v>
      </c>
    </row>
    <row r="52" spans="1:22">
      <c r="A52" s="1" t="s">
        <v>73</v>
      </c>
      <c r="B52" s="6">
        <v>725.26836656487194</v>
      </c>
      <c r="C52" s="1">
        <v>8510.3374475134187</v>
      </c>
      <c r="D52" s="1">
        <v>0</v>
      </c>
      <c r="E52" s="1">
        <v>0</v>
      </c>
      <c r="F52" s="1">
        <v>0</v>
      </c>
      <c r="G52" s="9">
        <f>SUM(VT_FINANCIAL)</f>
        <v>9235.6058140782916</v>
      </c>
      <c r="L52" s="6"/>
      <c r="V52" s="9"/>
    </row>
    <row r="53" spans="1:22">
      <c r="A53" s="1" t="s">
        <v>74</v>
      </c>
      <c r="B53" s="6">
        <v>367109.35532023298</v>
      </c>
      <c r="C53" s="1">
        <v>344657.64483431663</v>
      </c>
      <c r="D53" s="1">
        <v>8131.5322737085589</v>
      </c>
      <c r="E53" s="1">
        <v>0</v>
      </c>
      <c r="F53" s="1">
        <v>0</v>
      </c>
      <c r="G53" s="9">
        <f>SUM(VA_FINANCIAL)</f>
        <v>719898.53242825822</v>
      </c>
      <c r="L53" s="6">
        <v>61755</v>
      </c>
      <c r="M53" s="1">
        <v>0</v>
      </c>
      <c r="O53" s="1">
        <v>393791</v>
      </c>
      <c r="P53" s="1">
        <v>0</v>
      </c>
      <c r="R53" s="1">
        <v>930387</v>
      </c>
      <c r="S53" s="1">
        <v>450000</v>
      </c>
      <c r="U53" s="1">
        <v>0</v>
      </c>
      <c r="V53" s="9">
        <v>0</v>
      </c>
    </row>
    <row r="54" spans="1:22">
      <c r="A54" s="1" t="s">
        <v>75</v>
      </c>
      <c r="B54" s="6">
        <v>58472.720341548877</v>
      </c>
      <c r="C54" s="1">
        <v>533218.10785306385</v>
      </c>
      <c r="D54" s="1">
        <v>103375.57515940376</v>
      </c>
      <c r="E54" s="1">
        <v>0</v>
      </c>
      <c r="F54" s="1">
        <v>0</v>
      </c>
      <c r="G54" s="9">
        <f>SUM(WA_FINANCIAL)</f>
        <v>695066.40335401648</v>
      </c>
      <c r="L54" s="6">
        <v>0</v>
      </c>
      <c r="M54" s="1">
        <v>0</v>
      </c>
      <c r="O54" s="1">
        <v>350000</v>
      </c>
      <c r="P54" s="1">
        <v>0</v>
      </c>
      <c r="R54" s="1">
        <v>200000</v>
      </c>
      <c r="S54" s="1">
        <v>0</v>
      </c>
      <c r="U54" s="1">
        <v>0</v>
      </c>
      <c r="V54" s="9">
        <v>0</v>
      </c>
    </row>
    <row r="55" spans="1:22">
      <c r="A55" s="1" t="s">
        <v>76</v>
      </c>
      <c r="B55" s="6">
        <v>3452.2744541044531</v>
      </c>
      <c r="C55" s="1">
        <v>66250.261998316128</v>
      </c>
      <c r="D55" s="1">
        <v>106154.98761083357</v>
      </c>
      <c r="E55" s="1">
        <v>0</v>
      </c>
      <c r="F55" s="1">
        <v>0</v>
      </c>
      <c r="G55" s="9">
        <f>SUM(WV_FINANCIAL)</f>
        <v>175857.52406325415</v>
      </c>
      <c r="L55" s="6">
        <v>7080</v>
      </c>
      <c r="M55" s="1">
        <v>153687</v>
      </c>
      <c r="O55" s="1">
        <v>6360</v>
      </c>
      <c r="P55" s="1">
        <v>261</v>
      </c>
      <c r="R55" s="1">
        <v>386560</v>
      </c>
      <c r="S55" s="1">
        <v>399081</v>
      </c>
      <c r="U55" s="1">
        <v>0</v>
      </c>
      <c r="V55" s="9">
        <v>0</v>
      </c>
    </row>
    <row r="56" spans="1:22">
      <c r="A56" s="1" t="s">
        <v>77</v>
      </c>
      <c r="B56" s="6">
        <v>6913.6313860629798</v>
      </c>
      <c r="C56" s="1">
        <v>230197.19452403672</v>
      </c>
      <c r="D56" s="1">
        <v>49717.712259854874</v>
      </c>
      <c r="E56" s="1">
        <v>0</v>
      </c>
      <c r="F56" s="1">
        <v>0</v>
      </c>
      <c r="G56" s="9">
        <f>SUM(WI_FINANCIAL)</f>
        <v>286828.53816995455</v>
      </c>
      <c r="L56" s="6">
        <v>0</v>
      </c>
      <c r="M56" s="1">
        <v>0</v>
      </c>
      <c r="O56" s="1">
        <v>300000</v>
      </c>
      <c r="P56" s="1">
        <v>0</v>
      </c>
      <c r="R56" s="1">
        <v>0</v>
      </c>
      <c r="S56" s="1">
        <v>0</v>
      </c>
      <c r="U56" s="1">
        <v>0</v>
      </c>
      <c r="V56" s="9">
        <v>0</v>
      </c>
    </row>
    <row r="57" spans="1:22">
      <c r="A57" s="1" t="s">
        <v>78</v>
      </c>
      <c r="B57" s="6">
        <v>443.93981667945326</v>
      </c>
      <c r="C57" s="1">
        <v>29767.964464370907</v>
      </c>
      <c r="D57" s="1">
        <v>34152.723884497202</v>
      </c>
      <c r="E57" s="1">
        <v>0</v>
      </c>
      <c r="F57" s="1">
        <v>0</v>
      </c>
      <c r="G57" s="9">
        <f>SUM(WY_FINANCIAL)</f>
        <v>64364.628165547561</v>
      </c>
      <c r="L57" s="6">
        <v>0</v>
      </c>
      <c r="M57" s="1">
        <v>0</v>
      </c>
      <c r="O57" s="1">
        <v>0</v>
      </c>
      <c r="P57" s="1">
        <v>0</v>
      </c>
      <c r="R57" s="1">
        <v>0</v>
      </c>
      <c r="S57" s="1">
        <v>0</v>
      </c>
      <c r="U57" s="1">
        <v>0</v>
      </c>
      <c r="V57" s="9">
        <v>0</v>
      </c>
    </row>
    <row r="58" spans="1:22">
      <c r="A58" s="1" t="s">
        <v>79</v>
      </c>
      <c r="B58" s="6">
        <v>0</v>
      </c>
      <c r="C58" s="1">
        <v>0</v>
      </c>
      <c r="D58" s="1">
        <v>0</v>
      </c>
      <c r="E58" s="1">
        <v>0</v>
      </c>
      <c r="F58" s="1">
        <v>0</v>
      </c>
      <c r="G58" s="9">
        <f>SUM(OT_FINANCIAL)</f>
        <v>0</v>
      </c>
      <c r="L58" s="6"/>
      <c r="V58" s="9"/>
    </row>
    <row r="59" spans="1:22">
      <c r="B59" s="6"/>
      <c r="G59" s="9"/>
      <c r="L59" s="6"/>
      <c r="V59" s="9"/>
    </row>
    <row r="60" spans="1:22">
      <c r="A60" s="1" t="s">
        <v>8</v>
      </c>
      <c r="B60" s="6">
        <f>SUM(LIFE)</f>
        <v>1117757.2820758612</v>
      </c>
      <c r="C60" s="1">
        <f>SUM(ALLOCATED)</f>
        <v>8414958.5289221276</v>
      </c>
      <c r="D60" s="1">
        <f>SUM(HEALTH)</f>
        <v>5571815.9190020086</v>
      </c>
      <c r="E60" s="1">
        <f>SUM(UNALLOCATED)</f>
        <v>0</v>
      </c>
      <c r="F60" s="1">
        <f>SUM(LTC)</f>
        <v>0</v>
      </c>
      <c r="G60" s="9">
        <f>SUM(ALL_BLOCKS)</f>
        <v>15104531.730000004</v>
      </c>
      <c r="L60" s="6">
        <f>SUM(LIFE_CALLED)</f>
        <v>868884</v>
      </c>
      <c r="M60" s="1">
        <f>SUM(LIFE_REFUNDED)</f>
        <v>258055.07010800001</v>
      </c>
      <c r="O60" s="1">
        <f>SUM(ALLOC_CALLED)</f>
        <v>5279053</v>
      </c>
      <c r="P60" s="1">
        <f>SUM(ALLOC_REFUNDED)</f>
        <v>275536.95542000001</v>
      </c>
      <c r="R60" s="1">
        <f>SUM(HEALTH_CALLED)</f>
        <v>12212190</v>
      </c>
      <c r="S60" s="1">
        <f>SUM(HEALTH_REFUNDED)</f>
        <v>3611951.2544720001</v>
      </c>
      <c r="U60" s="1">
        <f>SUM(UNALLOC_CALLED)</f>
        <v>40</v>
      </c>
      <c r="V60" s="9">
        <f>SUM(UNALLOC_REFUNDED)</f>
        <v>4</v>
      </c>
    </row>
    <row r="61" spans="1:22" ht="5.0999999999999996" customHeight="1">
      <c r="B61" s="6"/>
      <c r="G61" s="9"/>
      <c r="L61" s="6"/>
      <c r="V61" s="9"/>
    </row>
    <row r="62" spans="1:22">
      <c r="B62" s="6"/>
      <c r="G62" s="9"/>
      <c r="L62" s="78" t="s">
        <v>80</v>
      </c>
      <c r="M62" s="79"/>
      <c r="N62" s="79"/>
      <c r="O62" s="79"/>
      <c r="P62" s="79"/>
      <c r="Q62" s="79"/>
      <c r="R62" s="79"/>
      <c r="S62" s="79"/>
      <c r="T62" s="79"/>
      <c r="U62" s="79"/>
      <c r="V62" s="80"/>
    </row>
    <row r="63" spans="1:22">
      <c r="B63" s="6"/>
      <c r="G63" s="9"/>
      <c r="L63" s="81"/>
      <c r="M63" s="79"/>
      <c r="N63" s="79"/>
      <c r="O63" s="79"/>
      <c r="P63" s="79"/>
      <c r="Q63" s="79"/>
      <c r="R63" s="79"/>
      <c r="S63" s="79"/>
      <c r="T63" s="79"/>
      <c r="U63" s="79"/>
      <c r="V63" s="80"/>
    </row>
    <row r="64" spans="1:22">
      <c r="B64" s="8"/>
      <c r="C64" s="5"/>
      <c r="D64" s="5"/>
      <c r="E64" s="5"/>
      <c r="F64" s="5"/>
      <c r="G64" s="11"/>
      <c r="L64" s="82"/>
      <c r="M64" s="83"/>
      <c r="N64" s="83"/>
      <c r="O64" s="83"/>
      <c r="P64" s="83"/>
      <c r="Q64" s="83"/>
      <c r="R64" s="83"/>
      <c r="S64" s="83"/>
      <c r="T64" s="83"/>
      <c r="U64" s="83"/>
      <c r="V64" s="84"/>
    </row>
  </sheetData>
  <mergeCells count="8">
    <mergeCell ref="L62:V64"/>
    <mergeCell ref="A1:G1"/>
    <mergeCell ref="B3:G3"/>
    <mergeCell ref="L3:V3"/>
    <mergeCell ref="L4:M4"/>
    <mergeCell ref="O4:P4"/>
    <mergeCell ref="R4:S4"/>
    <mergeCell ref="U4:V4"/>
  </mergeCells>
  <pageMargins left="0" right="0" top="0" bottom="0" header="0" footer="0"/>
  <pageSetup scale="48"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V64"/>
  <sheetViews>
    <sheetView zoomScale="75" workbookViewId="0">
      <selection sqref="A1:G1"/>
    </sheetView>
  </sheetViews>
  <sheetFormatPr defaultColWidth="9.109375" defaultRowHeight="14.4"/>
  <cols>
    <col min="1" max="1" width="20" style="1" customWidth="1"/>
    <col min="2" max="7" width="15" style="1" customWidth="1"/>
    <col min="8" max="8" width="1" style="1" customWidth="1"/>
    <col min="9" max="9" width="30" style="1" customWidth="1"/>
    <col min="10" max="10" width="15" style="1" customWidth="1"/>
    <col min="11" max="11" width="1" style="1" customWidth="1"/>
    <col min="12" max="13" width="15" style="1" customWidth="1"/>
    <col min="14" max="14" width="1" style="1" customWidth="1"/>
    <col min="15" max="16" width="15" style="1" customWidth="1"/>
    <col min="17" max="17" width="1" style="1" customWidth="1"/>
    <col min="18" max="19" width="15" style="1" customWidth="1"/>
    <col min="20" max="20" width="1" style="1" customWidth="1"/>
    <col min="21" max="22" width="15" style="1" customWidth="1"/>
    <col min="23" max="23" width="9.109375" style="1" customWidth="1"/>
    <col min="24" max="16384" width="9.109375" style="1"/>
  </cols>
  <sheetData>
    <row r="1" spans="1:22">
      <c r="A1" s="85" t="s">
        <v>108</v>
      </c>
      <c r="B1" s="79"/>
      <c r="C1" s="79"/>
      <c r="D1" s="79"/>
      <c r="E1" s="79"/>
      <c r="F1" s="79"/>
      <c r="G1" s="79"/>
    </row>
    <row r="3" spans="1:22">
      <c r="B3" s="86" t="s">
        <v>1</v>
      </c>
      <c r="C3" s="87"/>
      <c r="D3" s="87"/>
      <c r="E3" s="87"/>
      <c r="F3" s="87"/>
      <c r="G3" s="88"/>
      <c r="L3" s="89" t="s">
        <v>2</v>
      </c>
      <c r="M3" s="90"/>
      <c r="N3" s="90"/>
      <c r="O3" s="90"/>
      <c r="P3" s="90"/>
      <c r="Q3" s="90"/>
      <c r="R3" s="90"/>
      <c r="S3" s="90"/>
      <c r="T3" s="90"/>
      <c r="U3" s="90"/>
      <c r="V3" s="91"/>
    </row>
    <row r="4" spans="1:22">
      <c r="B4" s="6"/>
      <c r="G4" s="9"/>
      <c r="L4" s="92" t="s">
        <v>3</v>
      </c>
      <c r="M4" s="93"/>
      <c r="N4" s="3"/>
      <c r="O4" s="94" t="s">
        <v>4</v>
      </c>
      <c r="P4" s="93"/>
      <c r="Q4" s="3"/>
      <c r="R4" s="94" t="s">
        <v>5</v>
      </c>
      <c r="S4" s="93"/>
      <c r="T4" s="3"/>
      <c r="U4" s="94" t="s">
        <v>6</v>
      </c>
      <c r="V4" s="95"/>
    </row>
    <row r="5" spans="1:22" ht="60" customHeight="1">
      <c r="B5" s="7" t="s">
        <v>3</v>
      </c>
      <c r="C5" s="4" t="s">
        <v>4</v>
      </c>
      <c r="D5" s="4" t="s">
        <v>5</v>
      </c>
      <c r="E5" s="4" t="s">
        <v>6</v>
      </c>
      <c r="F5" s="4" t="s">
        <v>7</v>
      </c>
      <c r="G5" s="10" t="s">
        <v>8</v>
      </c>
      <c r="L5" s="19" t="s">
        <v>9</v>
      </c>
      <c r="M5" s="18" t="s">
        <v>10</v>
      </c>
      <c r="N5" s="18"/>
      <c r="O5" s="18" t="s">
        <v>9</v>
      </c>
      <c r="P5" s="18" t="s">
        <v>10</v>
      </c>
      <c r="Q5" s="18"/>
      <c r="R5" s="18" t="s">
        <v>9</v>
      </c>
      <c r="S5" s="18" t="s">
        <v>10</v>
      </c>
      <c r="T5" s="18"/>
      <c r="U5" s="18" t="s">
        <v>9</v>
      </c>
      <c r="V5" s="20" t="s">
        <v>10</v>
      </c>
    </row>
    <row r="6" spans="1:22">
      <c r="A6" s="1" t="s">
        <v>11</v>
      </c>
      <c r="B6" s="6">
        <v>0</v>
      </c>
      <c r="C6" s="1">
        <v>0</v>
      </c>
      <c r="D6" s="1">
        <v>0</v>
      </c>
      <c r="E6" s="1">
        <v>0</v>
      </c>
      <c r="F6" s="1">
        <v>0</v>
      </c>
      <c r="G6" s="9">
        <f>SUM(AL_FINANCIAL)</f>
        <v>0</v>
      </c>
      <c r="L6" s="6"/>
      <c r="V6" s="9"/>
    </row>
    <row r="7" spans="1:22">
      <c r="A7" s="1" t="s">
        <v>12</v>
      </c>
      <c r="B7" s="6">
        <v>0</v>
      </c>
      <c r="C7" s="1">
        <v>0</v>
      </c>
      <c r="D7" s="1">
        <v>0</v>
      </c>
      <c r="E7" s="1">
        <v>0</v>
      </c>
      <c r="F7" s="1">
        <v>0</v>
      </c>
      <c r="G7" s="9">
        <f>SUM(AK_FINANCIAL)</f>
        <v>0</v>
      </c>
      <c r="I7" s="12"/>
      <c r="J7" s="15"/>
      <c r="L7" s="6"/>
      <c r="V7" s="9"/>
    </row>
    <row r="8" spans="1:22">
      <c r="A8" s="1" t="s">
        <v>13</v>
      </c>
      <c r="B8" s="6">
        <v>0</v>
      </c>
      <c r="C8" s="1">
        <v>0</v>
      </c>
      <c r="D8" s="1">
        <v>0</v>
      </c>
      <c r="E8" s="1">
        <v>0</v>
      </c>
      <c r="F8" s="1">
        <v>0</v>
      </c>
      <c r="G8" s="9">
        <f>SUM(AZ_FINANCIAL)</f>
        <v>0</v>
      </c>
      <c r="I8" s="13" t="s">
        <v>14</v>
      </c>
      <c r="J8" s="16"/>
      <c r="L8" s="6"/>
      <c r="V8" s="9"/>
    </row>
    <row r="9" spans="1:22">
      <c r="A9" s="1" t="s">
        <v>15</v>
      </c>
      <c r="B9" s="6">
        <v>0</v>
      </c>
      <c r="C9" s="1">
        <v>0</v>
      </c>
      <c r="D9" s="1">
        <v>0</v>
      </c>
      <c r="E9" s="1">
        <v>0</v>
      </c>
      <c r="F9" s="1">
        <v>0</v>
      </c>
      <c r="G9" s="9">
        <f>SUM(AR_FINANCIAL)</f>
        <v>0</v>
      </c>
      <c r="I9" s="13"/>
      <c r="J9" s="16"/>
      <c r="L9" s="6"/>
      <c r="V9" s="9"/>
    </row>
    <row r="10" spans="1:22">
      <c r="A10" s="1" t="s">
        <v>16</v>
      </c>
      <c r="B10" s="6">
        <v>0</v>
      </c>
      <c r="C10" s="1">
        <v>0</v>
      </c>
      <c r="D10" s="1">
        <v>0</v>
      </c>
      <c r="E10" s="1">
        <v>0</v>
      </c>
      <c r="F10" s="1">
        <v>0</v>
      </c>
      <c r="G10" s="9">
        <f>SUM(CA_FINANCIAL)</f>
        <v>0</v>
      </c>
      <c r="I10" s="13" t="s">
        <v>17</v>
      </c>
      <c r="J10" s="16">
        <v>115154750.06999999</v>
      </c>
      <c r="L10" s="6"/>
      <c r="V10" s="9"/>
    </row>
    <row r="11" spans="1:22">
      <c r="A11" s="1" t="s">
        <v>18</v>
      </c>
      <c r="B11" s="6">
        <v>0</v>
      </c>
      <c r="C11" s="1">
        <v>0</v>
      </c>
      <c r="D11" s="1">
        <v>0</v>
      </c>
      <c r="E11" s="1">
        <v>0</v>
      </c>
      <c r="F11" s="1">
        <v>0</v>
      </c>
      <c r="G11" s="9">
        <f>SUM(CO_FINANCIAL)</f>
        <v>0</v>
      </c>
      <c r="I11" s="13"/>
      <c r="J11" s="16"/>
      <c r="L11" s="6"/>
      <c r="V11" s="9"/>
    </row>
    <row r="12" spans="1:22">
      <c r="A12" s="1" t="s">
        <v>19</v>
      </c>
      <c r="B12" s="6">
        <v>0</v>
      </c>
      <c r="C12" s="1">
        <v>0</v>
      </c>
      <c r="D12" s="1">
        <v>0</v>
      </c>
      <c r="E12" s="1">
        <v>0</v>
      </c>
      <c r="F12" s="1">
        <v>0</v>
      </c>
      <c r="G12" s="9">
        <f>SUM(CT_FINANCIAL)</f>
        <v>0</v>
      </c>
      <c r="I12" s="13" t="s">
        <v>20</v>
      </c>
      <c r="J12" s="16"/>
      <c r="L12" s="6"/>
      <c r="V12" s="9"/>
    </row>
    <row r="13" spans="1:22">
      <c r="A13" s="1" t="s">
        <v>21</v>
      </c>
      <c r="B13" s="6">
        <v>0</v>
      </c>
      <c r="C13" s="1">
        <v>0</v>
      </c>
      <c r="D13" s="1">
        <v>0</v>
      </c>
      <c r="E13" s="1">
        <v>0</v>
      </c>
      <c r="F13" s="1">
        <v>0</v>
      </c>
      <c r="G13" s="9">
        <f>SUM(DE_FINANCIAL)</f>
        <v>0</v>
      </c>
      <c r="I13" s="13" t="s">
        <v>22</v>
      </c>
      <c r="J13" s="16">
        <v>115154750.06999999</v>
      </c>
      <c r="L13" s="6"/>
      <c r="V13" s="9"/>
    </row>
    <row r="14" spans="1:22">
      <c r="A14" s="1" t="s">
        <v>23</v>
      </c>
      <c r="B14" s="6">
        <v>0</v>
      </c>
      <c r="C14" s="1">
        <v>0</v>
      </c>
      <c r="D14" s="1">
        <v>0</v>
      </c>
      <c r="E14" s="1">
        <v>0</v>
      </c>
      <c r="F14" s="1">
        <v>0</v>
      </c>
      <c r="G14" s="9">
        <f>SUM(DC_FINANCIAL)</f>
        <v>0</v>
      </c>
      <c r="I14" s="13" t="s">
        <v>24</v>
      </c>
      <c r="J14" s="16">
        <v>9299050.1499999985</v>
      </c>
      <c r="L14" s="6"/>
      <c r="V14" s="9"/>
    </row>
    <row r="15" spans="1:22">
      <c r="A15" s="1" t="s">
        <v>25</v>
      </c>
      <c r="B15" s="6">
        <v>0</v>
      </c>
      <c r="C15" s="1">
        <v>0</v>
      </c>
      <c r="D15" s="1">
        <v>0</v>
      </c>
      <c r="E15" s="1">
        <v>0</v>
      </c>
      <c r="F15" s="1">
        <v>0</v>
      </c>
      <c r="G15" s="9">
        <f>SUM(FL_FINANCIAL)</f>
        <v>0</v>
      </c>
      <c r="I15" s="13" t="s">
        <v>26</v>
      </c>
      <c r="J15" s="16">
        <v>2476926.6723498944</v>
      </c>
      <c r="L15" s="6"/>
      <c r="V15" s="9"/>
    </row>
    <row r="16" spans="1:22">
      <c r="A16" s="1" t="s">
        <v>27</v>
      </c>
      <c r="B16" s="6">
        <v>0</v>
      </c>
      <c r="C16" s="1">
        <v>0</v>
      </c>
      <c r="D16" s="1">
        <v>0</v>
      </c>
      <c r="E16" s="1">
        <v>0</v>
      </c>
      <c r="F16" s="1">
        <v>0</v>
      </c>
      <c r="G16" s="9">
        <f>SUM(GA_FINANCIAL)</f>
        <v>0</v>
      </c>
      <c r="I16" s="13" t="s">
        <v>28</v>
      </c>
      <c r="J16" s="16">
        <v>0</v>
      </c>
      <c r="L16" s="6"/>
      <c r="V16" s="9"/>
    </row>
    <row r="17" spans="1:22">
      <c r="A17" s="1" t="s">
        <v>29</v>
      </c>
      <c r="B17" s="6">
        <v>0</v>
      </c>
      <c r="C17" s="1">
        <v>0</v>
      </c>
      <c r="D17" s="1">
        <v>0</v>
      </c>
      <c r="E17" s="1">
        <v>0</v>
      </c>
      <c r="F17" s="1">
        <v>0</v>
      </c>
      <c r="G17" s="9">
        <f>SUM(HI_FINANCIAL)</f>
        <v>0</v>
      </c>
      <c r="I17" s="13"/>
      <c r="J17" s="16"/>
      <c r="L17" s="6"/>
      <c r="V17" s="9"/>
    </row>
    <row r="18" spans="1:22">
      <c r="A18" s="1" t="s">
        <v>30</v>
      </c>
      <c r="B18" s="6">
        <v>0</v>
      </c>
      <c r="C18" s="1">
        <v>0</v>
      </c>
      <c r="D18" s="1">
        <v>0</v>
      </c>
      <c r="E18" s="1">
        <v>0</v>
      </c>
      <c r="F18" s="1">
        <v>0</v>
      </c>
      <c r="G18" s="9">
        <f>SUM(ID_FINANCIAL)</f>
        <v>0</v>
      </c>
      <c r="I18" s="13" t="s">
        <v>31</v>
      </c>
      <c r="J18" s="16"/>
      <c r="L18" s="6"/>
      <c r="V18" s="9"/>
    </row>
    <row r="19" spans="1:22">
      <c r="A19" s="1" t="s">
        <v>32</v>
      </c>
      <c r="B19" s="6">
        <v>0</v>
      </c>
      <c r="C19" s="1">
        <v>0</v>
      </c>
      <c r="D19" s="1">
        <v>0</v>
      </c>
      <c r="E19" s="1">
        <v>0</v>
      </c>
      <c r="F19" s="1">
        <v>0</v>
      </c>
      <c r="G19" s="9">
        <f>SUM(IL_FINANCIAL)</f>
        <v>0</v>
      </c>
      <c r="I19" s="13" t="s">
        <v>33</v>
      </c>
      <c r="J19" s="16">
        <v>0</v>
      </c>
      <c r="L19" s="6"/>
      <c r="V19" s="9"/>
    </row>
    <row r="20" spans="1:22">
      <c r="A20" s="1" t="s">
        <v>34</v>
      </c>
      <c r="B20" s="6">
        <v>0</v>
      </c>
      <c r="C20" s="1">
        <v>0</v>
      </c>
      <c r="D20" s="1">
        <v>0</v>
      </c>
      <c r="E20" s="1">
        <v>0</v>
      </c>
      <c r="F20" s="1">
        <v>0</v>
      </c>
      <c r="G20" s="9">
        <f>SUM(IN_FINANCIAL)</f>
        <v>0</v>
      </c>
      <c r="I20" s="13" t="s">
        <v>35</v>
      </c>
      <c r="J20" s="16">
        <v>115154750.06999999</v>
      </c>
      <c r="L20" s="6"/>
      <c r="V20" s="9"/>
    </row>
    <row r="21" spans="1:22">
      <c r="A21" s="1" t="s">
        <v>36</v>
      </c>
      <c r="B21" s="6">
        <v>0</v>
      </c>
      <c r="C21" s="1">
        <v>0</v>
      </c>
      <c r="D21" s="1">
        <v>9969026.0493795089</v>
      </c>
      <c r="E21" s="1">
        <v>0</v>
      </c>
      <c r="F21" s="1">
        <v>0</v>
      </c>
      <c r="G21" s="9">
        <f>SUM(IA_FINANCIAL)</f>
        <v>9969026.0493795089</v>
      </c>
      <c r="I21" s="13" t="s">
        <v>37</v>
      </c>
      <c r="J21" s="16"/>
      <c r="L21" s="6">
        <v>0</v>
      </c>
      <c r="M21" s="1">
        <v>0</v>
      </c>
      <c r="O21" s="1">
        <v>0</v>
      </c>
      <c r="P21" s="1">
        <v>0</v>
      </c>
      <c r="R21" s="1">
        <v>45000000</v>
      </c>
      <c r="S21" s="1">
        <v>0</v>
      </c>
      <c r="U21" s="1">
        <v>0</v>
      </c>
      <c r="V21" s="9">
        <v>0</v>
      </c>
    </row>
    <row r="22" spans="1:22">
      <c r="A22" s="1" t="s">
        <v>38</v>
      </c>
      <c r="B22" s="6">
        <v>0</v>
      </c>
      <c r="C22" s="1">
        <v>0</v>
      </c>
      <c r="D22" s="1">
        <v>0</v>
      </c>
      <c r="E22" s="1">
        <v>0</v>
      </c>
      <c r="F22" s="1">
        <v>0</v>
      </c>
      <c r="G22" s="9">
        <f>SUM(KS_FINANCIAL)</f>
        <v>0</v>
      </c>
      <c r="I22" s="13" t="s">
        <v>39</v>
      </c>
      <c r="J22" s="16">
        <v>0</v>
      </c>
      <c r="L22" s="6"/>
      <c r="V22" s="9"/>
    </row>
    <row r="23" spans="1:22">
      <c r="A23" s="1" t="s">
        <v>40</v>
      </c>
      <c r="B23" s="6">
        <v>0</v>
      </c>
      <c r="C23" s="1">
        <v>0</v>
      </c>
      <c r="D23" s="1">
        <v>0</v>
      </c>
      <c r="E23" s="1">
        <v>0</v>
      </c>
      <c r="F23" s="1">
        <v>0</v>
      </c>
      <c r="G23" s="9">
        <f>SUM(KY_FINANCIAL)</f>
        <v>0</v>
      </c>
      <c r="I23" s="13" t="s">
        <v>41</v>
      </c>
      <c r="J23" s="16"/>
      <c r="L23" s="6"/>
      <c r="V23" s="9"/>
    </row>
    <row r="24" spans="1:22">
      <c r="A24" s="1" t="s">
        <v>42</v>
      </c>
      <c r="B24" s="6">
        <v>0</v>
      </c>
      <c r="C24" s="1">
        <v>0</v>
      </c>
      <c r="D24" s="1">
        <v>0</v>
      </c>
      <c r="E24" s="1">
        <v>0</v>
      </c>
      <c r="F24" s="1">
        <v>0</v>
      </c>
      <c r="G24" s="9">
        <f>SUM(LA_FINANCIAL)</f>
        <v>0</v>
      </c>
      <c r="I24" s="13" t="s">
        <v>43</v>
      </c>
      <c r="J24" s="16">
        <v>97759205.260000005</v>
      </c>
      <c r="L24" s="6"/>
      <c r="V24" s="9"/>
    </row>
    <row r="25" spans="1:22">
      <c r="A25" s="1" t="s">
        <v>44</v>
      </c>
      <c r="B25" s="6">
        <v>0</v>
      </c>
      <c r="C25" s="1">
        <v>0</v>
      </c>
      <c r="D25" s="1">
        <v>0</v>
      </c>
      <c r="E25" s="1">
        <v>0</v>
      </c>
      <c r="F25" s="1">
        <v>0</v>
      </c>
      <c r="G25" s="9">
        <f>SUM(ME_FINANCIAL)</f>
        <v>0</v>
      </c>
      <c r="I25" s="13"/>
      <c r="J25" s="16"/>
      <c r="L25" s="6"/>
      <c r="V25" s="9"/>
    </row>
    <row r="26" spans="1:22">
      <c r="A26" s="1" t="s">
        <v>45</v>
      </c>
      <c r="B26" s="6">
        <v>0</v>
      </c>
      <c r="C26" s="1">
        <v>0</v>
      </c>
      <c r="D26" s="1">
        <v>0</v>
      </c>
      <c r="E26" s="1">
        <v>0</v>
      </c>
      <c r="F26" s="1">
        <v>0</v>
      </c>
      <c r="G26" s="9">
        <f>SUM(MD_FINANCIAL)</f>
        <v>0</v>
      </c>
      <c r="I26" s="13" t="s">
        <v>46</v>
      </c>
      <c r="J26" s="16">
        <f>SUM(ADD_FINANCIAL)-SUM(LESS_FINANCIAL)</f>
        <v>29171521.632349908</v>
      </c>
      <c r="L26" s="6"/>
      <c r="V26" s="9"/>
    </row>
    <row r="27" spans="1:22">
      <c r="A27" s="1" t="s">
        <v>47</v>
      </c>
      <c r="B27" s="6">
        <v>0</v>
      </c>
      <c r="C27" s="1">
        <v>0</v>
      </c>
      <c r="D27" s="1">
        <v>0</v>
      </c>
      <c r="E27" s="1">
        <v>0</v>
      </c>
      <c r="F27" s="1">
        <v>0</v>
      </c>
      <c r="G27" s="9">
        <f>SUM(MA_FINANCIAL)</f>
        <v>0</v>
      </c>
      <c r="I27" s="13" t="s">
        <v>48</v>
      </c>
      <c r="J27" s="16">
        <f>SUM(ALL_BLOCKS)</f>
        <v>29171521.632349882</v>
      </c>
      <c r="L27" s="6"/>
      <c r="V27" s="9"/>
    </row>
    <row r="28" spans="1:22">
      <c r="A28" s="1" t="s">
        <v>49</v>
      </c>
      <c r="B28" s="6">
        <v>0</v>
      </c>
      <c r="C28" s="1">
        <v>0</v>
      </c>
      <c r="D28" s="1">
        <v>0</v>
      </c>
      <c r="E28" s="1">
        <v>0</v>
      </c>
      <c r="F28" s="1">
        <v>0</v>
      </c>
      <c r="G28" s="9">
        <f>SUM(MI_FINANCIAL)</f>
        <v>0</v>
      </c>
      <c r="I28" s="14"/>
      <c r="J28" s="17"/>
      <c r="L28" s="6"/>
      <c r="V28" s="9"/>
    </row>
    <row r="29" spans="1:22">
      <c r="A29" s="1" t="s">
        <v>50</v>
      </c>
      <c r="B29" s="6">
        <v>0</v>
      </c>
      <c r="C29" s="1">
        <v>0</v>
      </c>
      <c r="D29" s="1">
        <v>0</v>
      </c>
      <c r="E29" s="1">
        <v>0</v>
      </c>
      <c r="F29" s="1">
        <v>0</v>
      </c>
      <c r="G29" s="9">
        <f>SUM(MN_FINANCIAL)</f>
        <v>0</v>
      </c>
      <c r="L29" s="6"/>
      <c r="V29" s="9"/>
    </row>
    <row r="30" spans="1:22">
      <c r="A30" s="1" t="s">
        <v>51</v>
      </c>
      <c r="B30" s="6">
        <v>0</v>
      </c>
      <c r="C30" s="1">
        <v>0</v>
      </c>
      <c r="D30" s="1">
        <v>0</v>
      </c>
      <c r="E30" s="1">
        <v>0</v>
      </c>
      <c r="F30" s="1">
        <v>0</v>
      </c>
      <c r="G30" s="9">
        <f>SUM(MS_FINANCIAL)</f>
        <v>0</v>
      </c>
      <c r="L30" s="6"/>
      <c r="V30" s="9"/>
    </row>
    <row r="31" spans="1:22">
      <c r="A31" s="1" t="s">
        <v>52</v>
      </c>
      <c r="B31" s="6">
        <v>0</v>
      </c>
      <c r="C31" s="1">
        <v>0</v>
      </c>
      <c r="D31" s="1">
        <v>0</v>
      </c>
      <c r="E31" s="1">
        <v>0</v>
      </c>
      <c r="F31" s="1">
        <v>0</v>
      </c>
      <c r="G31" s="9">
        <f>SUM(MO_FINANCIAL)</f>
        <v>0</v>
      </c>
      <c r="L31" s="6"/>
      <c r="V31" s="9"/>
    </row>
    <row r="32" spans="1:22">
      <c r="A32" s="1" t="s">
        <v>53</v>
      </c>
      <c r="B32" s="6">
        <v>0</v>
      </c>
      <c r="C32" s="1">
        <v>0</v>
      </c>
      <c r="D32" s="1">
        <v>0</v>
      </c>
      <c r="E32" s="1">
        <v>0</v>
      </c>
      <c r="F32" s="1">
        <v>0</v>
      </c>
      <c r="G32" s="9">
        <f>SUM(MT_FINANCIAL)</f>
        <v>0</v>
      </c>
      <c r="L32" s="6"/>
      <c r="V32" s="9"/>
    </row>
    <row r="33" spans="1:22">
      <c r="A33" s="1" t="s">
        <v>54</v>
      </c>
      <c r="B33" s="6">
        <v>0</v>
      </c>
      <c r="C33" s="1">
        <v>0</v>
      </c>
      <c r="D33" s="1">
        <v>19202495.582970373</v>
      </c>
      <c r="E33" s="1">
        <v>0</v>
      </c>
      <c r="F33" s="1">
        <v>0</v>
      </c>
      <c r="G33" s="9">
        <f>SUM(NE_FINANCIAL)</f>
        <v>19202495.582970373</v>
      </c>
      <c r="L33" s="6">
        <v>0</v>
      </c>
      <c r="M33" s="1">
        <v>0</v>
      </c>
      <c r="O33" s="1">
        <v>0</v>
      </c>
      <c r="P33" s="1">
        <v>0</v>
      </c>
      <c r="R33" s="1">
        <v>46800000</v>
      </c>
      <c r="S33" s="1">
        <v>0</v>
      </c>
      <c r="U33" s="1">
        <v>0</v>
      </c>
      <c r="V33" s="9">
        <v>0</v>
      </c>
    </row>
    <row r="34" spans="1:22">
      <c r="A34" s="1" t="s">
        <v>55</v>
      </c>
      <c r="B34" s="6">
        <v>0</v>
      </c>
      <c r="C34" s="1">
        <v>0</v>
      </c>
      <c r="D34" s="1">
        <v>0</v>
      </c>
      <c r="E34" s="1">
        <v>0</v>
      </c>
      <c r="F34" s="1">
        <v>0</v>
      </c>
      <c r="G34" s="9">
        <f>SUM(NV_FINANCIAL)</f>
        <v>0</v>
      </c>
      <c r="L34" s="6"/>
      <c r="V34" s="9"/>
    </row>
    <row r="35" spans="1:22">
      <c r="A35" s="1" t="s">
        <v>56</v>
      </c>
      <c r="B35" s="6">
        <v>0</v>
      </c>
      <c r="C35" s="1">
        <v>0</v>
      </c>
      <c r="D35" s="1">
        <v>0</v>
      </c>
      <c r="E35" s="1">
        <v>0</v>
      </c>
      <c r="F35" s="1">
        <v>0</v>
      </c>
      <c r="G35" s="9">
        <f>SUM(NH_FINANCIAL)</f>
        <v>0</v>
      </c>
      <c r="L35" s="6"/>
      <c r="V35" s="9"/>
    </row>
    <row r="36" spans="1:22">
      <c r="A36" s="1" t="s">
        <v>57</v>
      </c>
      <c r="B36" s="6">
        <v>0</v>
      </c>
      <c r="C36" s="1">
        <v>0</v>
      </c>
      <c r="D36" s="1">
        <v>0</v>
      </c>
      <c r="E36" s="1">
        <v>0</v>
      </c>
      <c r="F36" s="1">
        <v>0</v>
      </c>
      <c r="G36" s="9">
        <f>SUM(NJ_FINANCIAL)</f>
        <v>0</v>
      </c>
      <c r="L36" s="6"/>
      <c r="V36" s="9"/>
    </row>
    <row r="37" spans="1:22">
      <c r="A37" s="1" t="s">
        <v>58</v>
      </c>
      <c r="B37" s="6">
        <v>0</v>
      </c>
      <c r="C37" s="1">
        <v>0</v>
      </c>
      <c r="D37" s="1">
        <v>0</v>
      </c>
      <c r="E37" s="1">
        <v>0</v>
      </c>
      <c r="F37" s="1">
        <v>0</v>
      </c>
      <c r="G37" s="9">
        <f>SUM(NM_FINANCIAL)</f>
        <v>0</v>
      </c>
      <c r="L37" s="6"/>
      <c r="V37" s="9"/>
    </row>
    <row r="38" spans="1:22">
      <c r="A38" s="1" t="s">
        <v>59</v>
      </c>
      <c r="B38" s="6">
        <v>0</v>
      </c>
      <c r="C38" s="1">
        <v>0</v>
      </c>
      <c r="D38" s="1">
        <v>0</v>
      </c>
      <c r="E38" s="1">
        <v>0</v>
      </c>
      <c r="F38" s="1">
        <v>0</v>
      </c>
      <c r="G38" s="9">
        <f>SUM(NY_FINANCIAL)</f>
        <v>0</v>
      </c>
      <c r="L38" s="6"/>
      <c r="V38" s="9"/>
    </row>
    <row r="39" spans="1:22">
      <c r="A39" s="1" t="s">
        <v>60</v>
      </c>
      <c r="B39" s="6">
        <v>0</v>
      </c>
      <c r="C39" s="1">
        <v>0</v>
      </c>
      <c r="D39" s="1">
        <v>0</v>
      </c>
      <c r="E39" s="1">
        <v>0</v>
      </c>
      <c r="F39" s="1">
        <v>0</v>
      </c>
      <c r="G39" s="9">
        <f>SUM(NC_FINANCIAL)</f>
        <v>0</v>
      </c>
      <c r="L39" s="6"/>
      <c r="V39" s="9"/>
    </row>
    <row r="40" spans="1:22">
      <c r="A40" s="1" t="s">
        <v>61</v>
      </c>
      <c r="B40" s="6">
        <v>0</v>
      </c>
      <c r="C40" s="1">
        <v>0</v>
      </c>
      <c r="D40" s="1">
        <v>0</v>
      </c>
      <c r="E40" s="1">
        <v>0</v>
      </c>
      <c r="F40" s="1">
        <v>0</v>
      </c>
      <c r="G40" s="9">
        <f>SUM(ND_FINANCIAL)</f>
        <v>0</v>
      </c>
      <c r="L40" s="6"/>
      <c r="V40" s="9"/>
    </row>
    <row r="41" spans="1:22">
      <c r="A41" s="1" t="s">
        <v>62</v>
      </c>
      <c r="B41" s="6">
        <v>0</v>
      </c>
      <c r="C41" s="1">
        <v>0</v>
      </c>
      <c r="D41" s="1">
        <v>0</v>
      </c>
      <c r="E41" s="1">
        <v>0</v>
      </c>
      <c r="F41" s="1">
        <v>0</v>
      </c>
      <c r="G41" s="9">
        <f>SUM(OH_FINANCIAL)</f>
        <v>0</v>
      </c>
      <c r="L41" s="6"/>
      <c r="V41" s="9"/>
    </row>
    <row r="42" spans="1:22">
      <c r="A42" s="1" t="s">
        <v>63</v>
      </c>
      <c r="B42" s="6">
        <v>0</v>
      </c>
      <c r="C42" s="1">
        <v>0</v>
      </c>
      <c r="D42" s="1">
        <v>0</v>
      </c>
      <c r="E42" s="1">
        <v>0</v>
      </c>
      <c r="F42" s="1">
        <v>0</v>
      </c>
      <c r="G42" s="9">
        <f>SUM(OK_FINANCIAL)</f>
        <v>0</v>
      </c>
      <c r="L42" s="6"/>
      <c r="V42" s="9"/>
    </row>
    <row r="43" spans="1:22">
      <c r="A43" s="1" t="s">
        <v>64</v>
      </c>
      <c r="B43" s="6">
        <v>0</v>
      </c>
      <c r="C43" s="1">
        <v>0</v>
      </c>
      <c r="D43" s="1">
        <v>0</v>
      </c>
      <c r="E43" s="1">
        <v>0</v>
      </c>
      <c r="F43" s="1">
        <v>0</v>
      </c>
      <c r="G43" s="9">
        <f>SUM(OR_FINANCIAL)</f>
        <v>0</v>
      </c>
      <c r="L43" s="6"/>
      <c r="V43" s="9"/>
    </row>
    <row r="44" spans="1:22">
      <c r="A44" s="1" t="s">
        <v>65</v>
      </c>
      <c r="B44" s="6">
        <v>0</v>
      </c>
      <c r="C44" s="1">
        <v>0</v>
      </c>
      <c r="D44" s="1">
        <v>0</v>
      </c>
      <c r="E44" s="1">
        <v>0</v>
      </c>
      <c r="F44" s="1">
        <v>0</v>
      </c>
      <c r="G44" s="9">
        <f>SUM(PA_FINANCIAL)</f>
        <v>0</v>
      </c>
      <c r="L44" s="6"/>
      <c r="V44" s="9"/>
    </row>
    <row r="45" spans="1:22">
      <c r="A45" s="1" t="s">
        <v>66</v>
      </c>
      <c r="B45" s="6">
        <v>0</v>
      </c>
      <c r="C45" s="1">
        <v>0</v>
      </c>
      <c r="D45" s="1">
        <v>0</v>
      </c>
      <c r="E45" s="1">
        <v>0</v>
      </c>
      <c r="F45" s="1">
        <v>0</v>
      </c>
      <c r="G45" s="9">
        <f>SUM(PR_FINANCIAL)</f>
        <v>0</v>
      </c>
      <c r="L45" s="6"/>
      <c r="V45" s="9"/>
    </row>
    <row r="46" spans="1:22">
      <c r="A46" s="1" t="s">
        <v>67</v>
      </c>
      <c r="B46" s="6">
        <v>0</v>
      </c>
      <c r="C46" s="1">
        <v>0</v>
      </c>
      <c r="D46" s="1">
        <v>0</v>
      </c>
      <c r="E46" s="1">
        <v>0</v>
      </c>
      <c r="F46" s="1">
        <v>0</v>
      </c>
      <c r="G46" s="9">
        <f>SUM(RI_FINANCIAL)</f>
        <v>0</v>
      </c>
      <c r="L46" s="6"/>
      <c r="V46" s="9"/>
    </row>
    <row r="47" spans="1:22">
      <c r="A47" s="1" t="s">
        <v>68</v>
      </c>
      <c r="B47" s="6">
        <v>0</v>
      </c>
      <c r="C47" s="1">
        <v>0</v>
      </c>
      <c r="D47" s="1">
        <v>0</v>
      </c>
      <c r="E47" s="1">
        <v>0</v>
      </c>
      <c r="F47" s="1">
        <v>0</v>
      </c>
      <c r="G47" s="9">
        <f>SUM(SC_FINANCIAL)</f>
        <v>0</v>
      </c>
      <c r="L47" s="6"/>
      <c r="V47" s="9"/>
    </row>
    <row r="48" spans="1:22">
      <c r="A48" s="1" t="s">
        <v>69</v>
      </c>
      <c r="B48" s="6">
        <v>0</v>
      </c>
      <c r="C48" s="1">
        <v>0</v>
      </c>
      <c r="D48" s="1">
        <v>0</v>
      </c>
      <c r="E48" s="1">
        <v>0</v>
      </c>
      <c r="F48" s="1">
        <v>0</v>
      </c>
      <c r="G48" s="9">
        <f>SUM(SD_FINANCIAL)</f>
        <v>0</v>
      </c>
      <c r="L48" s="6"/>
      <c r="V48" s="9"/>
    </row>
    <row r="49" spans="1:22">
      <c r="A49" s="1" t="s">
        <v>70</v>
      </c>
      <c r="B49" s="6">
        <v>0</v>
      </c>
      <c r="C49" s="1">
        <v>0</v>
      </c>
      <c r="D49" s="1">
        <v>0</v>
      </c>
      <c r="E49" s="1">
        <v>0</v>
      </c>
      <c r="F49" s="1">
        <v>0</v>
      </c>
      <c r="G49" s="9">
        <f>SUM(TN_FINANCIAL)</f>
        <v>0</v>
      </c>
      <c r="L49" s="6"/>
      <c r="V49" s="9"/>
    </row>
    <row r="50" spans="1:22">
      <c r="A50" s="1" t="s">
        <v>71</v>
      </c>
      <c r="B50" s="6">
        <v>0</v>
      </c>
      <c r="C50" s="1">
        <v>0</v>
      </c>
      <c r="D50" s="1">
        <v>0</v>
      </c>
      <c r="E50" s="1">
        <v>0</v>
      </c>
      <c r="F50" s="1">
        <v>0</v>
      </c>
      <c r="G50" s="9">
        <f>SUM(TX_FINANCIAL)</f>
        <v>0</v>
      </c>
      <c r="L50" s="6"/>
      <c r="V50" s="9"/>
    </row>
    <row r="51" spans="1:22">
      <c r="A51" s="1" t="s">
        <v>72</v>
      </c>
      <c r="B51" s="6">
        <v>0</v>
      </c>
      <c r="C51" s="1">
        <v>0</v>
      </c>
      <c r="D51" s="1">
        <v>0</v>
      </c>
      <c r="E51" s="1">
        <v>0</v>
      </c>
      <c r="F51" s="1">
        <v>0</v>
      </c>
      <c r="G51" s="9">
        <f>SUM(UT_FINANCIAL)</f>
        <v>0</v>
      </c>
      <c r="L51" s="6"/>
      <c r="V51" s="9"/>
    </row>
    <row r="52" spans="1:22">
      <c r="A52" s="1" t="s">
        <v>73</v>
      </c>
      <c r="B52" s="6">
        <v>0</v>
      </c>
      <c r="C52" s="1">
        <v>0</v>
      </c>
      <c r="D52" s="1">
        <v>0</v>
      </c>
      <c r="E52" s="1">
        <v>0</v>
      </c>
      <c r="F52" s="1">
        <v>0</v>
      </c>
      <c r="G52" s="9">
        <f>SUM(VT_FINANCIAL)</f>
        <v>0</v>
      </c>
      <c r="L52" s="6"/>
      <c r="V52" s="9"/>
    </row>
    <row r="53" spans="1:22">
      <c r="A53" s="1" t="s">
        <v>74</v>
      </c>
      <c r="B53" s="6">
        <v>0</v>
      </c>
      <c r="C53" s="1">
        <v>0</v>
      </c>
      <c r="D53" s="1">
        <v>0</v>
      </c>
      <c r="E53" s="1">
        <v>0</v>
      </c>
      <c r="F53" s="1">
        <v>0</v>
      </c>
      <c r="G53" s="9">
        <f>SUM(VA_FINANCIAL)</f>
        <v>0</v>
      </c>
      <c r="L53" s="6"/>
      <c r="V53" s="9"/>
    </row>
    <row r="54" spans="1:22">
      <c r="A54" s="1" t="s">
        <v>75</v>
      </c>
      <c r="B54" s="6">
        <v>0</v>
      </c>
      <c r="C54" s="1">
        <v>0</v>
      </c>
      <c r="D54" s="1">
        <v>0</v>
      </c>
      <c r="E54" s="1">
        <v>0</v>
      </c>
      <c r="F54" s="1">
        <v>0</v>
      </c>
      <c r="G54" s="9">
        <f>SUM(WA_FINANCIAL)</f>
        <v>0</v>
      </c>
      <c r="L54" s="6"/>
      <c r="V54" s="9"/>
    </row>
    <row r="55" spans="1:22">
      <c r="A55" s="1" t="s">
        <v>76</v>
      </c>
      <c r="B55" s="6">
        <v>0</v>
      </c>
      <c r="C55" s="1">
        <v>0</v>
      </c>
      <c r="D55" s="1">
        <v>0</v>
      </c>
      <c r="E55" s="1">
        <v>0</v>
      </c>
      <c r="F55" s="1">
        <v>0</v>
      </c>
      <c r="G55" s="9">
        <f>SUM(WV_FINANCIAL)</f>
        <v>0</v>
      </c>
      <c r="L55" s="6"/>
      <c r="V55" s="9"/>
    </row>
    <row r="56" spans="1:22">
      <c r="A56" s="1" t="s">
        <v>77</v>
      </c>
      <c r="B56" s="6">
        <v>0</v>
      </c>
      <c r="C56" s="1">
        <v>0</v>
      </c>
      <c r="D56" s="1">
        <v>0</v>
      </c>
      <c r="E56" s="1">
        <v>0</v>
      </c>
      <c r="F56" s="1">
        <v>0</v>
      </c>
      <c r="G56" s="9">
        <f>SUM(WI_FINANCIAL)</f>
        <v>0</v>
      </c>
      <c r="L56" s="6"/>
      <c r="V56" s="9"/>
    </row>
    <row r="57" spans="1:22">
      <c r="A57" s="1" t="s">
        <v>78</v>
      </c>
      <c r="B57" s="6">
        <v>0</v>
      </c>
      <c r="C57" s="1">
        <v>0</v>
      </c>
      <c r="D57" s="1">
        <v>0</v>
      </c>
      <c r="E57" s="1">
        <v>0</v>
      </c>
      <c r="F57" s="1">
        <v>0</v>
      </c>
      <c r="G57" s="9">
        <f>SUM(WY_FINANCIAL)</f>
        <v>0</v>
      </c>
      <c r="L57" s="6"/>
      <c r="V57" s="9"/>
    </row>
    <row r="58" spans="1:22">
      <c r="A58" s="1" t="s">
        <v>79</v>
      </c>
      <c r="B58" s="6">
        <v>0</v>
      </c>
      <c r="C58" s="1">
        <v>0</v>
      </c>
      <c r="D58" s="1">
        <v>0</v>
      </c>
      <c r="E58" s="1">
        <v>0</v>
      </c>
      <c r="F58" s="1">
        <v>0</v>
      </c>
      <c r="G58" s="9">
        <f>SUM(OT_FINANCIAL)</f>
        <v>0</v>
      </c>
      <c r="L58" s="6"/>
      <c r="V58" s="9"/>
    </row>
    <row r="59" spans="1:22">
      <c r="B59" s="6"/>
      <c r="G59" s="9"/>
      <c r="L59" s="6"/>
      <c r="V59" s="9"/>
    </row>
    <row r="60" spans="1:22">
      <c r="A60" s="1" t="s">
        <v>8</v>
      </c>
      <c r="B60" s="6">
        <f>SUM(LIFE)</f>
        <v>0</v>
      </c>
      <c r="C60" s="1">
        <f>SUM(ALLOCATED)</f>
        <v>0</v>
      </c>
      <c r="D60" s="1">
        <f>SUM(HEALTH)</f>
        <v>29171521.632349882</v>
      </c>
      <c r="E60" s="1">
        <f>SUM(UNALLOCATED)</f>
        <v>0</v>
      </c>
      <c r="F60" s="1">
        <f>SUM(LTC)</f>
        <v>0</v>
      </c>
      <c r="G60" s="9">
        <f>SUM(ALL_BLOCKS)</f>
        <v>29171521.632349882</v>
      </c>
      <c r="L60" s="6">
        <f>SUM(LIFE_CALLED)</f>
        <v>0</v>
      </c>
      <c r="M60" s="1">
        <f>SUM(LIFE_REFUNDED)</f>
        <v>0</v>
      </c>
      <c r="O60" s="1">
        <f>SUM(ALLOC_CALLED)</f>
        <v>0</v>
      </c>
      <c r="P60" s="1">
        <f>SUM(ALLOC_REFUNDED)</f>
        <v>0</v>
      </c>
      <c r="R60" s="1">
        <f>SUM(HEALTH_CALLED)</f>
        <v>91800000</v>
      </c>
      <c r="S60" s="1">
        <f>SUM(HEALTH_REFUNDED)</f>
        <v>0</v>
      </c>
      <c r="U60" s="1">
        <f>SUM(UNALLOC_CALLED)</f>
        <v>0</v>
      </c>
      <c r="V60" s="9">
        <f>SUM(UNALLOC_REFUNDED)</f>
        <v>0</v>
      </c>
    </row>
    <row r="61" spans="1:22" ht="5.0999999999999996" customHeight="1">
      <c r="B61" s="6"/>
      <c r="G61" s="9"/>
      <c r="L61" s="6"/>
      <c r="V61" s="9"/>
    </row>
    <row r="62" spans="1:22">
      <c r="B62" s="6"/>
      <c r="G62" s="9"/>
      <c r="L62" s="78" t="s">
        <v>80</v>
      </c>
      <c r="M62" s="79"/>
      <c r="N62" s="79"/>
      <c r="O62" s="79"/>
      <c r="P62" s="79"/>
      <c r="Q62" s="79"/>
      <c r="R62" s="79"/>
      <c r="S62" s="79"/>
      <c r="T62" s="79"/>
      <c r="U62" s="79"/>
      <c r="V62" s="80"/>
    </row>
    <row r="63" spans="1:22">
      <c r="B63" s="6"/>
      <c r="G63" s="9"/>
      <c r="L63" s="81"/>
      <c r="M63" s="79"/>
      <c r="N63" s="79"/>
      <c r="O63" s="79"/>
      <c r="P63" s="79"/>
      <c r="Q63" s="79"/>
      <c r="R63" s="79"/>
      <c r="S63" s="79"/>
      <c r="T63" s="79"/>
      <c r="U63" s="79"/>
      <c r="V63" s="80"/>
    </row>
    <row r="64" spans="1:22">
      <c r="B64" s="8"/>
      <c r="C64" s="5"/>
      <c r="D64" s="5"/>
      <c r="E64" s="5"/>
      <c r="F64" s="5"/>
      <c r="G64" s="11"/>
      <c r="L64" s="82"/>
      <c r="M64" s="83"/>
      <c r="N64" s="83"/>
      <c r="O64" s="83"/>
      <c r="P64" s="83"/>
      <c r="Q64" s="83"/>
      <c r="R64" s="83"/>
      <c r="S64" s="83"/>
      <c r="T64" s="83"/>
      <c r="U64" s="83"/>
      <c r="V64" s="84"/>
    </row>
  </sheetData>
  <mergeCells count="8">
    <mergeCell ref="L62:V64"/>
    <mergeCell ref="A1:G1"/>
    <mergeCell ref="B3:G3"/>
    <mergeCell ref="L3:V3"/>
    <mergeCell ref="L4:M4"/>
    <mergeCell ref="O4:P4"/>
    <mergeCell ref="R4:S4"/>
    <mergeCell ref="U4:V4"/>
  </mergeCells>
  <pageMargins left="0" right="0" top="0" bottom="0" header="0" footer="0"/>
  <pageSetup scale="4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64"/>
  <sheetViews>
    <sheetView zoomScale="75" workbookViewId="0">
      <selection sqref="A1:G1"/>
    </sheetView>
  </sheetViews>
  <sheetFormatPr defaultColWidth="9.109375" defaultRowHeight="14.4"/>
  <cols>
    <col min="1" max="1" width="20" style="1" customWidth="1"/>
    <col min="2" max="7" width="15" style="1" customWidth="1"/>
    <col min="8" max="8" width="1" style="1" customWidth="1"/>
    <col min="9" max="9" width="30" style="1" customWidth="1"/>
    <col min="10" max="10" width="15" style="1" customWidth="1"/>
    <col min="11" max="11" width="1" style="1" customWidth="1"/>
    <col min="12" max="13" width="15" style="1" customWidth="1"/>
    <col min="14" max="14" width="1" style="1" customWidth="1"/>
    <col min="15" max="16" width="15" style="1" customWidth="1"/>
    <col min="17" max="17" width="1" style="1" customWidth="1"/>
    <col min="18" max="19" width="15" style="1" customWidth="1"/>
    <col min="20" max="20" width="1" style="1" customWidth="1"/>
    <col min="21" max="22" width="15" style="1" customWidth="1"/>
    <col min="23" max="23" width="9.109375" style="1" customWidth="1"/>
    <col min="24" max="16384" width="9.109375" style="1"/>
  </cols>
  <sheetData>
    <row r="1" spans="1:22">
      <c r="A1" s="85" t="s">
        <v>82</v>
      </c>
      <c r="B1" s="79"/>
      <c r="C1" s="79"/>
      <c r="D1" s="79"/>
      <c r="E1" s="79"/>
      <c r="F1" s="79"/>
      <c r="G1" s="79"/>
    </row>
    <row r="3" spans="1:22">
      <c r="B3" s="86" t="s">
        <v>1</v>
      </c>
      <c r="C3" s="87"/>
      <c r="D3" s="87"/>
      <c r="E3" s="87"/>
      <c r="F3" s="87"/>
      <c r="G3" s="88"/>
      <c r="L3" s="89" t="s">
        <v>2</v>
      </c>
      <c r="M3" s="90"/>
      <c r="N3" s="90"/>
      <c r="O3" s="90"/>
      <c r="P3" s="90"/>
      <c r="Q3" s="90"/>
      <c r="R3" s="90"/>
      <c r="S3" s="90"/>
      <c r="T3" s="90"/>
      <c r="U3" s="90"/>
      <c r="V3" s="91"/>
    </row>
    <row r="4" spans="1:22">
      <c r="B4" s="6"/>
      <c r="G4" s="9"/>
      <c r="L4" s="92" t="s">
        <v>3</v>
      </c>
      <c r="M4" s="93"/>
      <c r="N4" s="3"/>
      <c r="O4" s="94" t="s">
        <v>4</v>
      </c>
      <c r="P4" s="93"/>
      <c r="Q4" s="3"/>
      <c r="R4" s="94" t="s">
        <v>5</v>
      </c>
      <c r="S4" s="93"/>
      <c r="T4" s="3"/>
      <c r="U4" s="94" t="s">
        <v>6</v>
      </c>
      <c r="V4" s="95"/>
    </row>
    <row r="5" spans="1:22" ht="60" customHeight="1">
      <c r="B5" s="7" t="s">
        <v>3</v>
      </c>
      <c r="C5" s="4" t="s">
        <v>4</v>
      </c>
      <c r="D5" s="4" t="s">
        <v>5</v>
      </c>
      <c r="E5" s="4" t="s">
        <v>6</v>
      </c>
      <c r="F5" s="4" t="s">
        <v>7</v>
      </c>
      <c r="G5" s="10" t="s">
        <v>8</v>
      </c>
      <c r="L5" s="19" t="s">
        <v>9</v>
      </c>
      <c r="M5" s="18" t="s">
        <v>10</v>
      </c>
      <c r="N5" s="18"/>
      <c r="O5" s="18" t="s">
        <v>9</v>
      </c>
      <c r="P5" s="18" t="s">
        <v>10</v>
      </c>
      <c r="Q5" s="18"/>
      <c r="R5" s="18" t="s">
        <v>9</v>
      </c>
      <c r="S5" s="18" t="s">
        <v>10</v>
      </c>
      <c r="T5" s="18"/>
      <c r="U5" s="18" t="s">
        <v>9</v>
      </c>
      <c r="V5" s="20" t="s">
        <v>10</v>
      </c>
    </row>
    <row r="6" spans="1:22">
      <c r="A6" s="1" t="s">
        <v>11</v>
      </c>
      <c r="B6" s="6">
        <v>0</v>
      </c>
      <c r="C6" s="1">
        <v>0</v>
      </c>
      <c r="D6" s="1">
        <v>20160.950670215585</v>
      </c>
      <c r="E6" s="1">
        <v>0</v>
      </c>
      <c r="F6" s="1">
        <v>0</v>
      </c>
      <c r="G6" s="9">
        <f>SUM(AL_FINANCIAL)</f>
        <v>20160.950670215585</v>
      </c>
      <c r="L6" s="6"/>
      <c r="V6" s="9"/>
    </row>
    <row r="7" spans="1:22">
      <c r="A7" s="1" t="s">
        <v>12</v>
      </c>
      <c r="B7" s="6">
        <v>0</v>
      </c>
      <c r="C7" s="1">
        <v>0</v>
      </c>
      <c r="D7" s="1">
        <v>6136.1822213675187</v>
      </c>
      <c r="E7" s="1">
        <v>0</v>
      </c>
      <c r="F7" s="1">
        <v>0</v>
      </c>
      <c r="G7" s="9">
        <f>SUM(AK_FINANCIAL)</f>
        <v>6136.1822213675187</v>
      </c>
      <c r="I7" s="12"/>
      <c r="J7" s="15"/>
      <c r="L7" s="6">
        <v>0</v>
      </c>
      <c r="M7" s="1">
        <v>0</v>
      </c>
      <c r="O7" s="1">
        <v>0</v>
      </c>
      <c r="P7" s="1">
        <v>0</v>
      </c>
      <c r="R7" s="1">
        <v>125000</v>
      </c>
      <c r="S7" s="1">
        <v>0</v>
      </c>
      <c r="U7" s="1">
        <v>0</v>
      </c>
      <c r="V7" s="9">
        <v>0</v>
      </c>
    </row>
    <row r="8" spans="1:22">
      <c r="A8" s="1" t="s">
        <v>13</v>
      </c>
      <c r="B8" s="6">
        <v>0</v>
      </c>
      <c r="C8" s="1">
        <v>0</v>
      </c>
      <c r="D8" s="1">
        <v>101928.01994155243</v>
      </c>
      <c r="E8" s="1">
        <v>0</v>
      </c>
      <c r="F8" s="1">
        <v>0</v>
      </c>
      <c r="G8" s="9">
        <f>SUM(AZ_FINANCIAL)</f>
        <v>101928.01994155243</v>
      </c>
      <c r="I8" s="13" t="s">
        <v>14</v>
      </c>
      <c r="J8" s="16"/>
      <c r="L8" s="6"/>
      <c r="V8" s="9"/>
    </row>
    <row r="9" spans="1:22">
      <c r="A9" s="1" t="s">
        <v>15</v>
      </c>
      <c r="B9" s="6">
        <v>0</v>
      </c>
      <c r="C9" s="1">
        <v>0</v>
      </c>
      <c r="D9" s="1">
        <v>856631.78844329016</v>
      </c>
      <c r="E9" s="1">
        <v>0</v>
      </c>
      <c r="F9" s="1">
        <v>0</v>
      </c>
      <c r="G9" s="9">
        <f>SUM(AR_FINANCIAL)</f>
        <v>856631.78844329016</v>
      </c>
      <c r="I9" s="13"/>
      <c r="J9" s="16"/>
      <c r="L9" s="6">
        <v>0</v>
      </c>
      <c r="M9" s="1">
        <v>0</v>
      </c>
      <c r="O9" s="1">
        <v>0</v>
      </c>
      <c r="P9" s="1">
        <v>0</v>
      </c>
      <c r="R9" s="1">
        <v>3308801</v>
      </c>
      <c r="S9" s="1">
        <v>0</v>
      </c>
      <c r="U9" s="1">
        <v>0</v>
      </c>
      <c r="V9" s="9">
        <v>0</v>
      </c>
    </row>
    <row r="10" spans="1:22">
      <c r="A10" s="1" t="s">
        <v>16</v>
      </c>
      <c r="B10" s="6">
        <v>719.52600645965413</v>
      </c>
      <c r="C10" s="1">
        <v>0</v>
      </c>
      <c r="D10" s="1">
        <v>35587.7383355493</v>
      </c>
      <c r="E10" s="1">
        <v>0</v>
      </c>
      <c r="F10" s="1">
        <v>0</v>
      </c>
      <c r="G10" s="9">
        <f>SUM(CA_FINANCIAL)</f>
        <v>36307.264342008952</v>
      </c>
      <c r="I10" s="13" t="s">
        <v>17</v>
      </c>
      <c r="J10" s="16">
        <v>44462791</v>
      </c>
      <c r="L10" s="6">
        <v>0</v>
      </c>
      <c r="M10" s="1">
        <v>0</v>
      </c>
      <c r="O10" s="1">
        <v>0</v>
      </c>
      <c r="P10" s="1">
        <v>0</v>
      </c>
      <c r="R10" s="1">
        <v>300000</v>
      </c>
      <c r="S10" s="1">
        <v>100000</v>
      </c>
      <c r="U10" s="1">
        <v>0</v>
      </c>
      <c r="V10" s="9">
        <v>0</v>
      </c>
    </row>
    <row r="11" spans="1:22">
      <c r="A11" s="1" t="s">
        <v>18</v>
      </c>
      <c r="B11" s="6">
        <v>0</v>
      </c>
      <c r="C11" s="1">
        <v>0</v>
      </c>
      <c r="D11" s="1">
        <v>757818.64637963183</v>
      </c>
      <c r="E11" s="1">
        <v>0</v>
      </c>
      <c r="F11" s="1">
        <v>0</v>
      </c>
      <c r="G11" s="9">
        <f>SUM(CO_FINANCIAL)</f>
        <v>757818.64637963183</v>
      </c>
      <c r="I11" s="13"/>
      <c r="J11" s="16"/>
      <c r="L11" s="6">
        <v>0</v>
      </c>
      <c r="M11" s="1">
        <v>0</v>
      </c>
      <c r="O11" s="1">
        <v>0</v>
      </c>
      <c r="P11" s="1">
        <v>0</v>
      </c>
      <c r="R11" s="1">
        <v>2000000</v>
      </c>
      <c r="S11" s="1">
        <v>1203411</v>
      </c>
      <c r="U11" s="1">
        <v>0</v>
      </c>
      <c r="V11" s="9">
        <v>0</v>
      </c>
    </row>
    <row r="12" spans="1:22">
      <c r="A12" s="1" t="s">
        <v>19</v>
      </c>
      <c r="B12" s="6">
        <v>0</v>
      </c>
      <c r="C12" s="1">
        <v>0</v>
      </c>
      <c r="D12" s="1">
        <v>0</v>
      </c>
      <c r="E12" s="1">
        <v>0</v>
      </c>
      <c r="F12" s="1">
        <v>0</v>
      </c>
      <c r="G12" s="9">
        <f>SUM(CT_FINANCIAL)</f>
        <v>0</v>
      </c>
      <c r="I12" s="13" t="s">
        <v>20</v>
      </c>
      <c r="J12" s="16"/>
      <c r="L12" s="6"/>
      <c r="V12" s="9"/>
    </row>
    <row r="13" spans="1:22">
      <c r="A13" s="1" t="s">
        <v>21</v>
      </c>
      <c r="B13" s="6">
        <v>2376.1842516851743</v>
      </c>
      <c r="C13" s="1">
        <v>0</v>
      </c>
      <c r="D13" s="1">
        <v>6623.1474497032323</v>
      </c>
      <c r="E13" s="1">
        <v>0</v>
      </c>
      <c r="F13" s="1">
        <v>0</v>
      </c>
      <c r="G13" s="9">
        <f>SUM(DE_FINANCIAL)</f>
        <v>8999.3317013884061</v>
      </c>
      <c r="I13" s="13" t="s">
        <v>22</v>
      </c>
      <c r="J13" s="16">
        <v>44231475</v>
      </c>
      <c r="L13" s="6"/>
      <c r="V13" s="9"/>
    </row>
    <row r="14" spans="1:22">
      <c r="A14" s="1" t="s">
        <v>23</v>
      </c>
      <c r="B14" s="6">
        <v>0</v>
      </c>
      <c r="C14" s="1">
        <v>0</v>
      </c>
      <c r="D14" s="1">
        <v>0</v>
      </c>
      <c r="E14" s="1">
        <v>0</v>
      </c>
      <c r="F14" s="1">
        <v>0</v>
      </c>
      <c r="G14" s="9">
        <f>SUM(DC_FINANCIAL)</f>
        <v>0</v>
      </c>
      <c r="I14" s="13" t="s">
        <v>24</v>
      </c>
      <c r="J14" s="16">
        <v>12170199</v>
      </c>
      <c r="L14" s="6"/>
      <c r="V14" s="9"/>
    </row>
    <row r="15" spans="1:22">
      <c r="A15" s="1" t="s">
        <v>25</v>
      </c>
      <c r="B15" s="6">
        <v>26502.289710568512</v>
      </c>
      <c r="C15" s="1">
        <v>0</v>
      </c>
      <c r="D15" s="1">
        <v>-1303.0048198803706</v>
      </c>
      <c r="E15" s="1">
        <v>0</v>
      </c>
      <c r="F15" s="1">
        <v>0</v>
      </c>
      <c r="G15" s="9">
        <f>SUM(FL_FINANCIAL)</f>
        <v>25199.284890688141</v>
      </c>
      <c r="I15" s="13" t="s">
        <v>26</v>
      </c>
      <c r="J15" s="16">
        <v>2555132.7494419874</v>
      </c>
      <c r="L15" s="6"/>
      <c r="V15" s="9"/>
    </row>
    <row r="16" spans="1:22">
      <c r="A16" s="1" t="s">
        <v>27</v>
      </c>
      <c r="B16" s="6">
        <v>0</v>
      </c>
      <c r="C16" s="1">
        <v>0</v>
      </c>
      <c r="D16" s="1">
        <v>0</v>
      </c>
      <c r="E16" s="1">
        <v>0</v>
      </c>
      <c r="F16" s="1">
        <v>0</v>
      </c>
      <c r="G16" s="9">
        <f>SUM(GA_FINANCIAL)</f>
        <v>0</v>
      </c>
      <c r="I16" s="13" t="s">
        <v>28</v>
      </c>
      <c r="J16" s="16">
        <v>0</v>
      </c>
      <c r="L16" s="6"/>
      <c r="V16" s="9"/>
    </row>
    <row r="17" spans="1:22">
      <c r="A17" s="1" t="s">
        <v>29</v>
      </c>
      <c r="B17" s="6">
        <v>0</v>
      </c>
      <c r="C17" s="1">
        <v>0</v>
      </c>
      <c r="D17" s="1">
        <v>0</v>
      </c>
      <c r="E17" s="1">
        <v>0</v>
      </c>
      <c r="F17" s="1">
        <v>0</v>
      </c>
      <c r="G17" s="9">
        <f>SUM(HI_FINANCIAL)</f>
        <v>0</v>
      </c>
      <c r="I17" s="13"/>
      <c r="J17" s="16"/>
      <c r="L17" s="6"/>
      <c r="V17" s="9"/>
    </row>
    <row r="18" spans="1:22">
      <c r="A18" s="1" t="s">
        <v>30</v>
      </c>
      <c r="B18" s="6">
        <v>0</v>
      </c>
      <c r="C18" s="1">
        <v>0</v>
      </c>
      <c r="D18" s="1">
        <v>120883.82796964608</v>
      </c>
      <c r="E18" s="1">
        <v>0</v>
      </c>
      <c r="F18" s="1">
        <v>0</v>
      </c>
      <c r="G18" s="9">
        <f>SUM(ID_FINANCIAL)</f>
        <v>120883.82796964608</v>
      </c>
      <c r="I18" s="13" t="s">
        <v>31</v>
      </c>
      <c r="J18" s="16"/>
      <c r="L18" s="6"/>
      <c r="V18" s="9"/>
    </row>
    <row r="19" spans="1:22">
      <c r="A19" s="1" t="s">
        <v>32</v>
      </c>
      <c r="B19" s="6">
        <v>1319.1284299714252</v>
      </c>
      <c r="C19" s="1">
        <v>0</v>
      </c>
      <c r="D19" s="1">
        <v>1990126.2751596402</v>
      </c>
      <c r="E19" s="1">
        <v>0</v>
      </c>
      <c r="F19" s="1">
        <v>0</v>
      </c>
      <c r="G19" s="9">
        <f>SUM(IL_FINANCIAL)</f>
        <v>1991445.4035896116</v>
      </c>
      <c r="I19" s="13" t="s">
        <v>33</v>
      </c>
      <c r="J19" s="16">
        <v>0</v>
      </c>
      <c r="L19" s="6">
        <v>40000</v>
      </c>
      <c r="M19" s="1">
        <v>0</v>
      </c>
      <c r="O19" s="1">
        <v>0</v>
      </c>
      <c r="P19" s="1">
        <v>0</v>
      </c>
      <c r="R19" s="1">
        <v>5000000</v>
      </c>
      <c r="S19" s="1">
        <v>1900000</v>
      </c>
      <c r="U19" s="1">
        <v>0</v>
      </c>
      <c r="V19" s="9">
        <v>0</v>
      </c>
    </row>
    <row r="20" spans="1:22">
      <c r="A20" s="1" t="s">
        <v>34</v>
      </c>
      <c r="B20" s="6">
        <v>6302.607621127434</v>
      </c>
      <c r="C20" s="1">
        <v>0</v>
      </c>
      <c r="D20" s="1">
        <v>787239.71802127105</v>
      </c>
      <c r="E20" s="1">
        <v>0</v>
      </c>
      <c r="F20" s="1">
        <v>0</v>
      </c>
      <c r="G20" s="9">
        <f>SUM(IN_FINANCIAL)</f>
        <v>793542.32564239844</v>
      </c>
      <c r="I20" s="13" t="s">
        <v>35</v>
      </c>
      <c r="J20" s="16">
        <v>44387898</v>
      </c>
      <c r="L20" s="6">
        <v>0</v>
      </c>
      <c r="M20" s="1">
        <v>0</v>
      </c>
      <c r="O20" s="1">
        <v>0</v>
      </c>
      <c r="P20" s="1">
        <v>0</v>
      </c>
      <c r="R20" s="1">
        <v>1999232</v>
      </c>
      <c r="S20" s="1">
        <v>0</v>
      </c>
      <c r="U20" s="1">
        <v>0</v>
      </c>
      <c r="V20" s="9">
        <v>0</v>
      </c>
    </row>
    <row r="21" spans="1:22">
      <c r="A21" s="1" t="s">
        <v>36</v>
      </c>
      <c r="B21" s="6">
        <v>0</v>
      </c>
      <c r="C21" s="1">
        <v>0</v>
      </c>
      <c r="D21" s="1">
        <v>27922.291096663816</v>
      </c>
      <c r="E21" s="1">
        <v>0</v>
      </c>
      <c r="F21" s="1">
        <v>0</v>
      </c>
      <c r="G21" s="9">
        <f>SUM(IA_FINANCIAL)</f>
        <v>27922.291096663816</v>
      </c>
      <c r="I21" s="13" t="s">
        <v>37</v>
      </c>
      <c r="J21" s="16"/>
      <c r="L21" s="6"/>
      <c r="V21" s="9"/>
    </row>
    <row r="22" spans="1:22">
      <c r="A22" s="1" t="s">
        <v>38</v>
      </c>
      <c r="B22" s="6">
        <v>0</v>
      </c>
      <c r="C22" s="1">
        <v>0</v>
      </c>
      <c r="D22" s="1">
        <v>100332.58252546444</v>
      </c>
      <c r="E22" s="1">
        <v>0</v>
      </c>
      <c r="F22" s="1">
        <v>0</v>
      </c>
      <c r="G22" s="9">
        <f>SUM(KS_FINANCIAL)</f>
        <v>100332.58252546444</v>
      </c>
      <c r="I22" s="13" t="s">
        <v>39</v>
      </c>
      <c r="J22" s="16">
        <v>0</v>
      </c>
      <c r="L22" s="6"/>
      <c r="V22" s="9"/>
    </row>
    <row r="23" spans="1:22">
      <c r="A23" s="1" t="s">
        <v>40</v>
      </c>
      <c r="B23" s="6">
        <v>0</v>
      </c>
      <c r="C23" s="1">
        <v>0</v>
      </c>
      <c r="D23" s="1">
        <v>17263.439131640211</v>
      </c>
      <c r="E23" s="1">
        <v>0</v>
      </c>
      <c r="F23" s="1">
        <v>0</v>
      </c>
      <c r="G23" s="9">
        <f>SUM(KY_FINANCIAL)</f>
        <v>17263.439131640211</v>
      </c>
      <c r="I23" s="13" t="s">
        <v>41</v>
      </c>
      <c r="J23" s="16"/>
      <c r="L23" s="6"/>
      <c r="V23" s="9"/>
    </row>
    <row r="24" spans="1:22">
      <c r="A24" s="1" t="s">
        <v>42</v>
      </c>
      <c r="B24" s="6">
        <v>0</v>
      </c>
      <c r="C24" s="1">
        <v>0</v>
      </c>
      <c r="D24" s="1">
        <v>658535.24939608225</v>
      </c>
      <c r="E24" s="1">
        <v>0</v>
      </c>
      <c r="F24" s="1">
        <v>0</v>
      </c>
      <c r="G24" s="9">
        <f>SUM(LA_FINANCIAL)</f>
        <v>658535.24939608225</v>
      </c>
      <c r="I24" s="13" t="s">
        <v>43</v>
      </c>
      <c r="J24" s="16">
        <v>32599284.96536199</v>
      </c>
      <c r="L24" s="6">
        <v>39632</v>
      </c>
      <c r="M24" s="1">
        <v>0</v>
      </c>
      <c r="O24" s="1">
        <v>0</v>
      </c>
      <c r="P24" s="1">
        <v>0</v>
      </c>
      <c r="R24" s="1">
        <v>1661368</v>
      </c>
      <c r="S24" s="1">
        <v>0</v>
      </c>
      <c r="U24" s="1">
        <v>0</v>
      </c>
      <c r="V24" s="9">
        <v>0</v>
      </c>
    </row>
    <row r="25" spans="1:22">
      <c r="A25" s="1" t="s">
        <v>44</v>
      </c>
      <c r="B25" s="6">
        <v>0</v>
      </c>
      <c r="C25" s="1">
        <v>0</v>
      </c>
      <c r="D25" s="1">
        <v>0</v>
      </c>
      <c r="E25" s="1">
        <v>0</v>
      </c>
      <c r="F25" s="1">
        <v>0</v>
      </c>
      <c r="G25" s="9">
        <f>SUM(ME_FINANCIAL)</f>
        <v>0</v>
      </c>
      <c r="I25" s="13"/>
      <c r="J25" s="16"/>
      <c r="L25" s="6"/>
      <c r="V25" s="9"/>
    </row>
    <row r="26" spans="1:22">
      <c r="A26" s="1" t="s">
        <v>45</v>
      </c>
      <c r="B26" s="6">
        <v>0</v>
      </c>
      <c r="C26" s="1">
        <v>0</v>
      </c>
      <c r="D26" s="1">
        <v>1919.7991761580615</v>
      </c>
      <c r="E26" s="1">
        <v>0</v>
      </c>
      <c r="F26" s="1">
        <v>0</v>
      </c>
      <c r="G26" s="9">
        <f>SUM(MD_FINANCIAL)</f>
        <v>1919.7991761580615</v>
      </c>
      <c r="I26" s="13" t="s">
        <v>46</v>
      </c>
      <c r="J26" s="16">
        <f>SUM(ADD_FINANCIAL)-SUM(LESS_FINANCIAL)</f>
        <v>26432414.784079999</v>
      </c>
      <c r="L26" s="6"/>
      <c r="V26" s="9"/>
    </row>
    <row r="27" spans="1:22">
      <c r="A27" s="1" t="s">
        <v>47</v>
      </c>
      <c r="B27" s="6">
        <v>3610.9113866502144</v>
      </c>
      <c r="C27" s="1">
        <v>0</v>
      </c>
      <c r="D27" s="1">
        <v>1468216.9941482292</v>
      </c>
      <c r="E27" s="1">
        <v>0</v>
      </c>
      <c r="F27" s="1">
        <v>0</v>
      </c>
      <c r="G27" s="9">
        <f>SUM(MA_FINANCIAL)</f>
        <v>1471827.9055348795</v>
      </c>
      <c r="I27" s="13" t="s">
        <v>48</v>
      </c>
      <c r="J27" s="16">
        <f>SUM(ALL_BLOCKS)</f>
        <v>26432414.784079999</v>
      </c>
      <c r="L27" s="6">
        <v>0</v>
      </c>
      <c r="M27" s="1">
        <v>0</v>
      </c>
      <c r="O27" s="1">
        <v>0</v>
      </c>
      <c r="P27" s="1">
        <v>0</v>
      </c>
      <c r="R27" s="1">
        <v>5000000</v>
      </c>
      <c r="S27" s="1">
        <v>1400000</v>
      </c>
      <c r="U27" s="1">
        <v>0</v>
      </c>
      <c r="V27" s="9">
        <v>0</v>
      </c>
    </row>
    <row r="28" spans="1:22">
      <c r="A28" s="1" t="s">
        <v>49</v>
      </c>
      <c r="B28" s="6">
        <v>8301.0479301355153</v>
      </c>
      <c r="C28" s="1">
        <v>0</v>
      </c>
      <c r="D28" s="1">
        <v>7897.8010772382222</v>
      </c>
      <c r="E28" s="1">
        <v>0</v>
      </c>
      <c r="F28" s="1">
        <v>0</v>
      </c>
      <c r="G28" s="9">
        <f>SUM(MI_FINANCIAL)</f>
        <v>16198.849007373738</v>
      </c>
      <c r="I28" s="14"/>
      <c r="J28" s="17"/>
      <c r="L28" s="6"/>
      <c r="V28" s="9"/>
    </row>
    <row r="29" spans="1:22">
      <c r="A29" s="1" t="s">
        <v>50</v>
      </c>
      <c r="B29" s="6">
        <v>0</v>
      </c>
      <c r="C29" s="1">
        <v>0</v>
      </c>
      <c r="D29" s="1">
        <v>0</v>
      </c>
      <c r="E29" s="1">
        <v>0</v>
      </c>
      <c r="F29" s="1">
        <v>0</v>
      </c>
      <c r="G29" s="9">
        <f>SUM(MN_FINANCIAL)</f>
        <v>0</v>
      </c>
      <c r="L29" s="6"/>
      <c r="V29" s="9"/>
    </row>
    <row r="30" spans="1:22">
      <c r="A30" s="1" t="s">
        <v>51</v>
      </c>
      <c r="B30" s="6">
        <v>0</v>
      </c>
      <c r="C30" s="1">
        <v>0</v>
      </c>
      <c r="D30" s="1">
        <v>4488958.9506961945</v>
      </c>
      <c r="E30" s="1">
        <v>0</v>
      </c>
      <c r="F30" s="1">
        <v>0</v>
      </c>
      <c r="G30" s="9">
        <f>SUM(MS_FINANCIAL)</f>
        <v>4488958.9506961945</v>
      </c>
      <c r="L30" s="6">
        <v>0</v>
      </c>
      <c r="M30" s="1">
        <v>0</v>
      </c>
      <c r="O30" s="1">
        <v>0</v>
      </c>
      <c r="P30" s="1">
        <v>0</v>
      </c>
      <c r="R30" s="1">
        <v>14999989</v>
      </c>
      <c r="S30" s="1">
        <v>0</v>
      </c>
      <c r="U30" s="1">
        <v>0</v>
      </c>
      <c r="V30" s="9">
        <v>0</v>
      </c>
    </row>
    <row r="31" spans="1:22">
      <c r="A31" s="1" t="s">
        <v>52</v>
      </c>
      <c r="B31" s="6">
        <v>0</v>
      </c>
      <c r="C31" s="1">
        <v>0</v>
      </c>
      <c r="D31" s="1">
        <v>450270.3221788524</v>
      </c>
      <c r="E31" s="1">
        <v>0</v>
      </c>
      <c r="F31" s="1">
        <v>0</v>
      </c>
      <c r="G31" s="9">
        <f>SUM(MO_FINANCIAL)</f>
        <v>450270.3221788524</v>
      </c>
      <c r="L31" s="6"/>
      <c r="V31" s="9"/>
    </row>
    <row r="32" spans="1:22">
      <c r="A32" s="1" t="s">
        <v>53</v>
      </c>
      <c r="B32" s="6">
        <v>260.09711250156033</v>
      </c>
      <c r="C32" s="1">
        <v>0</v>
      </c>
      <c r="D32" s="1">
        <v>372315.33707289153</v>
      </c>
      <c r="E32" s="1">
        <v>0</v>
      </c>
      <c r="F32" s="1">
        <v>0</v>
      </c>
      <c r="G32" s="9">
        <f>SUM(MT_FINANCIAL)</f>
        <v>372575.4341853931</v>
      </c>
      <c r="L32" s="6">
        <v>0</v>
      </c>
      <c r="M32" s="1">
        <v>0</v>
      </c>
      <c r="O32" s="1">
        <v>0</v>
      </c>
      <c r="P32" s="1">
        <v>0</v>
      </c>
      <c r="R32" s="1">
        <v>850000</v>
      </c>
      <c r="S32" s="1">
        <v>0</v>
      </c>
      <c r="U32" s="1">
        <v>0</v>
      </c>
      <c r="V32" s="9">
        <v>0</v>
      </c>
    </row>
    <row r="33" spans="1:22">
      <c r="A33" s="1" t="s">
        <v>54</v>
      </c>
      <c r="B33" s="6">
        <v>0</v>
      </c>
      <c r="C33" s="1">
        <v>0</v>
      </c>
      <c r="D33" s="1">
        <v>511967.62085121009</v>
      </c>
      <c r="E33" s="1">
        <v>0</v>
      </c>
      <c r="F33" s="1">
        <v>0</v>
      </c>
      <c r="G33" s="9">
        <f>SUM(NE_FINANCIAL)</f>
        <v>511967.62085121009</v>
      </c>
      <c r="L33" s="6"/>
      <c r="V33" s="9"/>
    </row>
    <row r="34" spans="1:22">
      <c r="A34" s="1" t="s">
        <v>55</v>
      </c>
      <c r="B34" s="6">
        <v>0</v>
      </c>
      <c r="C34" s="1">
        <v>0</v>
      </c>
      <c r="D34" s="1">
        <v>2432.3602302658346</v>
      </c>
      <c r="E34" s="1">
        <v>0</v>
      </c>
      <c r="F34" s="1">
        <v>0</v>
      </c>
      <c r="G34" s="9">
        <f>SUM(NV_FINANCIAL)</f>
        <v>2432.3602302658346</v>
      </c>
      <c r="L34" s="6"/>
      <c r="V34" s="9"/>
    </row>
    <row r="35" spans="1:22">
      <c r="A35" s="1" t="s">
        <v>56</v>
      </c>
      <c r="B35" s="6">
        <v>0</v>
      </c>
      <c r="C35" s="1">
        <v>0</v>
      </c>
      <c r="D35" s="1">
        <v>0</v>
      </c>
      <c r="E35" s="1">
        <v>0</v>
      </c>
      <c r="F35" s="1">
        <v>0</v>
      </c>
      <c r="G35" s="9">
        <f>SUM(NH_FINANCIAL)</f>
        <v>0</v>
      </c>
      <c r="L35" s="6"/>
      <c r="V35" s="9"/>
    </row>
    <row r="36" spans="1:22">
      <c r="A36" s="1" t="s">
        <v>57</v>
      </c>
      <c r="B36" s="6">
        <v>0</v>
      </c>
      <c r="C36" s="1">
        <v>0</v>
      </c>
      <c r="D36" s="1">
        <v>0</v>
      </c>
      <c r="E36" s="1">
        <v>0</v>
      </c>
      <c r="F36" s="1">
        <v>0</v>
      </c>
      <c r="G36" s="9">
        <f>SUM(NJ_FINANCIAL)</f>
        <v>0</v>
      </c>
      <c r="L36" s="6"/>
      <c r="V36" s="9"/>
    </row>
    <row r="37" spans="1:22">
      <c r="A37" s="1" t="s">
        <v>58</v>
      </c>
      <c r="B37" s="6">
        <v>0</v>
      </c>
      <c r="C37" s="1">
        <v>0</v>
      </c>
      <c r="D37" s="1">
        <v>52301.810191549041</v>
      </c>
      <c r="E37" s="1">
        <v>0</v>
      </c>
      <c r="F37" s="1">
        <v>0</v>
      </c>
      <c r="G37" s="9">
        <f>SUM(NM_FINANCIAL)</f>
        <v>52301.810191549041</v>
      </c>
      <c r="L37" s="6">
        <v>0</v>
      </c>
      <c r="M37" s="1">
        <v>0</v>
      </c>
      <c r="O37" s="1">
        <v>0</v>
      </c>
      <c r="P37" s="1">
        <v>0</v>
      </c>
      <c r="R37" s="1">
        <v>99821</v>
      </c>
      <c r="S37" s="1">
        <v>0</v>
      </c>
      <c r="U37" s="1">
        <v>0</v>
      </c>
      <c r="V37" s="9">
        <v>0</v>
      </c>
    </row>
    <row r="38" spans="1:22">
      <c r="A38" s="1" t="s">
        <v>59</v>
      </c>
      <c r="B38" s="6">
        <v>0</v>
      </c>
      <c r="C38" s="1">
        <v>0</v>
      </c>
      <c r="D38" s="1">
        <v>0</v>
      </c>
      <c r="E38" s="1">
        <v>0</v>
      </c>
      <c r="F38" s="1">
        <v>0</v>
      </c>
      <c r="G38" s="9">
        <f>SUM(NY_FINANCIAL)</f>
        <v>0</v>
      </c>
      <c r="L38" s="6"/>
      <c r="V38" s="9"/>
    </row>
    <row r="39" spans="1:22">
      <c r="A39" s="1" t="s">
        <v>60</v>
      </c>
      <c r="B39" s="6">
        <v>0</v>
      </c>
      <c r="C39" s="1">
        <v>0</v>
      </c>
      <c r="D39" s="1">
        <v>0</v>
      </c>
      <c r="E39" s="1">
        <v>0</v>
      </c>
      <c r="F39" s="1">
        <v>0</v>
      </c>
      <c r="G39" s="9">
        <f>SUM(NC_FINANCIAL)</f>
        <v>0</v>
      </c>
      <c r="L39" s="6"/>
      <c r="V39" s="9"/>
    </row>
    <row r="40" spans="1:22">
      <c r="A40" s="1" t="s">
        <v>61</v>
      </c>
      <c r="B40" s="6">
        <v>0</v>
      </c>
      <c r="C40" s="1">
        <v>0</v>
      </c>
      <c r="D40" s="1">
        <v>23.485287176877819</v>
      </c>
      <c r="E40" s="1">
        <v>0</v>
      </c>
      <c r="F40" s="1">
        <v>0</v>
      </c>
      <c r="G40" s="9">
        <f>SUM(ND_FINANCIAL)</f>
        <v>23.485287176877819</v>
      </c>
      <c r="L40" s="6"/>
      <c r="V40" s="9"/>
    </row>
    <row r="41" spans="1:22">
      <c r="A41" s="1" t="s">
        <v>62</v>
      </c>
      <c r="B41" s="6">
        <v>17050.970599000986</v>
      </c>
      <c r="C41" s="1">
        <v>0</v>
      </c>
      <c r="D41" s="1">
        <v>1953020.8726697289</v>
      </c>
      <c r="E41" s="1">
        <v>0</v>
      </c>
      <c r="F41" s="1">
        <v>0</v>
      </c>
      <c r="G41" s="9">
        <f>SUM(OH_FINANCIAL)</f>
        <v>1970071.84326873</v>
      </c>
      <c r="L41" s="6"/>
      <c r="V41" s="9"/>
    </row>
    <row r="42" spans="1:22">
      <c r="A42" s="1" t="s">
        <v>63</v>
      </c>
      <c r="B42" s="6">
        <v>1875.1893780257335</v>
      </c>
      <c r="C42" s="1">
        <v>0</v>
      </c>
      <c r="D42" s="1">
        <v>1851174.5008290135</v>
      </c>
      <c r="E42" s="1">
        <v>0</v>
      </c>
      <c r="F42" s="1">
        <v>0</v>
      </c>
      <c r="G42" s="9">
        <f>SUM(OK_FINANCIAL)</f>
        <v>1853049.6902070392</v>
      </c>
      <c r="L42" s="6">
        <v>43500</v>
      </c>
      <c r="M42" s="1">
        <v>4500</v>
      </c>
      <c r="O42" s="1">
        <v>0</v>
      </c>
      <c r="P42" s="1">
        <v>0</v>
      </c>
      <c r="R42" s="1">
        <v>4306500</v>
      </c>
      <c r="S42" s="1">
        <v>1830500</v>
      </c>
      <c r="U42" s="1">
        <v>0</v>
      </c>
      <c r="V42" s="9">
        <v>0</v>
      </c>
    </row>
    <row r="43" spans="1:22">
      <c r="A43" s="1" t="s">
        <v>64</v>
      </c>
      <c r="B43" s="6">
        <v>0</v>
      </c>
      <c r="C43" s="1">
        <v>0</v>
      </c>
      <c r="D43" s="1">
        <v>42756.334725818873</v>
      </c>
      <c r="E43" s="1">
        <v>0</v>
      </c>
      <c r="F43" s="1">
        <v>0</v>
      </c>
      <c r="G43" s="9">
        <f>SUM(OR_FINANCIAL)</f>
        <v>42756.334725818873</v>
      </c>
      <c r="L43" s="6"/>
      <c r="V43" s="9"/>
    </row>
    <row r="44" spans="1:22">
      <c r="A44" s="1" t="s">
        <v>65</v>
      </c>
      <c r="B44" s="6">
        <v>0</v>
      </c>
      <c r="C44" s="1">
        <v>0</v>
      </c>
      <c r="D44" s="1">
        <v>0</v>
      </c>
      <c r="E44" s="1">
        <v>0</v>
      </c>
      <c r="F44" s="1">
        <v>0</v>
      </c>
      <c r="G44" s="9">
        <f>SUM(PA_FINANCIAL)</f>
        <v>0</v>
      </c>
      <c r="L44" s="6"/>
      <c r="V44" s="9"/>
    </row>
    <row r="45" spans="1:22">
      <c r="A45" s="1" t="s">
        <v>66</v>
      </c>
      <c r="B45" s="6">
        <v>0</v>
      </c>
      <c r="C45" s="1">
        <v>0</v>
      </c>
      <c r="D45" s="1">
        <v>0</v>
      </c>
      <c r="E45" s="1">
        <v>0</v>
      </c>
      <c r="F45" s="1">
        <v>0</v>
      </c>
      <c r="G45" s="9">
        <f>SUM(PR_FINANCIAL)</f>
        <v>0</v>
      </c>
      <c r="L45" s="6"/>
      <c r="V45" s="9"/>
    </row>
    <row r="46" spans="1:22">
      <c r="A46" s="1" t="s">
        <v>67</v>
      </c>
      <c r="B46" s="6">
        <v>0</v>
      </c>
      <c r="C46" s="1">
        <v>0</v>
      </c>
      <c r="D46" s="1">
        <v>0</v>
      </c>
      <c r="E46" s="1">
        <v>0</v>
      </c>
      <c r="F46" s="1">
        <v>0</v>
      </c>
      <c r="G46" s="9">
        <f>SUM(RI_FINANCIAL)</f>
        <v>0</v>
      </c>
      <c r="L46" s="6"/>
      <c r="V46" s="9"/>
    </row>
    <row r="47" spans="1:22">
      <c r="A47" s="1" t="s">
        <v>68</v>
      </c>
      <c r="B47" s="6">
        <v>1601.8512544772509</v>
      </c>
      <c r="C47" s="1">
        <v>0</v>
      </c>
      <c r="D47" s="1">
        <v>671.18326303362846</v>
      </c>
      <c r="E47" s="1">
        <v>0</v>
      </c>
      <c r="F47" s="1">
        <v>0</v>
      </c>
      <c r="G47" s="9">
        <f>SUM(SC_FINANCIAL)</f>
        <v>2273.0345175108796</v>
      </c>
      <c r="L47" s="6"/>
      <c r="V47" s="9"/>
    </row>
    <row r="48" spans="1:22">
      <c r="A48" s="1" t="s">
        <v>69</v>
      </c>
      <c r="B48" s="6">
        <v>0</v>
      </c>
      <c r="C48" s="1">
        <v>0</v>
      </c>
      <c r="D48" s="1">
        <v>36854.481067374843</v>
      </c>
      <c r="E48" s="1">
        <v>0</v>
      </c>
      <c r="F48" s="1">
        <v>0</v>
      </c>
      <c r="G48" s="9">
        <f>SUM(SD_FINANCIAL)</f>
        <v>36854.481067374843</v>
      </c>
      <c r="L48" s="6"/>
      <c r="V48" s="9"/>
    </row>
    <row r="49" spans="1:22">
      <c r="A49" s="1" t="s">
        <v>70</v>
      </c>
      <c r="B49" s="6">
        <v>0</v>
      </c>
      <c r="C49" s="1">
        <v>0</v>
      </c>
      <c r="D49" s="1">
        <v>1687149.3025721125</v>
      </c>
      <c r="E49" s="1">
        <v>0</v>
      </c>
      <c r="F49" s="1">
        <v>0</v>
      </c>
      <c r="G49" s="9">
        <f>SUM(TN_FINANCIAL)</f>
        <v>1687149.3025721125</v>
      </c>
      <c r="L49" s="6">
        <v>0</v>
      </c>
      <c r="M49" s="1">
        <v>0</v>
      </c>
      <c r="O49" s="1">
        <v>0</v>
      </c>
      <c r="P49" s="1">
        <v>0</v>
      </c>
      <c r="R49" s="1">
        <v>3600000</v>
      </c>
      <c r="S49" s="1">
        <v>0</v>
      </c>
      <c r="U49" s="1">
        <v>0</v>
      </c>
      <c r="V49" s="9">
        <v>0</v>
      </c>
    </row>
    <row r="50" spans="1:22">
      <c r="A50" s="1" t="s">
        <v>71</v>
      </c>
      <c r="B50" s="6">
        <v>3771.9152694346635</v>
      </c>
      <c r="C50" s="1">
        <v>0</v>
      </c>
      <c r="D50" s="1">
        <v>6776794.8878484126</v>
      </c>
      <c r="E50" s="1">
        <v>0</v>
      </c>
      <c r="F50" s="1">
        <v>0</v>
      </c>
      <c r="G50" s="9">
        <f>SUM(TX_FINANCIAL)</f>
        <v>6780566.8031178471</v>
      </c>
      <c r="L50" s="6">
        <v>130011</v>
      </c>
      <c r="M50" s="1">
        <v>0</v>
      </c>
      <c r="O50" s="1">
        <v>0</v>
      </c>
      <c r="P50" s="1">
        <v>0</v>
      </c>
      <c r="R50" s="1">
        <v>12871063</v>
      </c>
      <c r="S50" s="1">
        <v>9250000</v>
      </c>
      <c r="U50" s="1">
        <v>0</v>
      </c>
      <c r="V50" s="9">
        <v>0</v>
      </c>
    </row>
    <row r="51" spans="1:22">
      <c r="A51" s="1" t="s">
        <v>72</v>
      </c>
      <c r="B51" s="6">
        <v>0</v>
      </c>
      <c r="C51" s="1">
        <v>0</v>
      </c>
      <c r="D51" s="1">
        <v>196.4406468204179</v>
      </c>
      <c r="E51" s="1">
        <v>0</v>
      </c>
      <c r="F51" s="1">
        <v>0</v>
      </c>
      <c r="G51" s="9">
        <f>SUM(UT_FINANCIAL)</f>
        <v>196.4406468204179</v>
      </c>
      <c r="L51" s="6"/>
      <c r="V51" s="9"/>
    </row>
    <row r="52" spans="1:22">
      <c r="A52" s="1" t="s">
        <v>73</v>
      </c>
      <c r="B52" s="6">
        <v>0</v>
      </c>
      <c r="C52" s="1">
        <v>0</v>
      </c>
      <c r="D52" s="1">
        <v>0</v>
      </c>
      <c r="E52" s="1">
        <v>0</v>
      </c>
      <c r="F52" s="1">
        <v>0</v>
      </c>
      <c r="G52" s="9">
        <f>SUM(VT_FINANCIAL)</f>
        <v>0</v>
      </c>
      <c r="L52" s="6"/>
      <c r="V52" s="9"/>
    </row>
    <row r="53" spans="1:22">
      <c r="A53" s="1" t="s">
        <v>74</v>
      </c>
      <c r="B53" s="6">
        <v>0</v>
      </c>
      <c r="C53" s="1">
        <v>0</v>
      </c>
      <c r="D53" s="1">
        <v>345647.98743220628</v>
      </c>
      <c r="E53" s="1">
        <v>0</v>
      </c>
      <c r="F53" s="1">
        <v>0</v>
      </c>
      <c r="G53" s="9">
        <f>SUM(VA_FINANCIAL)</f>
        <v>345647.98743220628</v>
      </c>
      <c r="L53" s="6">
        <v>0</v>
      </c>
      <c r="M53" s="1">
        <v>0</v>
      </c>
      <c r="O53" s="1">
        <v>0</v>
      </c>
      <c r="P53" s="1">
        <v>0</v>
      </c>
      <c r="R53" s="1">
        <v>500000</v>
      </c>
      <c r="S53" s="1">
        <v>76050</v>
      </c>
      <c r="U53" s="1">
        <v>0</v>
      </c>
      <c r="V53" s="9">
        <v>0</v>
      </c>
    </row>
    <row r="54" spans="1:22">
      <c r="A54" s="1" t="s">
        <v>75</v>
      </c>
      <c r="B54" s="6">
        <v>787.9318774759862</v>
      </c>
      <c r="C54" s="1">
        <v>0</v>
      </c>
      <c r="D54" s="1">
        <v>590424.61856256856</v>
      </c>
      <c r="E54" s="1">
        <v>0</v>
      </c>
      <c r="F54" s="1">
        <v>0</v>
      </c>
      <c r="G54" s="9">
        <f>SUM(WA_FINANCIAL)</f>
        <v>591212.55044004449</v>
      </c>
      <c r="L54" s="6">
        <v>0</v>
      </c>
      <c r="M54" s="1">
        <v>0</v>
      </c>
      <c r="O54" s="1">
        <v>0</v>
      </c>
      <c r="P54" s="1">
        <v>0</v>
      </c>
      <c r="R54" s="1">
        <v>1800000</v>
      </c>
      <c r="S54" s="1">
        <v>0</v>
      </c>
      <c r="U54" s="1">
        <v>0</v>
      </c>
      <c r="V54" s="9">
        <v>0</v>
      </c>
    </row>
    <row r="55" spans="1:22">
      <c r="A55" s="1" t="s">
        <v>76</v>
      </c>
      <c r="B55" s="6">
        <v>0</v>
      </c>
      <c r="C55" s="1">
        <v>0</v>
      </c>
      <c r="D55" s="1">
        <v>92565.30897851687</v>
      </c>
      <c r="E55" s="1">
        <v>0</v>
      </c>
      <c r="F55" s="1">
        <v>0</v>
      </c>
      <c r="G55" s="9">
        <f>SUM(WV_FINANCIAL)</f>
        <v>92565.30897851687</v>
      </c>
      <c r="L55" s="6">
        <v>0</v>
      </c>
      <c r="M55" s="1">
        <v>0</v>
      </c>
      <c r="O55" s="1">
        <v>0</v>
      </c>
      <c r="P55" s="1">
        <v>0</v>
      </c>
      <c r="R55" s="1">
        <v>0</v>
      </c>
      <c r="S55" s="1">
        <v>0</v>
      </c>
      <c r="U55" s="1">
        <v>0</v>
      </c>
      <c r="V55" s="9">
        <v>0</v>
      </c>
    </row>
    <row r="56" spans="1:22">
      <c r="A56" s="1" t="s">
        <v>77</v>
      </c>
      <c r="B56" s="6">
        <v>5087.517002541128</v>
      </c>
      <c r="C56" s="1">
        <v>0</v>
      </c>
      <c r="D56" s="1">
        <v>24812.771764610923</v>
      </c>
      <c r="E56" s="1">
        <v>0</v>
      </c>
      <c r="F56" s="1">
        <v>0</v>
      </c>
      <c r="G56" s="9">
        <f>SUM(WI_FINANCIAL)</f>
        <v>29900.288767152051</v>
      </c>
      <c r="L56" s="6"/>
      <c r="V56" s="9"/>
    </row>
    <row r="57" spans="1:22">
      <c r="A57" s="1" t="s">
        <v>78</v>
      </c>
      <c r="B57" s="6">
        <v>0</v>
      </c>
      <c r="C57" s="1">
        <v>0</v>
      </c>
      <c r="D57" s="1">
        <v>108587.5930581225</v>
      </c>
      <c r="E57" s="1">
        <v>0</v>
      </c>
      <c r="F57" s="1">
        <v>0</v>
      </c>
      <c r="G57" s="9">
        <f>SUM(WY_FINANCIAL)</f>
        <v>108587.5930581225</v>
      </c>
      <c r="L57" s="6">
        <v>0</v>
      </c>
      <c r="M57" s="1">
        <v>0</v>
      </c>
      <c r="O57" s="1">
        <v>0</v>
      </c>
      <c r="P57" s="1">
        <v>0</v>
      </c>
      <c r="R57" s="1">
        <v>350000</v>
      </c>
      <c r="S57" s="1">
        <v>336606</v>
      </c>
      <c r="U57" s="1">
        <v>0</v>
      </c>
      <c r="V57" s="9">
        <v>0</v>
      </c>
    </row>
    <row r="58" spans="1:22">
      <c r="A58" s="1" t="s">
        <v>79</v>
      </c>
      <c r="B58" s="6">
        <v>0</v>
      </c>
      <c r="C58" s="1">
        <v>0</v>
      </c>
      <c r="D58" s="1">
        <v>0</v>
      </c>
      <c r="E58" s="1">
        <v>0</v>
      </c>
      <c r="F58" s="1">
        <v>0</v>
      </c>
      <c r="G58" s="9">
        <f>SUM(OT_FINANCIAL)</f>
        <v>0</v>
      </c>
      <c r="L58" s="6"/>
      <c r="V58" s="9"/>
    </row>
    <row r="59" spans="1:22">
      <c r="B59" s="6"/>
      <c r="G59" s="9"/>
      <c r="L59" s="6"/>
      <c r="V59" s="9"/>
    </row>
    <row r="60" spans="1:22">
      <c r="A60" s="1" t="s">
        <v>8</v>
      </c>
      <c r="B60" s="6">
        <f>SUM(LIFE)</f>
        <v>79567.167830055259</v>
      </c>
      <c r="C60" s="1">
        <f>SUM(ALLOCATED)</f>
        <v>0</v>
      </c>
      <c r="D60" s="1">
        <f>SUM(HEALTH)</f>
        <v>26352847.616249941</v>
      </c>
      <c r="E60" s="1">
        <f>SUM(UNALLOCATED)</f>
        <v>0</v>
      </c>
      <c r="F60" s="1">
        <f>SUM(LTC)</f>
        <v>0</v>
      </c>
      <c r="G60" s="9">
        <f>SUM(ALL_BLOCKS)</f>
        <v>26432414.784079999</v>
      </c>
      <c r="L60" s="6">
        <f>SUM(LIFE_CALLED)</f>
        <v>253143</v>
      </c>
      <c r="M60" s="1">
        <f>SUM(LIFE_REFUNDED)</f>
        <v>4500</v>
      </c>
      <c r="O60" s="1">
        <f>SUM(ALLOC_CALLED)</f>
        <v>0</v>
      </c>
      <c r="P60" s="1">
        <f>SUM(ALLOC_REFUNDED)</f>
        <v>0</v>
      </c>
      <c r="R60" s="1">
        <f>SUM(HEALTH_CALLED)</f>
        <v>58771774</v>
      </c>
      <c r="S60" s="1">
        <f>SUM(HEALTH_REFUNDED)</f>
        <v>16096567</v>
      </c>
      <c r="U60" s="1">
        <f>SUM(UNALLOC_CALLED)</f>
        <v>0</v>
      </c>
      <c r="V60" s="9">
        <f>SUM(UNALLOC_REFUNDED)</f>
        <v>0</v>
      </c>
    </row>
    <row r="61" spans="1:22" ht="5.0999999999999996" customHeight="1">
      <c r="B61" s="6"/>
      <c r="G61" s="9"/>
      <c r="L61" s="6"/>
      <c r="V61" s="9"/>
    </row>
    <row r="62" spans="1:22">
      <c r="B62" s="6"/>
      <c r="G62" s="9"/>
      <c r="L62" s="78" t="s">
        <v>80</v>
      </c>
      <c r="M62" s="79"/>
      <c r="N62" s="79"/>
      <c r="O62" s="79"/>
      <c r="P62" s="79"/>
      <c r="Q62" s="79"/>
      <c r="R62" s="79"/>
      <c r="S62" s="79"/>
      <c r="T62" s="79"/>
      <c r="U62" s="79"/>
      <c r="V62" s="80"/>
    </row>
    <row r="63" spans="1:22">
      <c r="B63" s="6"/>
      <c r="G63" s="9"/>
      <c r="L63" s="81"/>
      <c r="M63" s="79"/>
      <c r="N63" s="79"/>
      <c r="O63" s="79"/>
      <c r="P63" s="79"/>
      <c r="Q63" s="79"/>
      <c r="R63" s="79"/>
      <c r="S63" s="79"/>
      <c r="T63" s="79"/>
      <c r="U63" s="79"/>
      <c r="V63" s="80"/>
    </row>
    <row r="64" spans="1:22">
      <c r="B64" s="8"/>
      <c r="C64" s="5"/>
      <c r="D64" s="5"/>
      <c r="E64" s="5"/>
      <c r="F64" s="5"/>
      <c r="G64" s="11"/>
      <c r="L64" s="82"/>
      <c r="M64" s="83"/>
      <c r="N64" s="83"/>
      <c r="O64" s="83"/>
      <c r="P64" s="83"/>
      <c r="Q64" s="83"/>
      <c r="R64" s="83"/>
      <c r="S64" s="83"/>
      <c r="T64" s="83"/>
      <c r="U64" s="83"/>
      <c r="V64" s="84"/>
    </row>
  </sheetData>
  <mergeCells count="8">
    <mergeCell ref="L62:V64"/>
    <mergeCell ref="A1:G1"/>
    <mergeCell ref="B3:G3"/>
    <mergeCell ref="L3:V3"/>
    <mergeCell ref="L4:M4"/>
    <mergeCell ref="O4:P4"/>
    <mergeCell ref="R4:S4"/>
    <mergeCell ref="U4:V4"/>
  </mergeCells>
  <pageMargins left="0" right="0" top="0" bottom="0" header="0" footer="0"/>
  <pageSetup scale="48"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V64"/>
  <sheetViews>
    <sheetView zoomScale="75" workbookViewId="0">
      <selection sqref="A1:G1"/>
    </sheetView>
  </sheetViews>
  <sheetFormatPr defaultColWidth="9.109375" defaultRowHeight="14.4"/>
  <cols>
    <col min="1" max="1" width="20" style="1" customWidth="1"/>
    <col min="2" max="7" width="15" style="1" customWidth="1"/>
    <col min="8" max="8" width="1" style="1" customWidth="1"/>
    <col min="9" max="9" width="30" style="1" customWidth="1"/>
    <col min="10" max="10" width="15" style="1" customWidth="1"/>
    <col min="11" max="11" width="1" style="1" customWidth="1"/>
    <col min="12" max="13" width="15" style="1" customWidth="1"/>
    <col min="14" max="14" width="1" style="1" customWidth="1"/>
    <col min="15" max="16" width="15" style="1" customWidth="1"/>
    <col min="17" max="17" width="1" style="1" customWidth="1"/>
    <col min="18" max="19" width="15" style="1" customWidth="1"/>
    <col min="20" max="20" width="1" style="1" customWidth="1"/>
    <col min="21" max="22" width="15" style="1" customWidth="1"/>
    <col min="23" max="23" width="9.109375" style="1" customWidth="1"/>
    <col min="24" max="16384" width="9.109375" style="1"/>
  </cols>
  <sheetData>
    <row r="1" spans="1:22">
      <c r="A1" s="85" t="s">
        <v>109</v>
      </c>
      <c r="B1" s="79"/>
      <c r="C1" s="79"/>
      <c r="D1" s="79"/>
      <c r="E1" s="79"/>
      <c r="F1" s="79"/>
      <c r="G1" s="79"/>
    </row>
    <row r="3" spans="1:22">
      <c r="B3" s="86" t="s">
        <v>1</v>
      </c>
      <c r="C3" s="87"/>
      <c r="D3" s="87"/>
      <c r="E3" s="87"/>
      <c r="F3" s="87"/>
      <c r="G3" s="88"/>
      <c r="L3" s="89" t="s">
        <v>2</v>
      </c>
      <c r="M3" s="90"/>
      <c r="N3" s="90"/>
      <c r="O3" s="90"/>
      <c r="P3" s="90"/>
      <c r="Q3" s="90"/>
      <c r="R3" s="90"/>
      <c r="S3" s="90"/>
      <c r="T3" s="90"/>
      <c r="U3" s="90"/>
      <c r="V3" s="91"/>
    </row>
    <row r="4" spans="1:22">
      <c r="B4" s="6"/>
      <c r="G4" s="9"/>
      <c r="L4" s="92" t="s">
        <v>3</v>
      </c>
      <c r="M4" s="93"/>
      <c r="N4" s="3"/>
      <c r="O4" s="94" t="s">
        <v>4</v>
      </c>
      <c r="P4" s="93"/>
      <c r="Q4" s="3"/>
      <c r="R4" s="94" t="s">
        <v>5</v>
      </c>
      <c r="S4" s="93"/>
      <c r="T4" s="3"/>
      <c r="U4" s="94" t="s">
        <v>6</v>
      </c>
      <c r="V4" s="95"/>
    </row>
    <row r="5" spans="1:22" ht="60" customHeight="1">
      <c r="B5" s="7" t="s">
        <v>3</v>
      </c>
      <c r="C5" s="4" t="s">
        <v>4</v>
      </c>
      <c r="D5" s="4" t="s">
        <v>5</v>
      </c>
      <c r="E5" s="4" t="s">
        <v>6</v>
      </c>
      <c r="F5" s="4" t="s">
        <v>7</v>
      </c>
      <c r="G5" s="10" t="s">
        <v>8</v>
      </c>
      <c r="L5" s="19" t="s">
        <v>9</v>
      </c>
      <c r="M5" s="18" t="s">
        <v>10</v>
      </c>
      <c r="N5" s="18"/>
      <c r="O5" s="18" t="s">
        <v>9</v>
      </c>
      <c r="P5" s="18" t="s">
        <v>10</v>
      </c>
      <c r="Q5" s="18"/>
      <c r="R5" s="18" t="s">
        <v>9</v>
      </c>
      <c r="S5" s="18" t="s">
        <v>10</v>
      </c>
      <c r="T5" s="18"/>
      <c r="U5" s="18" t="s">
        <v>9</v>
      </c>
      <c r="V5" s="20" t="s">
        <v>10</v>
      </c>
    </row>
    <row r="6" spans="1:22">
      <c r="A6" s="1" t="s">
        <v>11</v>
      </c>
      <c r="B6" s="6">
        <v>0</v>
      </c>
      <c r="C6" s="1">
        <v>0</v>
      </c>
      <c r="D6" s="1">
        <v>0</v>
      </c>
      <c r="E6" s="1">
        <v>0</v>
      </c>
      <c r="F6" s="1">
        <v>0</v>
      </c>
      <c r="G6" s="9">
        <f>SUM(AL_FINANCIAL)</f>
        <v>0</v>
      </c>
      <c r="L6" s="6"/>
      <c r="V6" s="9"/>
    </row>
    <row r="7" spans="1:22">
      <c r="A7" s="1" t="s">
        <v>12</v>
      </c>
      <c r="B7" s="6">
        <v>0</v>
      </c>
      <c r="C7" s="1">
        <v>0</v>
      </c>
      <c r="D7" s="1">
        <v>0</v>
      </c>
      <c r="E7" s="1">
        <v>0</v>
      </c>
      <c r="F7" s="1">
        <v>0</v>
      </c>
      <c r="G7" s="9">
        <f>SUM(AK_FINANCIAL)</f>
        <v>0</v>
      </c>
      <c r="I7" s="12"/>
      <c r="J7" s="15"/>
      <c r="L7" s="6"/>
      <c r="V7" s="9"/>
    </row>
    <row r="8" spans="1:22">
      <c r="A8" s="1" t="s">
        <v>13</v>
      </c>
      <c r="B8" s="6">
        <v>0</v>
      </c>
      <c r="C8" s="1">
        <v>0</v>
      </c>
      <c r="D8" s="1">
        <v>0</v>
      </c>
      <c r="E8" s="1">
        <v>0</v>
      </c>
      <c r="F8" s="1">
        <v>0</v>
      </c>
      <c r="G8" s="9">
        <f>SUM(AZ_FINANCIAL)</f>
        <v>0</v>
      </c>
      <c r="I8" s="13" t="s">
        <v>14</v>
      </c>
      <c r="J8" s="16"/>
      <c r="L8" s="6"/>
      <c r="V8" s="9"/>
    </row>
    <row r="9" spans="1:22">
      <c r="A9" s="1" t="s">
        <v>15</v>
      </c>
      <c r="B9" s="6">
        <v>0</v>
      </c>
      <c r="C9" s="1">
        <v>0</v>
      </c>
      <c r="D9" s="1">
        <v>0</v>
      </c>
      <c r="E9" s="1">
        <v>0</v>
      </c>
      <c r="F9" s="1">
        <v>0</v>
      </c>
      <c r="G9" s="9">
        <f>SUM(AR_FINANCIAL)</f>
        <v>0</v>
      </c>
      <c r="I9" s="13"/>
      <c r="J9" s="16"/>
      <c r="L9" s="6"/>
      <c r="V9" s="9"/>
    </row>
    <row r="10" spans="1:22">
      <c r="A10" s="1" t="s">
        <v>16</v>
      </c>
      <c r="B10" s="6">
        <v>0</v>
      </c>
      <c r="C10" s="1">
        <v>0</v>
      </c>
      <c r="D10" s="1">
        <v>0</v>
      </c>
      <c r="E10" s="1">
        <v>0</v>
      </c>
      <c r="F10" s="1">
        <v>0</v>
      </c>
      <c r="G10" s="9">
        <f>SUM(CA_FINANCIAL)</f>
        <v>0</v>
      </c>
      <c r="I10" s="13" t="s">
        <v>17</v>
      </c>
      <c r="J10" s="16">
        <v>46309368</v>
      </c>
      <c r="L10" s="6"/>
      <c r="V10" s="9"/>
    </row>
    <row r="11" spans="1:22">
      <c r="A11" s="1" t="s">
        <v>18</v>
      </c>
      <c r="B11" s="6">
        <v>0</v>
      </c>
      <c r="C11" s="1">
        <v>0</v>
      </c>
      <c r="D11" s="1">
        <v>0</v>
      </c>
      <c r="E11" s="1">
        <v>0</v>
      </c>
      <c r="F11" s="1">
        <v>0</v>
      </c>
      <c r="G11" s="9">
        <f>SUM(CO_FINANCIAL)</f>
        <v>0</v>
      </c>
      <c r="I11" s="13"/>
      <c r="J11" s="16"/>
      <c r="L11" s="6"/>
      <c r="V11" s="9"/>
    </row>
    <row r="12" spans="1:22">
      <c r="A12" s="1" t="s">
        <v>19</v>
      </c>
      <c r="B12" s="6">
        <v>0</v>
      </c>
      <c r="C12" s="1">
        <v>0</v>
      </c>
      <c r="D12" s="1">
        <v>0</v>
      </c>
      <c r="E12" s="1">
        <v>0</v>
      </c>
      <c r="F12" s="1">
        <v>0</v>
      </c>
      <c r="G12" s="9">
        <f>SUM(CT_FINANCIAL)</f>
        <v>0</v>
      </c>
      <c r="I12" s="13" t="s">
        <v>20</v>
      </c>
      <c r="J12" s="16"/>
      <c r="L12" s="6"/>
      <c r="V12" s="9"/>
    </row>
    <row r="13" spans="1:22">
      <c r="A13" s="1" t="s">
        <v>21</v>
      </c>
      <c r="B13" s="6">
        <v>0</v>
      </c>
      <c r="C13" s="1">
        <v>0</v>
      </c>
      <c r="D13" s="1">
        <v>0</v>
      </c>
      <c r="E13" s="1">
        <v>0</v>
      </c>
      <c r="F13" s="1">
        <v>0</v>
      </c>
      <c r="G13" s="9">
        <f>SUM(DE_FINANCIAL)</f>
        <v>0</v>
      </c>
      <c r="I13" s="13" t="s">
        <v>22</v>
      </c>
      <c r="J13" s="16">
        <v>46309368</v>
      </c>
      <c r="L13" s="6"/>
      <c r="V13" s="9"/>
    </row>
    <row r="14" spans="1:22">
      <c r="A14" s="1" t="s">
        <v>23</v>
      </c>
      <c r="B14" s="6">
        <v>0</v>
      </c>
      <c r="C14" s="1">
        <v>0</v>
      </c>
      <c r="D14" s="1">
        <v>0</v>
      </c>
      <c r="E14" s="1">
        <v>0</v>
      </c>
      <c r="F14" s="1">
        <v>0</v>
      </c>
      <c r="G14" s="9">
        <f>SUM(DC_FINANCIAL)</f>
        <v>0</v>
      </c>
      <c r="I14" s="13" t="s">
        <v>24</v>
      </c>
      <c r="J14" s="16">
        <v>5205298</v>
      </c>
      <c r="L14" s="6"/>
      <c r="V14" s="9"/>
    </row>
    <row r="15" spans="1:22">
      <c r="A15" s="1" t="s">
        <v>25</v>
      </c>
      <c r="B15" s="6">
        <v>0</v>
      </c>
      <c r="C15" s="1">
        <v>0</v>
      </c>
      <c r="D15" s="1">
        <v>0</v>
      </c>
      <c r="E15" s="1">
        <v>0</v>
      </c>
      <c r="F15" s="1">
        <v>0</v>
      </c>
      <c r="G15" s="9">
        <f>SUM(FL_FINANCIAL)</f>
        <v>0</v>
      </c>
      <c r="I15" s="13" t="s">
        <v>26</v>
      </c>
      <c r="J15" s="16">
        <v>0</v>
      </c>
      <c r="L15" s="6"/>
      <c r="V15" s="9"/>
    </row>
    <row r="16" spans="1:22">
      <c r="A16" s="1" t="s">
        <v>27</v>
      </c>
      <c r="B16" s="6">
        <v>0</v>
      </c>
      <c r="C16" s="1">
        <v>0</v>
      </c>
      <c r="D16" s="1">
        <v>0</v>
      </c>
      <c r="E16" s="1">
        <v>0</v>
      </c>
      <c r="F16" s="1">
        <v>0</v>
      </c>
      <c r="G16" s="9">
        <f>SUM(GA_FINANCIAL)</f>
        <v>0</v>
      </c>
      <c r="I16" s="13" t="s">
        <v>28</v>
      </c>
      <c r="J16" s="16">
        <v>0</v>
      </c>
      <c r="L16" s="6"/>
      <c r="V16" s="9"/>
    </row>
    <row r="17" spans="1:22">
      <c r="A17" s="1" t="s">
        <v>29</v>
      </c>
      <c r="B17" s="6">
        <v>0</v>
      </c>
      <c r="C17" s="1">
        <v>0</v>
      </c>
      <c r="D17" s="1">
        <v>0</v>
      </c>
      <c r="E17" s="1">
        <v>0</v>
      </c>
      <c r="F17" s="1">
        <v>0</v>
      </c>
      <c r="G17" s="9">
        <f>SUM(HI_FINANCIAL)</f>
        <v>0</v>
      </c>
      <c r="I17" s="13"/>
      <c r="J17" s="16"/>
      <c r="L17" s="6"/>
      <c r="V17" s="9"/>
    </row>
    <row r="18" spans="1:22">
      <c r="A18" s="1" t="s">
        <v>30</v>
      </c>
      <c r="B18" s="6">
        <v>0</v>
      </c>
      <c r="C18" s="1">
        <v>0</v>
      </c>
      <c r="D18" s="1">
        <v>0</v>
      </c>
      <c r="E18" s="1">
        <v>0</v>
      </c>
      <c r="F18" s="1">
        <v>0</v>
      </c>
      <c r="G18" s="9">
        <f>SUM(ID_FINANCIAL)</f>
        <v>0</v>
      </c>
      <c r="I18" s="13" t="s">
        <v>31</v>
      </c>
      <c r="J18" s="16"/>
      <c r="L18" s="6"/>
      <c r="V18" s="9"/>
    </row>
    <row r="19" spans="1:22">
      <c r="A19" s="1" t="s">
        <v>32</v>
      </c>
      <c r="B19" s="6">
        <v>0</v>
      </c>
      <c r="C19" s="1">
        <v>0</v>
      </c>
      <c r="D19" s="1">
        <v>0</v>
      </c>
      <c r="E19" s="1">
        <v>0</v>
      </c>
      <c r="F19" s="1">
        <v>0</v>
      </c>
      <c r="G19" s="9">
        <f>SUM(IL_FINANCIAL)</f>
        <v>0</v>
      </c>
      <c r="I19" s="13" t="s">
        <v>33</v>
      </c>
      <c r="J19" s="16">
        <v>0</v>
      </c>
      <c r="L19" s="6"/>
      <c r="V19" s="9"/>
    </row>
    <row r="20" spans="1:22">
      <c r="A20" s="1" t="s">
        <v>34</v>
      </c>
      <c r="B20" s="6">
        <v>0</v>
      </c>
      <c r="C20" s="1">
        <v>0</v>
      </c>
      <c r="D20" s="1">
        <v>0</v>
      </c>
      <c r="E20" s="1">
        <v>0</v>
      </c>
      <c r="F20" s="1">
        <v>0</v>
      </c>
      <c r="G20" s="9">
        <f>SUM(IN_FINANCIAL)</f>
        <v>0</v>
      </c>
      <c r="I20" s="13" t="s">
        <v>35</v>
      </c>
      <c r="J20" s="16">
        <v>46309368</v>
      </c>
      <c r="L20" s="6"/>
      <c r="V20" s="9"/>
    </row>
    <row r="21" spans="1:22">
      <c r="A21" s="1" t="s">
        <v>36</v>
      </c>
      <c r="B21" s="6">
        <v>0</v>
      </c>
      <c r="C21" s="1">
        <v>0</v>
      </c>
      <c r="D21" s="1">
        <v>0</v>
      </c>
      <c r="E21" s="1">
        <v>0</v>
      </c>
      <c r="F21" s="1">
        <v>0</v>
      </c>
      <c r="G21" s="9">
        <f>SUM(IA_FINANCIAL)</f>
        <v>0</v>
      </c>
      <c r="I21" s="13" t="s">
        <v>37</v>
      </c>
      <c r="J21" s="16"/>
      <c r="L21" s="6"/>
      <c r="V21" s="9"/>
    </row>
    <row r="22" spans="1:22">
      <c r="A22" s="1" t="s">
        <v>38</v>
      </c>
      <c r="B22" s="6">
        <v>0</v>
      </c>
      <c r="C22" s="1">
        <v>0</v>
      </c>
      <c r="D22" s="1">
        <v>0</v>
      </c>
      <c r="E22" s="1">
        <v>0</v>
      </c>
      <c r="F22" s="1">
        <v>0</v>
      </c>
      <c r="G22" s="9">
        <f>SUM(KS_FINANCIAL)</f>
        <v>0</v>
      </c>
      <c r="I22" s="13" t="s">
        <v>39</v>
      </c>
      <c r="J22" s="16">
        <v>0</v>
      </c>
      <c r="L22" s="6"/>
      <c r="V22" s="9"/>
    </row>
    <row r="23" spans="1:22">
      <c r="A23" s="1" t="s">
        <v>40</v>
      </c>
      <c r="B23" s="6">
        <v>0</v>
      </c>
      <c r="C23" s="1">
        <v>0</v>
      </c>
      <c r="D23" s="1">
        <v>0</v>
      </c>
      <c r="E23" s="1">
        <v>0</v>
      </c>
      <c r="F23" s="1">
        <v>0</v>
      </c>
      <c r="G23" s="9">
        <f>SUM(KY_FINANCIAL)</f>
        <v>0</v>
      </c>
      <c r="I23" s="13" t="s">
        <v>41</v>
      </c>
      <c r="J23" s="16"/>
      <c r="L23" s="6"/>
      <c r="V23" s="9"/>
    </row>
    <row r="24" spans="1:22">
      <c r="A24" s="1" t="s">
        <v>42</v>
      </c>
      <c r="B24" s="6">
        <v>0</v>
      </c>
      <c r="C24" s="1">
        <v>0</v>
      </c>
      <c r="D24" s="1">
        <v>0</v>
      </c>
      <c r="E24" s="1">
        <v>0</v>
      </c>
      <c r="F24" s="1">
        <v>0</v>
      </c>
      <c r="G24" s="9">
        <f>SUM(LA_FINANCIAL)</f>
        <v>0</v>
      </c>
      <c r="I24" s="13" t="s">
        <v>43</v>
      </c>
      <c r="J24" s="16">
        <v>43125948</v>
      </c>
      <c r="L24" s="6"/>
      <c r="V24" s="9"/>
    </row>
    <row r="25" spans="1:22">
      <c r="A25" s="1" t="s">
        <v>44</v>
      </c>
      <c r="B25" s="6">
        <v>0</v>
      </c>
      <c r="C25" s="1">
        <v>0</v>
      </c>
      <c r="D25" s="1">
        <v>0</v>
      </c>
      <c r="E25" s="1">
        <v>0</v>
      </c>
      <c r="F25" s="1">
        <v>0</v>
      </c>
      <c r="G25" s="9">
        <f>SUM(ME_FINANCIAL)</f>
        <v>0</v>
      </c>
      <c r="I25" s="13"/>
      <c r="J25" s="16"/>
      <c r="L25" s="6"/>
      <c r="V25" s="9"/>
    </row>
    <row r="26" spans="1:22">
      <c r="A26" s="1" t="s">
        <v>45</v>
      </c>
      <c r="B26" s="6">
        <v>0</v>
      </c>
      <c r="C26" s="1">
        <v>0</v>
      </c>
      <c r="D26" s="1">
        <v>0</v>
      </c>
      <c r="E26" s="1">
        <v>0</v>
      </c>
      <c r="F26" s="1">
        <v>0</v>
      </c>
      <c r="G26" s="9">
        <f>SUM(MD_FINANCIAL)</f>
        <v>0</v>
      </c>
      <c r="I26" s="13" t="s">
        <v>46</v>
      </c>
      <c r="J26" s="16">
        <f>SUM(ADD_FINANCIAL)-SUM(LESS_FINANCIAL)</f>
        <v>8388718</v>
      </c>
      <c r="L26" s="6"/>
      <c r="V26" s="9"/>
    </row>
    <row r="27" spans="1:22">
      <c r="A27" s="1" t="s">
        <v>47</v>
      </c>
      <c r="B27" s="6">
        <v>0</v>
      </c>
      <c r="C27" s="1">
        <v>0</v>
      </c>
      <c r="D27" s="1">
        <v>0</v>
      </c>
      <c r="E27" s="1">
        <v>0</v>
      </c>
      <c r="F27" s="1">
        <v>0</v>
      </c>
      <c r="G27" s="9">
        <f>SUM(MA_FINANCIAL)</f>
        <v>0</v>
      </c>
      <c r="I27" s="13" t="s">
        <v>48</v>
      </c>
      <c r="J27" s="16">
        <f>SUM(ALL_BLOCKS)</f>
        <v>8388718</v>
      </c>
      <c r="L27" s="6"/>
      <c r="V27" s="9"/>
    </row>
    <row r="28" spans="1:22">
      <c r="A28" s="1" t="s">
        <v>49</v>
      </c>
      <c r="B28" s="6">
        <v>0</v>
      </c>
      <c r="C28" s="1">
        <v>0</v>
      </c>
      <c r="D28" s="1">
        <v>0</v>
      </c>
      <c r="E28" s="1">
        <v>0</v>
      </c>
      <c r="F28" s="1">
        <v>0</v>
      </c>
      <c r="G28" s="9">
        <f>SUM(MI_FINANCIAL)</f>
        <v>0</v>
      </c>
      <c r="I28" s="14"/>
      <c r="J28" s="17"/>
      <c r="L28" s="6"/>
      <c r="V28" s="9"/>
    </row>
    <row r="29" spans="1:22">
      <c r="A29" s="1" t="s">
        <v>50</v>
      </c>
      <c r="B29" s="6">
        <v>0</v>
      </c>
      <c r="C29" s="1">
        <v>0</v>
      </c>
      <c r="D29" s="1">
        <v>0</v>
      </c>
      <c r="E29" s="1">
        <v>0</v>
      </c>
      <c r="F29" s="1">
        <v>0</v>
      </c>
      <c r="G29" s="9">
        <f>SUM(MN_FINANCIAL)</f>
        <v>0</v>
      </c>
      <c r="L29" s="6"/>
      <c r="V29" s="9"/>
    </row>
    <row r="30" spans="1:22">
      <c r="A30" s="1" t="s">
        <v>51</v>
      </c>
      <c r="B30" s="6">
        <v>0</v>
      </c>
      <c r="C30" s="1">
        <v>0</v>
      </c>
      <c r="D30" s="1">
        <v>0</v>
      </c>
      <c r="E30" s="1">
        <v>0</v>
      </c>
      <c r="F30" s="1">
        <v>0</v>
      </c>
      <c r="G30" s="9">
        <f>SUM(MS_FINANCIAL)</f>
        <v>0</v>
      </c>
      <c r="L30" s="6"/>
      <c r="V30" s="9"/>
    </row>
    <row r="31" spans="1:22">
      <c r="A31" s="1" t="s">
        <v>52</v>
      </c>
      <c r="B31" s="6">
        <v>0</v>
      </c>
      <c r="C31" s="1">
        <v>0</v>
      </c>
      <c r="D31" s="1">
        <v>0</v>
      </c>
      <c r="E31" s="1">
        <v>0</v>
      </c>
      <c r="F31" s="1">
        <v>0</v>
      </c>
      <c r="G31" s="9">
        <f>SUM(MO_FINANCIAL)</f>
        <v>0</v>
      </c>
      <c r="L31" s="6"/>
      <c r="V31" s="9"/>
    </row>
    <row r="32" spans="1:22">
      <c r="A32" s="1" t="s">
        <v>53</v>
      </c>
      <c r="B32" s="6">
        <v>0</v>
      </c>
      <c r="C32" s="1">
        <v>0</v>
      </c>
      <c r="D32" s="1">
        <v>0</v>
      </c>
      <c r="E32" s="1">
        <v>0</v>
      </c>
      <c r="F32" s="1">
        <v>0</v>
      </c>
      <c r="G32" s="9">
        <f>SUM(MT_FINANCIAL)</f>
        <v>0</v>
      </c>
      <c r="L32" s="6"/>
      <c r="V32" s="9"/>
    </row>
    <row r="33" spans="1:22">
      <c r="A33" s="1" t="s">
        <v>54</v>
      </c>
      <c r="B33" s="6">
        <v>0</v>
      </c>
      <c r="C33" s="1">
        <v>0</v>
      </c>
      <c r="D33" s="1">
        <v>0</v>
      </c>
      <c r="E33" s="1">
        <v>0</v>
      </c>
      <c r="F33" s="1">
        <v>0</v>
      </c>
      <c r="G33" s="9">
        <f>SUM(NE_FINANCIAL)</f>
        <v>0</v>
      </c>
      <c r="L33" s="6"/>
      <c r="V33" s="9"/>
    </row>
    <row r="34" spans="1:22">
      <c r="A34" s="1" t="s">
        <v>55</v>
      </c>
      <c r="B34" s="6">
        <v>0</v>
      </c>
      <c r="C34" s="1">
        <v>0</v>
      </c>
      <c r="D34" s="1">
        <v>0</v>
      </c>
      <c r="E34" s="1">
        <v>0</v>
      </c>
      <c r="F34" s="1">
        <v>0</v>
      </c>
      <c r="G34" s="9">
        <f>SUM(NV_FINANCIAL)</f>
        <v>0</v>
      </c>
      <c r="L34" s="6"/>
      <c r="V34" s="9"/>
    </row>
    <row r="35" spans="1:22">
      <c r="A35" s="1" t="s">
        <v>56</v>
      </c>
      <c r="B35" s="6">
        <v>0</v>
      </c>
      <c r="C35" s="1">
        <v>0</v>
      </c>
      <c r="D35" s="1">
        <v>0</v>
      </c>
      <c r="E35" s="1">
        <v>0</v>
      </c>
      <c r="F35" s="1">
        <v>0</v>
      </c>
      <c r="G35" s="9">
        <f>SUM(NH_FINANCIAL)</f>
        <v>0</v>
      </c>
      <c r="L35" s="6"/>
      <c r="V35" s="9"/>
    </row>
    <row r="36" spans="1:22">
      <c r="A36" s="1" t="s">
        <v>57</v>
      </c>
      <c r="B36" s="6">
        <v>0</v>
      </c>
      <c r="C36" s="1">
        <v>0</v>
      </c>
      <c r="D36" s="1">
        <v>0</v>
      </c>
      <c r="E36" s="1">
        <v>0</v>
      </c>
      <c r="F36" s="1">
        <v>0</v>
      </c>
      <c r="G36" s="9">
        <f>SUM(NJ_FINANCIAL)</f>
        <v>0</v>
      </c>
      <c r="L36" s="6"/>
      <c r="V36" s="9"/>
    </row>
    <row r="37" spans="1:22">
      <c r="A37" s="1" t="s">
        <v>58</v>
      </c>
      <c r="B37" s="6">
        <v>0</v>
      </c>
      <c r="C37" s="1">
        <v>0</v>
      </c>
      <c r="D37" s="1">
        <v>0</v>
      </c>
      <c r="E37" s="1">
        <v>0</v>
      </c>
      <c r="F37" s="1">
        <v>0</v>
      </c>
      <c r="G37" s="9">
        <f>SUM(NM_FINANCIAL)</f>
        <v>0</v>
      </c>
      <c r="L37" s="6"/>
      <c r="V37" s="9"/>
    </row>
    <row r="38" spans="1:22">
      <c r="A38" s="1" t="s">
        <v>59</v>
      </c>
      <c r="B38" s="6">
        <v>0</v>
      </c>
      <c r="C38" s="1">
        <v>0</v>
      </c>
      <c r="D38" s="1">
        <v>0</v>
      </c>
      <c r="E38" s="1">
        <v>0</v>
      </c>
      <c r="F38" s="1">
        <v>0</v>
      </c>
      <c r="G38" s="9">
        <f>SUM(NY_FINANCIAL)</f>
        <v>0</v>
      </c>
      <c r="L38" s="6"/>
      <c r="V38" s="9"/>
    </row>
    <row r="39" spans="1:22">
      <c r="A39" s="1" t="s">
        <v>60</v>
      </c>
      <c r="B39" s="6">
        <v>0</v>
      </c>
      <c r="C39" s="1">
        <v>0</v>
      </c>
      <c r="D39" s="1">
        <v>0</v>
      </c>
      <c r="E39" s="1">
        <v>0</v>
      </c>
      <c r="F39" s="1">
        <v>0</v>
      </c>
      <c r="G39" s="9">
        <f>SUM(NC_FINANCIAL)</f>
        <v>0</v>
      </c>
      <c r="L39" s="6"/>
      <c r="V39" s="9"/>
    </row>
    <row r="40" spans="1:22">
      <c r="A40" s="1" t="s">
        <v>61</v>
      </c>
      <c r="B40" s="6">
        <v>0</v>
      </c>
      <c r="C40" s="1">
        <v>0</v>
      </c>
      <c r="D40" s="1">
        <v>0</v>
      </c>
      <c r="E40" s="1">
        <v>0</v>
      </c>
      <c r="F40" s="1">
        <v>0</v>
      </c>
      <c r="G40" s="9">
        <f>SUM(ND_FINANCIAL)</f>
        <v>0</v>
      </c>
      <c r="L40" s="6"/>
      <c r="V40" s="9"/>
    </row>
    <row r="41" spans="1:22">
      <c r="A41" s="1" t="s">
        <v>62</v>
      </c>
      <c r="B41" s="6">
        <v>0</v>
      </c>
      <c r="C41" s="1">
        <v>0</v>
      </c>
      <c r="D41" s="1">
        <v>8388718</v>
      </c>
      <c r="E41" s="1">
        <v>0</v>
      </c>
      <c r="F41" s="1">
        <v>0</v>
      </c>
      <c r="G41" s="9">
        <f>SUM(OH_FINANCIAL)</f>
        <v>8388718</v>
      </c>
      <c r="L41" s="6">
        <v>0</v>
      </c>
      <c r="M41" s="1">
        <v>0</v>
      </c>
      <c r="O41" s="1">
        <v>0</v>
      </c>
      <c r="P41" s="1">
        <v>0</v>
      </c>
      <c r="R41" s="1">
        <v>40000000</v>
      </c>
      <c r="S41" s="1">
        <v>0</v>
      </c>
      <c r="U41" s="1">
        <v>0</v>
      </c>
      <c r="V41" s="9">
        <v>0</v>
      </c>
    </row>
    <row r="42" spans="1:22">
      <c r="A42" s="1" t="s">
        <v>63</v>
      </c>
      <c r="B42" s="6">
        <v>0</v>
      </c>
      <c r="C42" s="1">
        <v>0</v>
      </c>
      <c r="D42" s="1">
        <v>0</v>
      </c>
      <c r="E42" s="1">
        <v>0</v>
      </c>
      <c r="F42" s="1">
        <v>0</v>
      </c>
      <c r="G42" s="9">
        <f>SUM(OK_FINANCIAL)</f>
        <v>0</v>
      </c>
      <c r="L42" s="6"/>
      <c r="V42" s="9"/>
    </row>
    <row r="43" spans="1:22">
      <c r="A43" s="1" t="s">
        <v>64</v>
      </c>
      <c r="B43" s="6">
        <v>0</v>
      </c>
      <c r="C43" s="1">
        <v>0</v>
      </c>
      <c r="D43" s="1">
        <v>0</v>
      </c>
      <c r="E43" s="1">
        <v>0</v>
      </c>
      <c r="F43" s="1">
        <v>0</v>
      </c>
      <c r="G43" s="9">
        <f>SUM(OR_FINANCIAL)</f>
        <v>0</v>
      </c>
      <c r="L43" s="6"/>
      <c r="V43" s="9"/>
    </row>
    <row r="44" spans="1:22">
      <c r="A44" s="1" t="s">
        <v>65</v>
      </c>
      <c r="B44" s="6">
        <v>0</v>
      </c>
      <c r="C44" s="1">
        <v>0</v>
      </c>
      <c r="D44" s="1">
        <v>0</v>
      </c>
      <c r="E44" s="1">
        <v>0</v>
      </c>
      <c r="F44" s="1">
        <v>0</v>
      </c>
      <c r="G44" s="9">
        <f>SUM(PA_FINANCIAL)</f>
        <v>0</v>
      </c>
      <c r="L44" s="6"/>
      <c r="V44" s="9"/>
    </row>
    <row r="45" spans="1:22">
      <c r="A45" s="1" t="s">
        <v>66</v>
      </c>
      <c r="B45" s="6">
        <v>0</v>
      </c>
      <c r="C45" s="1">
        <v>0</v>
      </c>
      <c r="D45" s="1">
        <v>0</v>
      </c>
      <c r="E45" s="1">
        <v>0</v>
      </c>
      <c r="F45" s="1">
        <v>0</v>
      </c>
      <c r="G45" s="9">
        <f>SUM(PR_FINANCIAL)</f>
        <v>0</v>
      </c>
      <c r="L45" s="6"/>
      <c r="V45" s="9"/>
    </row>
    <row r="46" spans="1:22">
      <c r="A46" s="1" t="s">
        <v>67</v>
      </c>
      <c r="B46" s="6">
        <v>0</v>
      </c>
      <c r="C46" s="1">
        <v>0</v>
      </c>
      <c r="D46" s="1">
        <v>0</v>
      </c>
      <c r="E46" s="1">
        <v>0</v>
      </c>
      <c r="F46" s="1">
        <v>0</v>
      </c>
      <c r="G46" s="9">
        <f>SUM(RI_FINANCIAL)</f>
        <v>0</v>
      </c>
      <c r="L46" s="6"/>
      <c r="V46" s="9"/>
    </row>
    <row r="47" spans="1:22">
      <c r="A47" s="1" t="s">
        <v>68</v>
      </c>
      <c r="B47" s="6">
        <v>0</v>
      </c>
      <c r="C47" s="1">
        <v>0</v>
      </c>
      <c r="D47" s="1">
        <v>0</v>
      </c>
      <c r="E47" s="1">
        <v>0</v>
      </c>
      <c r="F47" s="1">
        <v>0</v>
      </c>
      <c r="G47" s="9">
        <f>SUM(SC_FINANCIAL)</f>
        <v>0</v>
      </c>
      <c r="L47" s="6"/>
      <c r="V47" s="9"/>
    </row>
    <row r="48" spans="1:22">
      <c r="A48" s="1" t="s">
        <v>69</v>
      </c>
      <c r="B48" s="6">
        <v>0</v>
      </c>
      <c r="C48" s="1">
        <v>0</v>
      </c>
      <c r="D48" s="1">
        <v>0</v>
      </c>
      <c r="E48" s="1">
        <v>0</v>
      </c>
      <c r="F48" s="1">
        <v>0</v>
      </c>
      <c r="G48" s="9">
        <f>SUM(SD_FINANCIAL)</f>
        <v>0</v>
      </c>
      <c r="L48" s="6"/>
      <c r="V48" s="9"/>
    </row>
    <row r="49" spans="1:22">
      <c r="A49" s="1" t="s">
        <v>70</v>
      </c>
      <c r="B49" s="6">
        <v>0</v>
      </c>
      <c r="C49" s="1">
        <v>0</v>
      </c>
      <c r="D49" s="1">
        <v>0</v>
      </c>
      <c r="E49" s="1">
        <v>0</v>
      </c>
      <c r="F49" s="1">
        <v>0</v>
      </c>
      <c r="G49" s="9">
        <f>SUM(TN_FINANCIAL)</f>
        <v>0</v>
      </c>
      <c r="L49" s="6"/>
      <c r="V49" s="9"/>
    </row>
    <row r="50" spans="1:22">
      <c r="A50" s="1" t="s">
        <v>71</v>
      </c>
      <c r="B50" s="6">
        <v>0</v>
      </c>
      <c r="C50" s="1">
        <v>0</v>
      </c>
      <c r="D50" s="1">
        <v>0</v>
      </c>
      <c r="E50" s="1">
        <v>0</v>
      </c>
      <c r="F50" s="1">
        <v>0</v>
      </c>
      <c r="G50" s="9">
        <f>SUM(TX_FINANCIAL)</f>
        <v>0</v>
      </c>
      <c r="L50" s="6"/>
      <c r="V50" s="9"/>
    </row>
    <row r="51" spans="1:22">
      <c r="A51" s="1" t="s">
        <v>72</v>
      </c>
      <c r="B51" s="6">
        <v>0</v>
      </c>
      <c r="C51" s="1">
        <v>0</v>
      </c>
      <c r="D51" s="1">
        <v>0</v>
      </c>
      <c r="E51" s="1">
        <v>0</v>
      </c>
      <c r="F51" s="1">
        <v>0</v>
      </c>
      <c r="G51" s="9">
        <f>SUM(UT_FINANCIAL)</f>
        <v>0</v>
      </c>
      <c r="L51" s="6"/>
      <c r="V51" s="9"/>
    </row>
    <row r="52" spans="1:22">
      <c r="A52" s="1" t="s">
        <v>73</v>
      </c>
      <c r="B52" s="6">
        <v>0</v>
      </c>
      <c r="C52" s="1">
        <v>0</v>
      </c>
      <c r="D52" s="1">
        <v>0</v>
      </c>
      <c r="E52" s="1">
        <v>0</v>
      </c>
      <c r="F52" s="1">
        <v>0</v>
      </c>
      <c r="G52" s="9">
        <f>SUM(VT_FINANCIAL)</f>
        <v>0</v>
      </c>
      <c r="L52" s="6"/>
      <c r="V52" s="9"/>
    </row>
    <row r="53" spans="1:22">
      <c r="A53" s="1" t="s">
        <v>74</v>
      </c>
      <c r="B53" s="6">
        <v>0</v>
      </c>
      <c r="C53" s="1">
        <v>0</v>
      </c>
      <c r="D53" s="1">
        <v>0</v>
      </c>
      <c r="E53" s="1">
        <v>0</v>
      </c>
      <c r="F53" s="1">
        <v>0</v>
      </c>
      <c r="G53" s="9">
        <f>SUM(VA_FINANCIAL)</f>
        <v>0</v>
      </c>
      <c r="L53" s="6"/>
      <c r="V53" s="9"/>
    </row>
    <row r="54" spans="1:22">
      <c r="A54" s="1" t="s">
        <v>75</v>
      </c>
      <c r="B54" s="6">
        <v>0</v>
      </c>
      <c r="C54" s="1">
        <v>0</v>
      </c>
      <c r="D54" s="1">
        <v>0</v>
      </c>
      <c r="E54" s="1">
        <v>0</v>
      </c>
      <c r="F54" s="1">
        <v>0</v>
      </c>
      <c r="G54" s="9">
        <f>SUM(WA_FINANCIAL)</f>
        <v>0</v>
      </c>
      <c r="L54" s="6"/>
      <c r="V54" s="9"/>
    </row>
    <row r="55" spans="1:22">
      <c r="A55" s="1" t="s">
        <v>76</v>
      </c>
      <c r="B55" s="6">
        <v>0</v>
      </c>
      <c r="C55" s="1">
        <v>0</v>
      </c>
      <c r="D55" s="1">
        <v>0</v>
      </c>
      <c r="E55" s="1">
        <v>0</v>
      </c>
      <c r="F55" s="1">
        <v>0</v>
      </c>
      <c r="G55" s="9">
        <f>SUM(WV_FINANCIAL)</f>
        <v>0</v>
      </c>
      <c r="L55" s="6"/>
      <c r="V55" s="9"/>
    </row>
    <row r="56" spans="1:22">
      <c r="A56" s="1" t="s">
        <v>77</v>
      </c>
      <c r="B56" s="6">
        <v>0</v>
      </c>
      <c r="C56" s="1">
        <v>0</v>
      </c>
      <c r="D56" s="1">
        <v>0</v>
      </c>
      <c r="E56" s="1">
        <v>0</v>
      </c>
      <c r="F56" s="1">
        <v>0</v>
      </c>
      <c r="G56" s="9">
        <f>SUM(WI_FINANCIAL)</f>
        <v>0</v>
      </c>
      <c r="L56" s="6"/>
      <c r="V56" s="9"/>
    </row>
    <row r="57" spans="1:22">
      <c r="A57" s="1" t="s">
        <v>78</v>
      </c>
      <c r="B57" s="6">
        <v>0</v>
      </c>
      <c r="C57" s="1">
        <v>0</v>
      </c>
      <c r="D57" s="1">
        <v>0</v>
      </c>
      <c r="E57" s="1">
        <v>0</v>
      </c>
      <c r="F57" s="1">
        <v>0</v>
      </c>
      <c r="G57" s="9">
        <f>SUM(WY_FINANCIAL)</f>
        <v>0</v>
      </c>
      <c r="L57" s="6"/>
      <c r="V57" s="9"/>
    </row>
    <row r="58" spans="1:22">
      <c r="A58" s="1" t="s">
        <v>79</v>
      </c>
      <c r="B58" s="6">
        <v>0</v>
      </c>
      <c r="C58" s="1">
        <v>0</v>
      </c>
      <c r="D58" s="1">
        <v>0</v>
      </c>
      <c r="E58" s="1">
        <v>0</v>
      </c>
      <c r="F58" s="1">
        <v>0</v>
      </c>
      <c r="G58" s="9">
        <f>SUM(OT_FINANCIAL)</f>
        <v>0</v>
      </c>
      <c r="L58" s="6"/>
      <c r="V58" s="9"/>
    </row>
    <row r="59" spans="1:22">
      <c r="B59" s="6"/>
      <c r="G59" s="9"/>
      <c r="L59" s="6"/>
      <c r="V59" s="9"/>
    </row>
    <row r="60" spans="1:22">
      <c r="A60" s="1" t="s">
        <v>8</v>
      </c>
      <c r="B60" s="6">
        <f>SUM(LIFE)</f>
        <v>0</v>
      </c>
      <c r="C60" s="1">
        <f>SUM(ALLOCATED)</f>
        <v>0</v>
      </c>
      <c r="D60" s="1">
        <f>SUM(HEALTH)</f>
        <v>8388718</v>
      </c>
      <c r="E60" s="1">
        <f>SUM(UNALLOCATED)</f>
        <v>0</v>
      </c>
      <c r="F60" s="1">
        <f>SUM(LTC)</f>
        <v>0</v>
      </c>
      <c r="G60" s="9">
        <f>SUM(ALL_BLOCKS)</f>
        <v>8388718</v>
      </c>
      <c r="L60" s="6">
        <f>SUM(LIFE_CALLED)</f>
        <v>0</v>
      </c>
      <c r="M60" s="1">
        <f>SUM(LIFE_REFUNDED)</f>
        <v>0</v>
      </c>
      <c r="O60" s="1">
        <f>SUM(ALLOC_CALLED)</f>
        <v>0</v>
      </c>
      <c r="P60" s="1">
        <f>SUM(ALLOC_REFUNDED)</f>
        <v>0</v>
      </c>
      <c r="R60" s="1">
        <f>SUM(HEALTH_CALLED)</f>
        <v>40000000</v>
      </c>
      <c r="S60" s="1">
        <f>SUM(HEALTH_REFUNDED)</f>
        <v>0</v>
      </c>
      <c r="U60" s="1">
        <f>SUM(UNALLOC_CALLED)</f>
        <v>0</v>
      </c>
      <c r="V60" s="9">
        <f>SUM(UNALLOC_REFUNDED)</f>
        <v>0</v>
      </c>
    </row>
    <row r="61" spans="1:22" ht="5.0999999999999996" customHeight="1">
      <c r="B61" s="6"/>
      <c r="G61" s="9"/>
      <c r="L61" s="6"/>
      <c r="V61" s="9"/>
    </row>
    <row r="62" spans="1:22">
      <c r="B62" s="6"/>
      <c r="G62" s="9"/>
      <c r="L62" s="78" t="s">
        <v>80</v>
      </c>
      <c r="M62" s="79"/>
      <c r="N62" s="79"/>
      <c r="O62" s="79"/>
      <c r="P62" s="79"/>
      <c r="Q62" s="79"/>
      <c r="R62" s="79"/>
      <c r="S62" s="79"/>
      <c r="T62" s="79"/>
      <c r="U62" s="79"/>
      <c r="V62" s="80"/>
    </row>
    <row r="63" spans="1:22">
      <c r="B63" s="6"/>
      <c r="G63" s="9"/>
      <c r="L63" s="81"/>
      <c r="M63" s="79"/>
      <c r="N63" s="79"/>
      <c r="O63" s="79"/>
      <c r="P63" s="79"/>
      <c r="Q63" s="79"/>
      <c r="R63" s="79"/>
      <c r="S63" s="79"/>
      <c r="T63" s="79"/>
      <c r="U63" s="79"/>
      <c r="V63" s="80"/>
    </row>
    <row r="64" spans="1:22">
      <c r="B64" s="8"/>
      <c r="C64" s="5"/>
      <c r="D64" s="5"/>
      <c r="E64" s="5"/>
      <c r="F64" s="5"/>
      <c r="G64" s="11"/>
      <c r="L64" s="82"/>
      <c r="M64" s="83"/>
      <c r="N64" s="83"/>
      <c r="O64" s="83"/>
      <c r="P64" s="83"/>
      <c r="Q64" s="83"/>
      <c r="R64" s="83"/>
      <c r="S64" s="83"/>
      <c r="T64" s="83"/>
      <c r="U64" s="83"/>
      <c r="V64" s="84"/>
    </row>
  </sheetData>
  <mergeCells count="8">
    <mergeCell ref="L62:V64"/>
    <mergeCell ref="A1:G1"/>
    <mergeCell ref="B3:G3"/>
    <mergeCell ref="L3:V3"/>
    <mergeCell ref="L4:M4"/>
    <mergeCell ref="O4:P4"/>
    <mergeCell ref="R4:S4"/>
    <mergeCell ref="U4:V4"/>
  </mergeCells>
  <pageMargins left="0" right="0" top="0" bottom="0" header="0" footer="0"/>
  <pageSetup scale="48"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V64"/>
  <sheetViews>
    <sheetView zoomScale="75" workbookViewId="0">
      <selection sqref="A1:G1"/>
    </sheetView>
  </sheetViews>
  <sheetFormatPr defaultColWidth="9.109375" defaultRowHeight="14.4"/>
  <cols>
    <col min="1" max="1" width="20" style="1" customWidth="1"/>
    <col min="2" max="7" width="15" style="1" customWidth="1"/>
    <col min="8" max="8" width="1" style="1" customWidth="1"/>
    <col min="9" max="9" width="30" style="1" customWidth="1"/>
    <col min="10" max="10" width="15" style="1" customWidth="1"/>
    <col min="11" max="11" width="1" style="1" customWidth="1"/>
    <col min="12" max="13" width="15" style="1" customWidth="1"/>
    <col min="14" max="14" width="1" style="1" customWidth="1"/>
    <col min="15" max="16" width="15" style="1" customWidth="1"/>
    <col min="17" max="17" width="1" style="1" customWidth="1"/>
    <col min="18" max="19" width="15" style="1" customWidth="1"/>
    <col min="20" max="20" width="1" style="1" customWidth="1"/>
    <col min="21" max="22" width="15" style="1" customWidth="1"/>
    <col min="23" max="23" width="9.109375" style="1" customWidth="1"/>
    <col min="24" max="16384" width="9.109375" style="1"/>
  </cols>
  <sheetData>
    <row r="1" spans="1:22">
      <c r="A1" s="85" t="s">
        <v>110</v>
      </c>
      <c r="B1" s="79"/>
      <c r="C1" s="79"/>
      <c r="D1" s="79"/>
      <c r="E1" s="79"/>
      <c r="F1" s="79"/>
      <c r="G1" s="79"/>
    </row>
    <row r="3" spans="1:22">
      <c r="B3" s="86" t="s">
        <v>1</v>
      </c>
      <c r="C3" s="87"/>
      <c r="D3" s="87"/>
      <c r="E3" s="87"/>
      <c r="F3" s="87"/>
      <c r="G3" s="88"/>
      <c r="L3" s="89" t="s">
        <v>2</v>
      </c>
      <c r="M3" s="90"/>
      <c r="N3" s="90"/>
      <c r="O3" s="90"/>
      <c r="P3" s="90"/>
      <c r="Q3" s="90"/>
      <c r="R3" s="90"/>
      <c r="S3" s="90"/>
      <c r="T3" s="90"/>
      <c r="U3" s="90"/>
      <c r="V3" s="91"/>
    </row>
    <row r="4" spans="1:22">
      <c r="B4" s="6"/>
      <c r="G4" s="9"/>
      <c r="L4" s="92" t="s">
        <v>3</v>
      </c>
      <c r="M4" s="93"/>
      <c r="N4" s="3"/>
      <c r="O4" s="94" t="s">
        <v>4</v>
      </c>
      <c r="P4" s="93"/>
      <c r="Q4" s="3"/>
      <c r="R4" s="94" t="s">
        <v>5</v>
      </c>
      <c r="S4" s="93"/>
      <c r="T4" s="3"/>
      <c r="U4" s="94" t="s">
        <v>6</v>
      </c>
      <c r="V4" s="95"/>
    </row>
    <row r="5" spans="1:22" ht="60" customHeight="1">
      <c r="B5" s="7" t="s">
        <v>3</v>
      </c>
      <c r="C5" s="4" t="s">
        <v>4</v>
      </c>
      <c r="D5" s="4" t="s">
        <v>5</v>
      </c>
      <c r="E5" s="4" t="s">
        <v>6</v>
      </c>
      <c r="F5" s="4" t="s">
        <v>7</v>
      </c>
      <c r="G5" s="10" t="s">
        <v>8</v>
      </c>
      <c r="L5" s="19" t="s">
        <v>9</v>
      </c>
      <c r="M5" s="18" t="s">
        <v>10</v>
      </c>
      <c r="N5" s="18"/>
      <c r="O5" s="18" t="s">
        <v>9</v>
      </c>
      <c r="P5" s="18" t="s">
        <v>10</v>
      </c>
      <c r="Q5" s="18"/>
      <c r="R5" s="18" t="s">
        <v>9</v>
      </c>
      <c r="S5" s="18" t="s">
        <v>10</v>
      </c>
      <c r="T5" s="18"/>
      <c r="U5" s="18" t="s">
        <v>9</v>
      </c>
      <c r="V5" s="20" t="s">
        <v>10</v>
      </c>
    </row>
    <row r="6" spans="1:22">
      <c r="A6" s="1" t="s">
        <v>11</v>
      </c>
      <c r="B6" s="6">
        <v>0</v>
      </c>
      <c r="C6" s="1">
        <v>0</v>
      </c>
      <c r="D6" s="1">
        <v>0</v>
      </c>
      <c r="E6" s="1">
        <v>0</v>
      </c>
      <c r="F6" s="1">
        <v>0</v>
      </c>
      <c r="G6" s="9">
        <f>SUM(AL_FINANCIAL)</f>
        <v>0</v>
      </c>
      <c r="L6" s="6"/>
      <c r="V6" s="9"/>
    </row>
    <row r="7" spans="1:22">
      <c r="A7" s="1" t="s">
        <v>12</v>
      </c>
      <c r="B7" s="6">
        <v>0</v>
      </c>
      <c r="C7" s="1">
        <v>0</v>
      </c>
      <c r="D7" s="1">
        <v>0</v>
      </c>
      <c r="E7" s="1">
        <v>0</v>
      </c>
      <c r="F7" s="1">
        <v>0</v>
      </c>
      <c r="G7" s="9">
        <f>SUM(AK_FINANCIAL)</f>
        <v>0</v>
      </c>
      <c r="I7" s="12"/>
      <c r="J7" s="15"/>
      <c r="L7" s="6"/>
      <c r="V7" s="9"/>
    </row>
    <row r="8" spans="1:22">
      <c r="A8" s="1" t="s">
        <v>13</v>
      </c>
      <c r="B8" s="6">
        <v>0</v>
      </c>
      <c r="C8" s="1">
        <v>0</v>
      </c>
      <c r="D8" s="1">
        <v>0</v>
      </c>
      <c r="E8" s="1">
        <v>0</v>
      </c>
      <c r="F8" s="1">
        <v>0</v>
      </c>
      <c r="G8" s="9">
        <f>SUM(AZ_FINANCIAL)</f>
        <v>0</v>
      </c>
      <c r="I8" s="13" t="s">
        <v>14</v>
      </c>
      <c r="J8" s="16"/>
      <c r="L8" s="6"/>
      <c r="V8" s="9"/>
    </row>
    <row r="9" spans="1:22">
      <c r="A9" s="1" t="s">
        <v>15</v>
      </c>
      <c r="B9" s="6">
        <v>0</v>
      </c>
      <c r="C9" s="1">
        <v>0</v>
      </c>
      <c r="D9" s="1">
        <v>0</v>
      </c>
      <c r="E9" s="1">
        <v>0</v>
      </c>
      <c r="F9" s="1">
        <v>0</v>
      </c>
      <c r="G9" s="9">
        <f>SUM(AR_FINANCIAL)</f>
        <v>0</v>
      </c>
      <c r="I9" s="13"/>
      <c r="J9" s="16"/>
      <c r="L9" s="6"/>
      <c r="V9" s="9"/>
    </row>
    <row r="10" spans="1:22">
      <c r="A10" s="1" t="s">
        <v>16</v>
      </c>
      <c r="B10" s="6">
        <v>0</v>
      </c>
      <c r="C10" s="1">
        <v>0</v>
      </c>
      <c r="D10" s="1">
        <v>0</v>
      </c>
      <c r="E10" s="1">
        <v>0</v>
      </c>
      <c r="F10" s="1">
        <v>0</v>
      </c>
      <c r="G10" s="9">
        <f>SUM(CA_FINANCIAL)</f>
        <v>0</v>
      </c>
      <c r="I10" s="13" t="s">
        <v>17</v>
      </c>
      <c r="J10" s="16">
        <v>257801508</v>
      </c>
      <c r="L10" s="6"/>
      <c r="V10" s="9"/>
    </row>
    <row r="11" spans="1:22">
      <c r="A11" s="1" t="s">
        <v>18</v>
      </c>
      <c r="B11" s="6">
        <v>0</v>
      </c>
      <c r="C11" s="1">
        <v>0</v>
      </c>
      <c r="D11" s="1">
        <v>0</v>
      </c>
      <c r="E11" s="1">
        <v>0</v>
      </c>
      <c r="F11" s="1">
        <v>0</v>
      </c>
      <c r="G11" s="9">
        <f>SUM(CO_FINANCIAL)</f>
        <v>0</v>
      </c>
      <c r="I11" s="13"/>
      <c r="J11" s="16"/>
      <c r="L11" s="6"/>
      <c r="V11" s="9"/>
    </row>
    <row r="12" spans="1:22">
      <c r="A12" s="1" t="s">
        <v>19</v>
      </c>
      <c r="B12" s="6">
        <v>0</v>
      </c>
      <c r="C12" s="1">
        <v>0</v>
      </c>
      <c r="D12" s="1">
        <v>0</v>
      </c>
      <c r="E12" s="1">
        <v>0</v>
      </c>
      <c r="F12" s="1">
        <v>0</v>
      </c>
      <c r="G12" s="9">
        <f>SUM(CT_FINANCIAL)</f>
        <v>0</v>
      </c>
      <c r="I12" s="13" t="s">
        <v>20</v>
      </c>
      <c r="J12" s="16"/>
      <c r="L12" s="6"/>
      <c r="V12" s="9"/>
    </row>
    <row r="13" spans="1:22">
      <c r="A13" s="1" t="s">
        <v>21</v>
      </c>
      <c r="B13" s="6">
        <v>7045.1454187982008</v>
      </c>
      <c r="C13" s="1">
        <v>265806.12429207348</v>
      </c>
      <c r="D13" s="1">
        <v>0</v>
      </c>
      <c r="E13" s="1">
        <v>0</v>
      </c>
      <c r="F13" s="1">
        <v>0</v>
      </c>
      <c r="G13" s="9">
        <f>SUM(DE_FINANCIAL)</f>
        <v>272851.26971087168</v>
      </c>
      <c r="I13" s="13" t="s">
        <v>22</v>
      </c>
      <c r="J13" s="16">
        <v>164813483</v>
      </c>
      <c r="L13" s="6">
        <v>10000</v>
      </c>
      <c r="M13" s="1">
        <v>0</v>
      </c>
      <c r="O13" s="1">
        <v>345000</v>
      </c>
      <c r="P13" s="1">
        <v>0</v>
      </c>
      <c r="R13" s="1">
        <v>0</v>
      </c>
      <c r="S13" s="1">
        <v>0</v>
      </c>
      <c r="U13" s="1">
        <v>0</v>
      </c>
      <c r="V13" s="9">
        <v>0</v>
      </c>
    </row>
    <row r="14" spans="1:22">
      <c r="A14" s="1" t="s">
        <v>23</v>
      </c>
      <c r="B14" s="6">
        <v>0</v>
      </c>
      <c r="C14" s="1">
        <v>0</v>
      </c>
      <c r="D14" s="1">
        <v>0</v>
      </c>
      <c r="E14" s="1">
        <v>0</v>
      </c>
      <c r="F14" s="1">
        <v>0</v>
      </c>
      <c r="G14" s="9">
        <f>SUM(DC_FINANCIAL)</f>
        <v>0</v>
      </c>
      <c r="I14" s="13" t="s">
        <v>24</v>
      </c>
      <c r="J14" s="16">
        <v>5801467</v>
      </c>
      <c r="L14" s="6"/>
      <c r="V14" s="9"/>
    </row>
    <row r="15" spans="1:22">
      <c r="A15" s="1" t="s">
        <v>25</v>
      </c>
      <c r="B15" s="6">
        <v>191495.9516039007</v>
      </c>
      <c r="C15" s="1">
        <v>9944233.6157325692</v>
      </c>
      <c r="D15" s="1">
        <v>359837.73693287221</v>
      </c>
      <c r="E15" s="1">
        <v>0</v>
      </c>
      <c r="F15" s="1">
        <v>0</v>
      </c>
      <c r="G15" s="9">
        <f>SUM(FL_FINANCIAL)</f>
        <v>10495567.304269342</v>
      </c>
      <c r="I15" s="13" t="s">
        <v>26</v>
      </c>
      <c r="J15" s="16">
        <v>0</v>
      </c>
      <c r="L15" s="6">
        <v>1760000</v>
      </c>
      <c r="M15" s="1">
        <v>0</v>
      </c>
      <c r="O15" s="1">
        <v>10400000</v>
      </c>
      <c r="P15" s="1">
        <v>0</v>
      </c>
      <c r="R15" s="1">
        <v>250000</v>
      </c>
      <c r="S15" s="1">
        <v>0</v>
      </c>
      <c r="U15" s="1">
        <v>0</v>
      </c>
      <c r="V15" s="9">
        <v>0</v>
      </c>
    </row>
    <row r="16" spans="1:22">
      <c r="A16" s="1" t="s">
        <v>27</v>
      </c>
      <c r="B16" s="6">
        <v>0</v>
      </c>
      <c r="C16" s="1">
        <v>0</v>
      </c>
      <c r="D16" s="1">
        <v>0</v>
      </c>
      <c r="E16" s="1">
        <v>0</v>
      </c>
      <c r="F16" s="1">
        <v>0</v>
      </c>
      <c r="G16" s="9">
        <f>SUM(GA_FINANCIAL)</f>
        <v>0</v>
      </c>
      <c r="I16" s="13" t="s">
        <v>28</v>
      </c>
      <c r="J16" s="16">
        <v>0</v>
      </c>
      <c r="L16" s="6"/>
      <c r="V16" s="9"/>
    </row>
    <row r="17" spans="1:22">
      <c r="A17" s="1" t="s">
        <v>29</v>
      </c>
      <c r="B17" s="6">
        <v>0</v>
      </c>
      <c r="C17" s="1">
        <v>0</v>
      </c>
      <c r="D17" s="1">
        <v>0</v>
      </c>
      <c r="E17" s="1">
        <v>0</v>
      </c>
      <c r="F17" s="1">
        <v>0</v>
      </c>
      <c r="G17" s="9">
        <f>SUM(HI_FINANCIAL)</f>
        <v>0</v>
      </c>
      <c r="I17" s="13"/>
      <c r="J17" s="16"/>
      <c r="L17" s="6"/>
      <c r="V17" s="9"/>
    </row>
    <row r="18" spans="1:22">
      <c r="A18" s="1" t="s">
        <v>30</v>
      </c>
      <c r="B18" s="6">
        <v>0</v>
      </c>
      <c r="C18" s="1">
        <v>0</v>
      </c>
      <c r="D18" s="1">
        <v>0</v>
      </c>
      <c r="E18" s="1">
        <v>0</v>
      </c>
      <c r="F18" s="1">
        <v>0</v>
      </c>
      <c r="G18" s="9">
        <f>SUM(ID_FINANCIAL)</f>
        <v>0</v>
      </c>
      <c r="I18" s="13" t="s">
        <v>31</v>
      </c>
      <c r="J18" s="16"/>
      <c r="L18" s="6"/>
      <c r="V18" s="9"/>
    </row>
    <row r="19" spans="1:22">
      <c r="A19" s="1" t="s">
        <v>32</v>
      </c>
      <c r="B19" s="6">
        <v>0</v>
      </c>
      <c r="C19" s="1">
        <v>0</v>
      </c>
      <c r="D19" s="1">
        <v>0</v>
      </c>
      <c r="E19" s="1">
        <v>0</v>
      </c>
      <c r="F19" s="1">
        <v>0</v>
      </c>
      <c r="G19" s="9">
        <f>SUM(IL_FINANCIAL)</f>
        <v>0</v>
      </c>
      <c r="I19" s="13" t="s">
        <v>33</v>
      </c>
      <c r="J19" s="16">
        <v>0</v>
      </c>
      <c r="L19" s="6"/>
      <c r="V19" s="9"/>
    </row>
    <row r="20" spans="1:22">
      <c r="A20" s="1" t="s">
        <v>34</v>
      </c>
      <c r="B20" s="6">
        <v>0</v>
      </c>
      <c r="C20" s="1">
        <v>0</v>
      </c>
      <c r="D20" s="1">
        <v>0</v>
      </c>
      <c r="E20" s="1">
        <v>0</v>
      </c>
      <c r="F20" s="1">
        <v>0</v>
      </c>
      <c r="G20" s="9">
        <f>SUM(IN_FINANCIAL)</f>
        <v>0</v>
      </c>
      <c r="I20" s="13" t="s">
        <v>35</v>
      </c>
      <c r="J20" s="16">
        <v>164246959</v>
      </c>
      <c r="L20" s="6"/>
      <c r="V20" s="9"/>
    </row>
    <row r="21" spans="1:22">
      <c r="A21" s="1" t="s">
        <v>36</v>
      </c>
      <c r="B21" s="6">
        <v>0</v>
      </c>
      <c r="C21" s="1">
        <v>0</v>
      </c>
      <c r="D21" s="1">
        <v>0</v>
      </c>
      <c r="E21" s="1">
        <v>0</v>
      </c>
      <c r="F21" s="1">
        <v>0</v>
      </c>
      <c r="G21" s="9">
        <f>SUM(IA_FINANCIAL)</f>
        <v>0</v>
      </c>
      <c r="I21" s="13" t="s">
        <v>37</v>
      </c>
      <c r="J21" s="16"/>
      <c r="L21" s="6"/>
      <c r="V21" s="9"/>
    </row>
    <row r="22" spans="1:22">
      <c r="A22" s="1" t="s">
        <v>38</v>
      </c>
      <c r="B22" s="6">
        <v>0</v>
      </c>
      <c r="C22" s="1">
        <v>0</v>
      </c>
      <c r="D22" s="1">
        <v>0</v>
      </c>
      <c r="E22" s="1">
        <v>0</v>
      </c>
      <c r="F22" s="1">
        <v>0</v>
      </c>
      <c r="G22" s="9">
        <f>SUM(KS_FINANCIAL)</f>
        <v>0</v>
      </c>
      <c r="I22" s="13" t="s">
        <v>39</v>
      </c>
      <c r="J22" s="16">
        <v>2338788.8249999997</v>
      </c>
      <c r="L22" s="6"/>
      <c r="V22" s="9"/>
    </row>
    <row r="23" spans="1:22">
      <c r="A23" s="1" t="s">
        <v>40</v>
      </c>
      <c r="B23" s="6">
        <v>0</v>
      </c>
      <c r="C23" s="1">
        <v>0</v>
      </c>
      <c r="D23" s="1">
        <v>0</v>
      </c>
      <c r="E23" s="1">
        <v>0</v>
      </c>
      <c r="F23" s="1">
        <v>0</v>
      </c>
      <c r="G23" s="9">
        <f>SUM(KY_FINANCIAL)</f>
        <v>0</v>
      </c>
      <c r="I23" s="13" t="s">
        <v>41</v>
      </c>
      <c r="J23" s="16"/>
      <c r="L23" s="6"/>
      <c r="V23" s="9"/>
    </row>
    <row r="24" spans="1:22">
      <c r="A24" s="1" t="s">
        <v>42</v>
      </c>
      <c r="B24" s="6">
        <v>0</v>
      </c>
      <c r="C24" s="1">
        <v>0</v>
      </c>
      <c r="D24" s="1">
        <v>0</v>
      </c>
      <c r="E24" s="1">
        <v>0</v>
      </c>
      <c r="F24" s="1">
        <v>0</v>
      </c>
      <c r="G24" s="9">
        <f>SUM(LA_FINANCIAL)</f>
        <v>0</v>
      </c>
      <c r="I24" s="13" t="s">
        <v>43</v>
      </c>
      <c r="J24" s="16">
        <v>88242883.302350014</v>
      </c>
      <c r="L24" s="6"/>
      <c r="V24" s="9"/>
    </row>
    <row r="25" spans="1:22">
      <c r="A25" s="1" t="s">
        <v>44</v>
      </c>
      <c r="B25" s="6">
        <v>0</v>
      </c>
      <c r="C25" s="1">
        <v>0</v>
      </c>
      <c r="D25" s="1">
        <v>0</v>
      </c>
      <c r="E25" s="1">
        <v>0</v>
      </c>
      <c r="F25" s="1">
        <v>0</v>
      </c>
      <c r="G25" s="9">
        <f>SUM(ME_FINANCIAL)</f>
        <v>0</v>
      </c>
      <c r="I25" s="13"/>
      <c r="J25" s="16"/>
      <c r="L25" s="6"/>
      <c r="V25" s="9"/>
    </row>
    <row r="26" spans="1:22">
      <c r="A26" s="1" t="s">
        <v>45</v>
      </c>
      <c r="B26" s="6">
        <v>442800.66989112902</v>
      </c>
      <c r="C26" s="1">
        <v>2047894.8361875582</v>
      </c>
      <c r="D26" s="1">
        <v>4458.755154931474</v>
      </c>
      <c r="E26" s="1">
        <v>0</v>
      </c>
      <c r="F26" s="1">
        <v>0</v>
      </c>
      <c r="G26" s="9">
        <f>SUM(MD_FINANCIAL)</f>
        <v>2495154.2612336189</v>
      </c>
      <c r="I26" s="13" t="s">
        <v>46</v>
      </c>
      <c r="J26" s="16">
        <f>SUM(ADD_FINANCIAL)-SUM(LESS_FINANCIAL)</f>
        <v>173587826.87265</v>
      </c>
      <c r="L26" s="6">
        <v>3518000</v>
      </c>
      <c r="M26" s="1">
        <v>0</v>
      </c>
      <c r="O26" s="1">
        <v>1982000</v>
      </c>
      <c r="P26" s="1">
        <v>0</v>
      </c>
      <c r="R26" s="1">
        <v>0</v>
      </c>
      <c r="S26" s="1">
        <v>0</v>
      </c>
      <c r="U26" s="1">
        <v>0</v>
      </c>
      <c r="V26" s="9">
        <v>0</v>
      </c>
    </row>
    <row r="27" spans="1:22">
      <c r="A27" s="1" t="s">
        <v>47</v>
      </c>
      <c r="B27" s="6">
        <v>0</v>
      </c>
      <c r="C27" s="1">
        <v>0</v>
      </c>
      <c r="D27" s="1">
        <v>0</v>
      </c>
      <c r="E27" s="1">
        <v>0</v>
      </c>
      <c r="F27" s="1">
        <v>0</v>
      </c>
      <c r="G27" s="9">
        <f>SUM(MA_FINANCIAL)</f>
        <v>0</v>
      </c>
      <c r="I27" s="13" t="s">
        <v>48</v>
      </c>
      <c r="J27" s="16">
        <f>SUM(ALL_BLOCKS)</f>
        <v>173587826.87265003</v>
      </c>
      <c r="L27" s="6"/>
      <c r="V27" s="9"/>
    </row>
    <row r="28" spans="1:22">
      <c r="A28" s="1" t="s">
        <v>49</v>
      </c>
      <c r="B28" s="6">
        <v>0</v>
      </c>
      <c r="C28" s="1">
        <v>0</v>
      </c>
      <c r="D28" s="1">
        <v>0</v>
      </c>
      <c r="E28" s="1">
        <v>0</v>
      </c>
      <c r="F28" s="1">
        <v>0</v>
      </c>
      <c r="G28" s="9">
        <f>SUM(MI_FINANCIAL)</f>
        <v>0</v>
      </c>
      <c r="I28" s="14"/>
      <c r="J28" s="17"/>
      <c r="L28" s="6"/>
      <c r="V28" s="9"/>
    </row>
    <row r="29" spans="1:22">
      <c r="A29" s="1" t="s">
        <v>50</v>
      </c>
      <c r="B29" s="6">
        <v>0</v>
      </c>
      <c r="C29" s="1">
        <v>0</v>
      </c>
      <c r="D29" s="1">
        <v>0</v>
      </c>
      <c r="E29" s="1">
        <v>0</v>
      </c>
      <c r="F29" s="1">
        <v>0</v>
      </c>
      <c r="G29" s="9">
        <f>SUM(MN_FINANCIAL)</f>
        <v>0</v>
      </c>
      <c r="L29" s="6"/>
      <c r="V29" s="9"/>
    </row>
    <row r="30" spans="1:22">
      <c r="A30" s="1" t="s">
        <v>51</v>
      </c>
      <c r="B30" s="6">
        <v>0</v>
      </c>
      <c r="C30" s="1">
        <v>0</v>
      </c>
      <c r="D30" s="1">
        <v>0</v>
      </c>
      <c r="E30" s="1">
        <v>0</v>
      </c>
      <c r="F30" s="1">
        <v>0</v>
      </c>
      <c r="G30" s="9">
        <f>SUM(MS_FINANCIAL)</f>
        <v>0</v>
      </c>
      <c r="L30" s="6"/>
      <c r="V30" s="9"/>
    </row>
    <row r="31" spans="1:22">
      <c r="A31" s="1" t="s">
        <v>52</v>
      </c>
      <c r="B31" s="6">
        <v>0</v>
      </c>
      <c r="C31" s="1">
        <v>0</v>
      </c>
      <c r="D31" s="1">
        <v>0</v>
      </c>
      <c r="E31" s="1">
        <v>0</v>
      </c>
      <c r="F31" s="1">
        <v>0</v>
      </c>
      <c r="G31" s="9">
        <f>SUM(MO_FINANCIAL)</f>
        <v>0</v>
      </c>
      <c r="L31" s="6"/>
      <c r="V31" s="9"/>
    </row>
    <row r="32" spans="1:22">
      <c r="A32" s="1" t="s">
        <v>53</v>
      </c>
      <c r="B32" s="6">
        <v>0</v>
      </c>
      <c r="C32" s="1">
        <v>0</v>
      </c>
      <c r="D32" s="1">
        <v>0</v>
      </c>
      <c r="E32" s="1">
        <v>0</v>
      </c>
      <c r="F32" s="1">
        <v>0</v>
      </c>
      <c r="G32" s="9">
        <f>SUM(MT_FINANCIAL)</f>
        <v>0</v>
      </c>
      <c r="L32" s="6"/>
      <c r="V32" s="9"/>
    </row>
    <row r="33" spans="1:22">
      <c r="A33" s="1" t="s">
        <v>54</v>
      </c>
      <c r="B33" s="6">
        <v>0</v>
      </c>
      <c r="C33" s="1">
        <v>0</v>
      </c>
      <c r="D33" s="1">
        <v>0</v>
      </c>
      <c r="E33" s="1">
        <v>0</v>
      </c>
      <c r="F33" s="1">
        <v>0</v>
      </c>
      <c r="G33" s="9">
        <f>SUM(NE_FINANCIAL)</f>
        <v>0</v>
      </c>
      <c r="L33" s="6"/>
      <c r="V33" s="9"/>
    </row>
    <row r="34" spans="1:22">
      <c r="A34" s="1" t="s">
        <v>55</v>
      </c>
      <c r="B34" s="6">
        <v>0</v>
      </c>
      <c r="C34" s="1">
        <v>0</v>
      </c>
      <c r="D34" s="1">
        <v>0</v>
      </c>
      <c r="E34" s="1">
        <v>0</v>
      </c>
      <c r="F34" s="1">
        <v>0</v>
      </c>
      <c r="G34" s="9">
        <f>SUM(NV_FINANCIAL)</f>
        <v>0</v>
      </c>
      <c r="L34" s="6"/>
      <c r="V34" s="9"/>
    </row>
    <row r="35" spans="1:22">
      <c r="A35" s="1" t="s">
        <v>56</v>
      </c>
      <c r="B35" s="6">
        <v>0</v>
      </c>
      <c r="C35" s="1">
        <v>0</v>
      </c>
      <c r="D35" s="1">
        <v>0</v>
      </c>
      <c r="E35" s="1">
        <v>0</v>
      </c>
      <c r="F35" s="1">
        <v>0</v>
      </c>
      <c r="G35" s="9">
        <f>SUM(NH_FINANCIAL)</f>
        <v>0</v>
      </c>
      <c r="L35" s="6"/>
      <c r="V35" s="9"/>
    </row>
    <row r="36" spans="1:22">
      <c r="A36" s="1" t="s">
        <v>57</v>
      </c>
      <c r="B36" s="6">
        <v>0</v>
      </c>
      <c r="C36" s="1">
        <v>0</v>
      </c>
      <c r="D36" s="1">
        <v>0</v>
      </c>
      <c r="E36" s="1">
        <v>0</v>
      </c>
      <c r="F36" s="1">
        <v>0</v>
      </c>
      <c r="G36" s="9">
        <f>SUM(NJ_FINANCIAL)</f>
        <v>0</v>
      </c>
      <c r="L36" s="6"/>
      <c r="V36" s="9"/>
    </row>
    <row r="37" spans="1:22">
      <c r="A37" s="1" t="s">
        <v>58</v>
      </c>
      <c r="B37" s="6">
        <v>0</v>
      </c>
      <c r="C37" s="1">
        <v>0</v>
      </c>
      <c r="D37" s="1">
        <v>0</v>
      </c>
      <c r="E37" s="1">
        <v>0</v>
      </c>
      <c r="F37" s="1">
        <v>0</v>
      </c>
      <c r="G37" s="9">
        <f>SUM(NM_FINANCIAL)</f>
        <v>0</v>
      </c>
      <c r="L37" s="6"/>
      <c r="V37" s="9"/>
    </row>
    <row r="38" spans="1:22">
      <c r="A38" s="1" t="s">
        <v>59</v>
      </c>
      <c r="B38" s="6">
        <v>0</v>
      </c>
      <c r="C38" s="1">
        <v>0</v>
      </c>
      <c r="D38" s="1">
        <v>0</v>
      </c>
      <c r="E38" s="1">
        <v>0</v>
      </c>
      <c r="F38" s="1">
        <v>0</v>
      </c>
      <c r="G38" s="9">
        <f>SUM(NY_FINANCIAL)</f>
        <v>0</v>
      </c>
      <c r="L38" s="6"/>
      <c r="V38" s="9"/>
    </row>
    <row r="39" spans="1:22">
      <c r="A39" s="1" t="s">
        <v>60</v>
      </c>
      <c r="B39" s="6">
        <v>0</v>
      </c>
      <c r="C39" s="1">
        <v>0</v>
      </c>
      <c r="D39" s="1">
        <v>0</v>
      </c>
      <c r="E39" s="1">
        <v>0</v>
      </c>
      <c r="F39" s="1">
        <v>0</v>
      </c>
      <c r="G39" s="9">
        <f>SUM(NC_FINANCIAL)</f>
        <v>0</v>
      </c>
      <c r="L39" s="6"/>
      <c r="V39" s="9"/>
    </row>
    <row r="40" spans="1:22">
      <c r="A40" s="1" t="s">
        <v>61</v>
      </c>
      <c r="B40" s="6">
        <v>0</v>
      </c>
      <c r="C40" s="1">
        <v>0</v>
      </c>
      <c r="D40" s="1">
        <v>0</v>
      </c>
      <c r="E40" s="1">
        <v>0</v>
      </c>
      <c r="F40" s="1">
        <v>0</v>
      </c>
      <c r="G40" s="9">
        <f>SUM(ND_FINANCIAL)</f>
        <v>0</v>
      </c>
      <c r="L40" s="6"/>
      <c r="V40" s="9"/>
    </row>
    <row r="41" spans="1:22">
      <c r="A41" s="1" t="s">
        <v>62</v>
      </c>
      <c r="B41" s="6">
        <v>0</v>
      </c>
      <c r="C41" s="1">
        <v>0</v>
      </c>
      <c r="D41" s="1">
        <v>0</v>
      </c>
      <c r="E41" s="1">
        <v>0</v>
      </c>
      <c r="F41" s="1">
        <v>0</v>
      </c>
      <c r="G41" s="9">
        <f>SUM(OH_FINANCIAL)</f>
        <v>0</v>
      </c>
      <c r="L41" s="6"/>
      <c r="V41" s="9"/>
    </row>
    <row r="42" spans="1:22">
      <c r="A42" s="1" t="s">
        <v>63</v>
      </c>
      <c r="B42" s="6">
        <v>0</v>
      </c>
      <c r="C42" s="1">
        <v>0</v>
      </c>
      <c r="D42" s="1">
        <v>0</v>
      </c>
      <c r="E42" s="1">
        <v>0</v>
      </c>
      <c r="F42" s="1">
        <v>0</v>
      </c>
      <c r="G42" s="9">
        <f>SUM(OK_FINANCIAL)</f>
        <v>0</v>
      </c>
      <c r="L42" s="6"/>
      <c r="V42" s="9"/>
    </row>
    <row r="43" spans="1:22">
      <c r="A43" s="1" t="s">
        <v>64</v>
      </c>
      <c r="B43" s="6">
        <v>0</v>
      </c>
      <c r="C43" s="1">
        <v>0</v>
      </c>
      <c r="D43" s="1">
        <v>0</v>
      </c>
      <c r="E43" s="1">
        <v>0</v>
      </c>
      <c r="F43" s="1">
        <v>0</v>
      </c>
      <c r="G43" s="9">
        <f>SUM(OR_FINANCIAL)</f>
        <v>0</v>
      </c>
      <c r="L43" s="6"/>
      <c r="V43" s="9"/>
    </row>
    <row r="44" spans="1:22">
      <c r="A44" s="1" t="s">
        <v>65</v>
      </c>
      <c r="B44" s="6">
        <v>1844565.2836090024</v>
      </c>
      <c r="C44" s="1">
        <v>158376487.58018017</v>
      </c>
      <c r="D44" s="1">
        <v>24905.093270529975</v>
      </c>
      <c r="E44" s="1">
        <v>0</v>
      </c>
      <c r="F44" s="1">
        <v>0</v>
      </c>
      <c r="G44" s="9">
        <f>SUM(PA_FINANCIAL)</f>
        <v>160245957.95705971</v>
      </c>
      <c r="L44" s="6">
        <v>88612897</v>
      </c>
      <c r="M44" s="1">
        <v>0</v>
      </c>
      <c r="O44" s="1">
        <v>63334564</v>
      </c>
      <c r="P44" s="1">
        <v>0</v>
      </c>
      <c r="R44" s="1">
        <v>0</v>
      </c>
      <c r="S44" s="1">
        <v>0</v>
      </c>
      <c r="U44" s="1">
        <v>67153313</v>
      </c>
      <c r="V44" s="9">
        <v>0</v>
      </c>
    </row>
    <row r="45" spans="1:22">
      <c r="A45" s="1" t="s">
        <v>66</v>
      </c>
      <c r="B45" s="6">
        <v>0</v>
      </c>
      <c r="C45" s="1">
        <v>0</v>
      </c>
      <c r="D45" s="1">
        <v>0</v>
      </c>
      <c r="E45" s="1">
        <v>0</v>
      </c>
      <c r="F45" s="1">
        <v>0</v>
      </c>
      <c r="G45" s="9">
        <f>SUM(PR_FINANCIAL)</f>
        <v>0</v>
      </c>
      <c r="L45" s="6"/>
      <c r="V45" s="9"/>
    </row>
    <row r="46" spans="1:22">
      <c r="A46" s="1" t="s">
        <v>67</v>
      </c>
      <c r="B46" s="6">
        <v>0</v>
      </c>
      <c r="C46" s="1">
        <v>0</v>
      </c>
      <c r="D46" s="1">
        <v>0</v>
      </c>
      <c r="E46" s="1">
        <v>0</v>
      </c>
      <c r="F46" s="1">
        <v>0</v>
      </c>
      <c r="G46" s="9">
        <f>SUM(RI_FINANCIAL)</f>
        <v>0</v>
      </c>
      <c r="L46" s="6"/>
      <c r="V46" s="9"/>
    </row>
    <row r="47" spans="1:22">
      <c r="A47" s="1" t="s">
        <v>68</v>
      </c>
      <c r="B47" s="6">
        <v>0</v>
      </c>
      <c r="C47" s="1">
        <v>0</v>
      </c>
      <c r="D47" s="1">
        <v>0</v>
      </c>
      <c r="E47" s="1">
        <v>0</v>
      </c>
      <c r="F47" s="1">
        <v>0</v>
      </c>
      <c r="G47" s="9">
        <f>SUM(SC_FINANCIAL)</f>
        <v>0</v>
      </c>
      <c r="L47" s="6"/>
      <c r="V47" s="9"/>
    </row>
    <row r="48" spans="1:22">
      <c r="A48" s="1" t="s">
        <v>69</v>
      </c>
      <c r="B48" s="6">
        <v>0</v>
      </c>
      <c r="C48" s="1">
        <v>0</v>
      </c>
      <c r="D48" s="1">
        <v>0</v>
      </c>
      <c r="E48" s="1">
        <v>0</v>
      </c>
      <c r="F48" s="1">
        <v>0</v>
      </c>
      <c r="G48" s="9">
        <f>SUM(SD_FINANCIAL)</f>
        <v>0</v>
      </c>
      <c r="L48" s="6"/>
      <c r="V48" s="9"/>
    </row>
    <row r="49" spans="1:22">
      <c r="A49" s="1" t="s">
        <v>70</v>
      </c>
      <c r="B49" s="6">
        <v>0</v>
      </c>
      <c r="C49" s="1">
        <v>0</v>
      </c>
      <c r="D49" s="1">
        <v>0</v>
      </c>
      <c r="E49" s="1">
        <v>0</v>
      </c>
      <c r="F49" s="1">
        <v>0</v>
      </c>
      <c r="G49" s="9">
        <f>SUM(TN_FINANCIAL)</f>
        <v>0</v>
      </c>
      <c r="L49" s="6"/>
      <c r="V49" s="9"/>
    </row>
    <row r="50" spans="1:22">
      <c r="A50" s="1" t="s">
        <v>71</v>
      </c>
      <c r="B50" s="6">
        <v>0</v>
      </c>
      <c r="C50" s="1">
        <v>0</v>
      </c>
      <c r="D50" s="1">
        <v>0</v>
      </c>
      <c r="E50" s="1">
        <v>0</v>
      </c>
      <c r="F50" s="1">
        <v>0</v>
      </c>
      <c r="G50" s="9">
        <f>SUM(TX_FINANCIAL)</f>
        <v>0</v>
      </c>
      <c r="L50" s="6"/>
      <c r="V50" s="9"/>
    </row>
    <row r="51" spans="1:22">
      <c r="A51" s="1" t="s">
        <v>72</v>
      </c>
      <c r="B51" s="6">
        <v>0</v>
      </c>
      <c r="C51" s="1">
        <v>0</v>
      </c>
      <c r="D51" s="1">
        <v>0</v>
      </c>
      <c r="E51" s="1">
        <v>0</v>
      </c>
      <c r="F51" s="1">
        <v>0</v>
      </c>
      <c r="G51" s="9">
        <f>SUM(UT_FINANCIAL)</f>
        <v>0</v>
      </c>
      <c r="L51" s="6"/>
      <c r="V51" s="9"/>
    </row>
    <row r="52" spans="1:22">
      <c r="A52" s="1" t="s">
        <v>73</v>
      </c>
      <c r="B52" s="6">
        <v>0</v>
      </c>
      <c r="C52" s="1">
        <v>0</v>
      </c>
      <c r="D52" s="1">
        <v>0</v>
      </c>
      <c r="E52" s="1">
        <v>0</v>
      </c>
      <c r="F52" s="1">
        <v>0</v>
      </c>
      <c r="G52" s="9">
        <f>SUM(VT_FINANCIAL)</f>
        <v>0</v>
      </c>
      <c r="L52" s="6"/>
      <c r="V52" s="9"/>
    </row>
    <row r="53" spans="1:22">
      <c r="A53" s="1" t="s">
        <v>74</v>
      </c>
      <c r="B53" s="6">
        <v>0</v>
      </c>
      <c r="C53" s="1">
        <v>0</v>
      </c>
      <c r="D53" s="1">
        <v>0</v>
      </c>
      <c r="E53" s="1">
        <v>0</v>
      </c>
      <c r="F53" s="1">
        <v>0</v>
      </c>
      <c r="G53" s="9">
        <f>SUM(VA_FINANCIAL)</f>
        <v>0</v>
      </c>
      <c r="L53" s="6"/>
      <c r="V53" s="9"/>
    </row>
    <row r="54" spans="1:22">
      <c r="A54" s="1" t="s">
        <v>75</v>
      </c>
      <c r="B54" s="6">
        <v>0</v>
      </c>
      <c r="C54" s="1">
        <v>0</v>
      </c>
      <c r="D54" s="1">
        <v>0</v>
      </c>
      <c r="E54" s="1">
        <v>0</v>
      </c>
      <c r="F54" s="1">
        <v>0</v>
      </c>
      <c r="G54" s="9">
        <f>SUM(WA_FINANCIAL)</f>
        <v>0</v>
      </c>
      <c r="L54" s="6"/>
      <c r="V54" s="9"/>
    </row>
    <row r="55" spans="1:22">
      <c r="A55" s="1" t="s">
        <v>76</v>
      </c>
      <c r="B55" s="6">
        <v>0</v>
      </c>
      <c r="C55" s="1">
        <v>0</v>
      </c>
      <c r="D55" s="1">
        <v>0</v>
      </c>
      <c r="E55" s="1">
        <v>0</v>
      </c>
      <c r="F55" s="1">
        <v>0</v>
      </c>
      <c r="G55" s="9">
        <f>SUM(WV_FINANCIAL)</f>
        <v>0</v>
      </c>
      <c r="L55" s="6"/>
      <c r="V55" s="9"/>
    </row>
    <row r="56" spans="1:22">
      <c r="A56" s="1" t="s">
        <v>77</v>
      </c>
      <c r="B56" s="6">
        <v>0</v>
      </c>
      <c r="C56" s="1">
        <v>0</v>
      </c>
      <c r="D56" s="1">
        <v>0</v>
      </c>
      <c r="E56" s="1">
        <v>0</v>
      </c>
      <c r="F56" s="1">
        <v>0</v>
      </c>
      <c r="G56" s="9">
        <f>SUM(WI_FINANCIAL)</f>
        <v>0</v>
      </c>
      <c r="L56" s="6"/>
      <c r="V56" s="9"/>
    </row>
    <row r="57" spans="1:22">
      <c r="A57" s="1" t="s">
        <v>78</v>
      </c>
      <c r="B57" s="6">
        <v>0</v>
      </c>
      <c r="C57" s="1">
        <v>78296.080376478145</v>
      </c>
      <c r="D57" s="1">
        <v>0</v>
      </c>
      <c r="E57" s="1">
        <v>0</v>
      </c>
      <c r="F57" s="1">
        <v>0</v>
      </c>
      <c r="G57" s="9">
        <f>SUM(WY_FINANCIAL)</f>
        <v>78296.080376478145</v>
      </c>
      <c r="L57" s="6">
        <v>111616</v>
      </c>
      <c r="M57" s="1">
        <v>0</v>
      </c>
      <c r="O57" s="1">
        <v>0</v>
      </c>
      <c r="P57" s="1">
        <v>0</v>
      </c>
      <c r="R57" s="1">
        <v>0</v>
      </c>
      <c r="S57" s="1">
        <v>0</v>
      </c>
      <c r="U57" s="1">
        <v>0</v>
      </c>
      <c r="V57" s="9">
        <v>0</v>
      </c>
    </row>
    <row r="58" spans="1:22">
      <c r="A58" s="1" t="s">
        <v>79</v>
      </c>
      <c r="B58" s="6">
        <v>0</v>
      </c>
      <c r="C58" s="1">
        <v>0</v>
      </c>
      <c r="D58" s="1">
        <v>0</v>
      </c>
      <c r="E58" s="1">
        <v>0</v>
      </c>
      <c r="F58" s="1">
        <v>0</v>
      </c>
      <c r="G58" s="9">
        <f>SUM(OT_FINANCIAL)</f>
        <v>0</v>
      </c>
      <c r="L58" s="6"/>
      <c r="V58" s="9"/>
    </row>
    <row r="59" spans="1:22">
      <c r="B59" s="6"/>
      <c r="G59" s="9"/>
      <c r="L59" s="6"/>
      <c r="V59" s="9"/>
    </row>
    <row r="60" spans="1:22">
      <c r="A60" s="1" t="s">
        <v>8</v>
      </c>
      <c r="B60" s="6">
        <f>SUM(LIFE)</f>
        <v>2485907.0505228303</v>
      </c>
      <c r="C60" s="1">
        <f>SUM(ALLOCATED)</f>
        <v>170712718.23676884</v>
      </c>
      <c r="D60" s="1">
        <f>SUM(HEALTH)</f>
        <v>389201.58535833366</v>
      </c>
      <c r="E60" s="1">
        <f>SUM(UNALLOCATED)</f>
        <v>0</v>
      </c>
      <c r="F60" s="1">
        <f>SUM(LTC)</f>
        <v>0</v>
      </c>
      <c r="G60" s="9">
        <f>SUM(ALL_BLOCKS)</f>
        <v>173587826.87265003</v>
      </c>
      <c r="L60" s="6">
        <f>SUM(LIFE_CALLED)</f>
        <v>94012513</v>
      </c>
      <c r="M60" s="1">
        <f>SUM(LIFE_REFUNDED)</f>
        <v>0</v>
      </c>
      <c r="O60" s="1">
        <f>SUM(ALLOC_CALLED)</f>
        <v>76061564</v>
      </c>
      <c r="P60" s="1">
        <f>SUM(ALLOC_REFUNDED)</f>
        <v>0</v>
      </c>
      <c r="R60" s="1">
        <f>SUM(HEALTH_CALLED)</f>
        <v>250000</v>
      </c>
      <c r="S60" s="1">
        <f>SUM(HEALTH_REFUNDED)</f>
        <v>0</v>
      </c>
      <c r="U60" s="1">
        <f>SUM(UNALLOC_CALLED)</f>
        <v>67153313</v>
      </c>
      <c r="V60" s="9">
        <f>SUM(UNALLOC_REFUNDED)</f>
        <v>0</v>
      </c>
    </row>
    <row r="61" spans="1:22" ht="5.0999999999999996" customHeight="1">
      <c r="B61" s="6"/>
      <c r="G61" s="9"/>
      <c r="L61" s="6"/>
      <c r="V61" s="9"/>
    </row>
    <row r="62" spans="1:22">
      <c r="B62" s="6"/>
      <c r="G62" s="9"/>
      <c r="L62" s="78" t="s">
        <v>80</v>
      </c>
      <c r="M62" s="79"/>
      <c r="N62" s="79"/>
      <c r="O62" s="79"/>
      <c r="P62" s="79"/>
      <c r="Q62" s="79"/>
      <c r="R62" s="79"/>
      <c r="S62" s="79"/>
      <c r="T62" s="79"/>
      <c r="U62" s="79"/>
      <c r="V62" s="80"/>
    </row>
    <row r="63" spans="1:22">
      <c r="B63" s="6"/>
      <c r="G63" s="9"/>
      <c r="L63" s="81"/>
      <c r="M63" s="79"/>
      <c r="N63" s="79"/>
      <c r="O63" s="79"/>
      <c r="P63" s="79"/>
      <c r="Q63" s="79"/>
      <c r="R63" s="79"/>
      <c r="S63" s="79"/>
      <c r="T63" s="79"/>
      <c r="U63" s="79"/>
      <c r="V63" s="80"/>
    </row>
    <row r="64" spans="1:22">
      <c r="B64" s="8"/>
      <c r="C64" s="5"/>
      <c r="D64" s="5"/>
      <c r="E64" s="5"/>
      <c r="F64" s="5"/>
      <c r="G64" s="11"/>
      <c r="L64" s="82"/>
      <c r="M64" s="83"/>
      <c r="N64" s="83"/>
      <c r="O64" s="83"/>
      <c r="P64" s="83"/>
      <c r="Q64" s="83"/>
      <c r="R64" s="83"/>
      <c r="S64" s="83"/>
      <c r="T64" s="83"/>
      <c r="U64" s="83"/>
      <c r="V64" s="84"/>
    </row>
  </sheetData>
  <mergeCells count="8">
    <mergeCell ref="L62:V64"/>
    <mergeCell ref="A1:G1"/>
    <mergeCell ref="B3:G3"/>
    <mergeCell ref="L3:V3"/>
    <mergeCell ref="L4:M4"/>
    <mergeCell ref="O4:P4"/>
    <mergeCell ref="R4:S4"/>
    <mergeCell ref="U4:V4"/>
  </mergeCells>
  <pageMargins left="0" right="0" top="0" bottom="0" header="0" footer="0"/>
  <pageSetup scale="48"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V64"/>
  <sheetViews>
    <sheetView zoomScale="75" workbookViewId="0">
      <selection sqref="A1:G1"/>
    </sheetView>
  </sheetViews>
  <sheetFormatPr defaultColWidth="9.109375" defaultRowHeight="14.4"/>
  <cols>
    <col min="1" max="1" width="20" style="1" customWidth="1"/>
    <col min="2" max="7" width="15" style="1" customWidth="1"/>
    <col min="8" max="8" width="1" style="1" customWidth="1"/>
    <col min="9" max="9" width="30" style="1" customWidth="1"/>
    <col min="10" max="10" width="15" style="1" customWidth="1"/>
    <col min="11" max="11" width="1" style="1" customWidth="1"/>
    <col min="12" max="13" width="15" style="1" customWidth="1"/>
    <col min="14" max="14" width="1" style="1" customWidth="1"/>
    <col min="15" max="16" width="15" style="1" customWidth="1"/>
    <col min="17" max="17" width="1" style="1" customWidth="1"/>
    <col min="18" max="19" width="15" style="1" customWidth="1"/>
    <col min="20" max="20" width="1" style="1" customWidth="1"/>
    <col min="21" max="22" width="15" style="1" customWidth="1"/>
    <col min="23" max="23" width="9.109375" style="1" customWidth="1"/>
    <col min="24" max="16384" width="9.109375" style="1"/>
  </cols>
  <sheetData>
    <row r="1" spans="1:22">
      <c r="A1" s="85" t="s">
        <v>111</v>
      </c>
      <c r="B1" s="79"/>
      <c r="C1" s="79"/>
      <c r="D1" s="79"/>
      <c r="E1" s="79"/>
      <c r="F1" s="79"/>
      <c r="G1" s="79"/>
    </row>
    <row r="3" spans="1:22">
      <c r="B3" s="86" t="s">
        <v>1</v>
      </c>
      <c r="C3" s="87"/>
      <c r="D3" s="87"/>
      <c r="E3" s="87"/>
      <c r="F3" s="87"/>
      <c r="G3" s="88"/>
      <c r="L3" s="89" t="s">
        <v>2</v>
      </c>
      <c r="M3" s="90"/>
      <c r="N3" s="90"/>
      <c r="O3" s="90"/>
      <c r="P3" s="90"/>
      <c r="Q3" s="90"/>
      <c r="R3" s="90"/>
      <c r="S3" s="90"/>
      <c r="T3" s="90"/>
      <c r="U3" s="90"/>
      <c r="V3" s="91"/>
    </row>
    <row r="4" spans="1:22">
      <c r="B4" s="6"/>
      <c r="G4" s="9"/>
      <c r="L4" s="92" t="s">
        <v>3</v>
      </c>
      <c r="M4" s="93"/>
      <c r="N4" s="3"/>
      <c r="O4" s="94" t="s">
        <v>4</v>
      </c>
      <c r="P4" s="93"/>
      <c r="Q4" s="3"/>
      <c r="R4" s="94" t="s">
        <v>5</v>
      </c>
      <c r="S4" s="93"/>
      <c r="T4" s="3"/>
      <c r="U4" s="94" t="s">
        <v>6</v>
      </c>
      <c r="V4" s="95"/>
    </row>
    <row r="5" spans="1:22" ht="60" customHeight="1">
      <c r="B5" s="7" t="s">
        <v>3</v>
      </c>
      <c r="C5" s="4" t="s">
        <v>4</v>
      </c>
      <c r="D5" s="4" t="s">
        <v>5</v>
      </c>
      <c r="E5" s="4" t="s">
        <v>6</v>
      </c>
      <c r="F5" s="4" t="s">
        <v>7</v>
      </c>
      <c r="G5" s="10" t="s">
        <v>8</v>
      </c>
      <c r="L5" s="19" t="s">
        <v>9</v>
      </c>
      <c r="M5" s="18" t="s">
        <v>10</v>
      </c>
      <c r="N5" s="18"/>
      <c r="O5" s="18" t="s">
        <v>9</v>
      </c>
      <c r="P5" s="18" t="s">
        <v>10</v>
      </c>
      <c r="Q5" s="18"/>
      <c r="R5" s="18" t="s">
        <v>9</v>
      </c>
      <c r="S5" s="18" t="s">
        <v>10</v>
      </c>
      <c r="T5" s="18"/>
      <c r="U5" s="18" t="s">
        <v>9</v>
      </c>
      <c r="V5" s="20" t="s">
        <v>10</v>
      </c>
    </row>
    <row r="6" spans="1:22">
      <c r="A6" s="1" t="s">
        <v>11</v>
      </c>
      <c r="B6" s="6">
        <v>0</v>
      </c>
      <c r="C6" s="1">
        <v>24807.655085628186</v>
      </c>
      <c r="D6" s="1">
        <v>0</v>
      </c>
      <c r="E6" s="1">
        <v>0</v>
      </c>
      <c r="F6" s="1">
        <v>0</v>
      </c>
      <c r="G6" s="9">
        <f>SUM(AL_FINANCIAL)</f>
        <v>24807.655085628186</v>
      </c>
      <c r="L6" s="6"/>
      <c r="V6" s="9"/>
    </row>
    <row r="7" spans="1:22">
      <c r="A7" s="1" t="s">
        <v>12</v>
      </c>
      <c r="B7" s="6">
        <v>0</v>
      </c>
      <c r="C7" s="1">
        <v>0</v>
      </c>
      <c r="D7" s="1">
        <v>0</v>
      </c>
      <c r="E7" s="1">
        <v>0</v>
      </c>
      <c r="F7" s="1">
        <v>0</v>
      </c>
      <c r="G7" s="9">
        <f>SUM(AK_FINANCIAL)</f>
        <v>0</v>
      </c>
      <c r="I7" s="12"/>
      <c r="J7" s="15"/>
      <c r="L7" s="6"/>
      <c r="V7" s="9"/>
    </row>
    <row r="8" spans="1:22">
      <c r="A8" s="1" t="s">
        <v>13</v>
      </c>
      <c r="B8" s="6">
        <v>0</v>
      </c>
      <c r="C8" s="1">
        <v>4109513.1712134164</v>
      </c>
      <c r="D8" s="1">
        <v>0</v>
      </c>
      <c r="E8" s="1">
        <v>0</v>
      </c>
      <c r="F8" s="1">
        <v>0</v>
      </c>
      <c r="G8" s="9">
        <f>SUM(AZ_FINANCIAL)</f>
        <v>4109513.1712134164</v>
      </c>
      <c r="I8" s="13" t="s">
        <v>14</v>
      </c>
      <c r="J8" s="16"/>
      <c r="L8" s="6">
        <v>0</v>
      </c>
      <c r="M8" s="1">
        <v>0</v>
      </c>
      <c r="O8" s="1">
        <v>0</v>
      </c>
      <c r="P8" s="1">
        <v>0</v>
      </c>
      <c r="R8" s="1">
        <v>11693421</v>
      </c>
      <c r="S8" s="1">
        <v>0</v>
      </c>
      <c r="U8" s="1">
        <v>0</v>
      </c>
      <c r="V8" s="9">
        <v>0</v>
      </c>
    </row>
    <row r="9" spans="1:22">
      <c r="A9" s="1" t="s">
        <v>15</v>
      </c>
      <c r="B9" s="6">
        <v>0</v>
      </c>
      <c r="C9" s="1">
        <v>515306.77187743748</v>
      </c>
      <c r="D9" s="1">
        <v>0</v>
      </c>
      <c r="E9" s="1">
        <v>0</v>
      </c>
      <c r="F9" s="1">
        <v>0</v>
      </c>
      <c r="G9" s="9">
        <f>SUM(AR_FINANCIAL)</f>
        <v>515306.77187743748</v>
      </c>
      <c r="I9" s="13"/>
      <c r="J9" s="16"/>
      <c r="L9" s="6">
        <v>27819</v>
      </c>
      <c r="M9" s="1">
        <v>0</v>
      </c>
      <c r="O9" s="1">
        <v>0</v>
      </c>
      <c r="P9" s="1">
        <v>0</v>
      </c>
      <c r="R9" s="1">
        <v>0</v>
      </c>
      <c r="S9" s="1">
        <v>0</v>
      </c>
      <c r="U9" s="1">
        <v>0</v>
      </c>
      <c r="V9" s="9">
        <v>0</v>
      </c>
    </row>
    <row r="10" spans="1:22">
      <c r="A10" s="1" t="s">
        <v>16</v>
      </c>
      <c r="B10" s="6">
        <v>0</v>
      </c>
      <c r="C10" s="1">
        <v>0</v>
      </c>
      <c r="D10" s="1">
        <v>0</v>
      </c>
      <c r="E10" s="1">
        <v>0</v>
      </c>
      <c r="F10" s="1">
        <v>0</v>
      </c>
      <c r="G10" s="9">
        <f>SUM(CA_FINANCIAL)</f>
        <v>0</v>
      </c>
      <c r="I10" s="13" t="s">
        <v>17</v>
      </c>
      <c r="J10" s="16">
        <v>18947440</v>
      </c>
      <c r="L10" s="6"/>
      <c r="V10" s="9"/>
    </row>
    <row r="11" spans="1:22">
      <c r="A11" s="1" t="s">
        <v>18</v>
      </c>
      <c r="B11" s="6">
        <v>0</v>
      </c>
      <c r="C11" s="1">
        <v>0</v>
      </c>
      <c r="D11" s="1">
        <v>0</v>
      </c>
      <c r="E11" s="1">
        <v>0</v>
      </c>
      <c r="F11" s="1">
        <v>0</v>
      </c>
      <c r="G11" s="9">
        <f>SUM(CO_FINANCIAL)</f>
        <v>0</v>
      </c>
      <c r="I11" s="13"/>
      <c r="J11" s="16"/>
      <c r="L11" s="6"/>
      <c r="V11" s="9"/>
    </row>
    <row r="12" spans="1:22">
      <c r="A12" s="1" t="s">
        <v>19</v>
      </c>
      <c r="B12" s="6">
        <v>0</v>
      </c>
      <c r="C12" s="1">
        <v>0</v>
      </c>
      <c r="D12" s="1">
        <v>0</v>
      </c>
      <c r="E12" s="1">
        <v>0</v>
      </c>
      <c r="F12" s="1">
        <v>0</v>
      </c>
      <c r="G12" s="9">
        <f>SUM(CT_FINANCIAL)</f>
        <v>0</v>
      </c>
      <c r="I12" s="13" t="s">
        <v>20</v>
      </c>
      <c r="J12" s="16"/>
      <c r="L12" s="6"/>
      <c r="V12" s="9"/>
    </row>
    <row r="13" spans="1:22">
      <c r="A13" s="1" t="s">
        <v>21</v>
      </c>
      <c r="B13" s="6">
        <v>0</v>
      </c>
      <c r="C13" s="1">
        <v>10856.295177866774</v>
      </c>
      <c r="D13" s="1">
        <v>0</v>
      </c>
      <c r="E13" s="1">
        <v>0</v>
      </c>
      <c r="F13" s="1">
        <v>0</v>
      </c>
      <c r="G13" s="9">
        <f>SUM(DE_FINANCIAL)</f>
        <v>10856.295177866774</v>
      </c>
      <c r="I13" s="13" t="s">
        <v>22</v>
      </c>
      <c r="J13" s="16">
        <v>67243</v>
      </c>
      <c r="L13" s="6">
        <v>0</v>
      </c>
      <c r="M13" s="1">
        <v>0</v>
      </c>
      <c r="O13" s="1">
        <v>15000</v>
      </c>
      <c r="P13" s="1">
        <v>0</v>
      </c>
      <c r="R13" s="1">
        <v>25000</v>
      </c>
      <c r="S13" s="1">
        <v>0</v>
      </c>
      <c r="U13" s="1">
        <v>0</v>
      </c>
      <c r="V13" s="9">
        <v>0</v>
      </c>
    </row>
    <row r="14" spans="1:22">
      <c r="A14" s="1" t="s">
        <v>23</v>
      </c>
      <c r="B14" s="6">
        <v>0</v>
      </c>
      <c r="C14" s="1">
        <v>0</v>
      </c>
      <c r="D14" s="1">
        <v>0</v>
      </c>
      <c r="E14" s="1">
        <v>0</v>
      </c>
      <c r="F14" s="1">
        <v>0</v>
      </c>
      <c r="G14" s="9">
        <f>SUM(DC_FINANCIAL)</f>
        <v>0</v>
      </c>
      <c r="I14" s="13" t="s">
        <v>24</v>
      </c>
      <c r="J14" s="16">
        <v>201589</v>
      </c>
      <c r="L14" s="6"/>
      <c r="V14" s="9"/>
    </row>
    <row r="15" spans="1:22">
      <c r="A15" s="1" t="s">
        <v>25</v>
      </c>
      <c r="B15" s="6">
        <v>0</v>
      </c>
      <c r="C15" s="1">
        <v>178730.68009906751</v>
      </c>
      <c r="D15" s="1">
        <v>0</v>
      </c>
      <c r="E15" s="1">
        <v>0</v>
      </c>
      <c r="F15" s="1">
        <v>0</v>
      </c>
      <c r="G15" s="9">
        <f>SUM(FL_FINANCIAL)</f>
        <v>178730.68009906751</v>
      </c>
      <c r="I15" s="13" t="s">
        <v>26</v>
      </c>
      <c r="J15" s="16">
        <v>755048.84000000008</v>
      </c>
      <c r="L15" s="6"/>
      <c r="V15" s="9"/>
    </row>
    <row r="16" spans="1:22">
      <c r="A16" s="1" t="s">
        <v>27</v>
      </c>
      <c r="B16" s="6">
        <v>0</v>
      </c>
      <c r="C16" s="1">
        <v>-1833.1288433224472</v>
      </c>
      <c r="D16" s="1">
        <v>0</v>
      </c>
      <c r="E16" s="1">
        <v>0</v>
      </c>
      <c r="F16" s="1">
        <v>0</v>
      </c>
      <c r="G16" s="9">
        <f>SUM(GA_FINANCIAL)</f>
        <v>-1833.1288433224472</v>
      </c>
      <c r="I16" s="13" t="s">
        <v>28</v>
      </c>
      <c r="J16" s="16">
        <v>0</v>
      </c>
      <c r="L16" s="6"/>
      <c r="V16" s="9"/>
    </row>
    <row r="17" spans="1:22">
      <c r="A17" s="1" t="s">
        <v>29</v>
      </c>
      <c r="B17" s="6">
        <v>0</v>
      </c>
      <c r="C17" s="1">
        <v>0</v>
      </c>
      <c r="D17" s="1">
        <v>0</v>
      </c>
      <c r="E17" s="1">
        <v>0</v>
      </c>
      <c r="F17" s="1">
        <v>0</v>
      </c>
      <c r="G17" s="9">
        <f>SUM(HI_FINANCIAL)</f>
        <v>0</v>
      </c>
      <c r="I17" s="13"/>
      <c r="J17" s="16"/>
      <c r="L17" s="6"/>
      <c r="V17" s="9"/>
    </row>
    <row r="18" spans="1:22">
      <c r="A18" s="1" t="s">
        <v>30</v>
      </c>
      <c r="B18" s="6">
        <v>0</v>
      </c>
      <c r="C18" s="1">
        <v>0</v>
      </c>
      <c r="D18" s="1">
        <v>0</v>
      </c>
      <c r="E18" s="1">
        <v>0</v>
      </c>
      <c r="F18" s="1">
        <v>0</v>
      </c>
      <c r="G18" s="9">
        <f>SUM(ID_FINANCIAL)</f>
        <v>0</v>
      </c>
      <c r="I18" s="13" t="s">
        <v>31</v>
      </c>
      <c r="J18" s="16"/>
      <c r="L18" s="6"/>
      <c r="V18" s="9"/>
    </row>
    <row r="19" spans="1:22">
      <c r="A19" s="1" t="s">
        <v>32</v>
      </c>
      <c r="B19" s="6">
        <v>0</v>
      </c>
      <c r="C19" s="1">
        <v>1523645.9306260133</v>
      </c>
      <c r="D19" s="1">
        <v>0</v>
      </c>
      <c r="E19" s="1">
        <v>0</v>
      </c>
      <c r="F19" s="1">
        <v>0</v>
      </c>
      <c r="G19" s="9">
        <f>SUM(IL_FINANCIAL)</f>
        <v>1523645.9306260133</v>
      </c>
      <c r="I19" s="13" t="s">
        <v>33</v>
      </c>
      <c r="J19" s="16">
        <v>0</v>
      </c>
      <c r="L19" s="6">
        <v>0</v>
      </c>
      <c r="M19" s="1">
        <v>0</v>
      </c>
      <c r="O19" s="1">
        <v>3000000</v>
      </c>
      <c r="P19" s="1">
        <v>1395000</v>
      </c>
      <c r="R19" s="1">
        <v>0</v>
      </c>
      <c r="S19" s="1">
        <v>0</v>
      </c>
      <c r="U19" s="1">
        <v>0</v>
      </c>
      <c r="V19" s="9">
        <v>0</v>
      </c>
    </row>
    <row r="20" spans="1:22">
      <c r="A20" s="1" t="s">
        <v>34</v>
      </c>
      <c r="B20" s="6">
        <v>0</v>
      </c>
      <c r="C20" s="1">
        <v>74986.228288465718</v>
      </c>
      <c r="D20" s="1">
        <v>0</v>
      </c>
      <c r="E20" s="1">
        <v>0</v>
      </c>
      <c r="F20" s="1">
        <v>0</v>
      </c>
      <c r="G20" s="9">
        <f>SUM(IN_FINANCIAL)</f>
        <v>74986.228288465718</v>
      </c>
      <c r="I20" s="13" t="s">
        <v>35</v>
      </c>
      <c r="J20" s="16">
        <v>-4124280.4800000014</v>
      </c>
      <c r="L20" s="6"/>
      <c r="V20" s="9"/>
    </row>
    <row r="21" spans="1:22">
      <c r="A21" s="1" t="s">
        <v>36</v>
      </c>
      <c r="B21" s="6">
        <v>0</v>
      </c>
      <c r="C21" s="1">
        <v>13323.24501161047</v>
      </c>
      <c r="D21" s="1">
        <v>0</v>
      </c>
      <c r="E21" s="1">
        <v>0</v>
      </c>
      <c r="F21" s="1">
        <v>0</v>
      </c>
      <c r="G21" s="9">
        <f>SUM(IA_FINANCIAL)</f>
        <v>13323.24501161047</v>
      </c>
      <c r="I21" s="13" t="s">
        <v>37</v>
      </c>
      <c r="J21" s="16"/>
      <c r="L21" s="6">
        <v>0</v>
      </c>
      <c r="M21" s="1">
        <v>0</v>
      </c>
      <c r="O21" s="1">
        <v>24520</v>
      </c>
      <c r="P21" s="1">
        <v>0</v>
      </c>
      <c r="R21" s="1">
        <v>0</v>
      </c>
      <c r="S21" s="1">
        <v>0</v>
      </c>
      <c r="U21" s="1">
        <v>0</v>
      </c>
      <c r="V21" s="9">
        <v>0</v>
      </c>
    </row>
    <row r="22" spans="1:22">
      <c r="A22" s="1" t="s">
        <v>38</v>
      </c>
      <c r="B22" s="6">
        <v>0</v>
      </c>
      <c r="C22" s="1">
        <v>58223.572119643664</v>
      </c>
      <c r="D22" s="1">
        <v>0</v>
      </c>
      <c r="E22" s="1">
        <v>0</v>
      </c>
      <c r="F22" s="1">
        <v>0</v>
      </c>
      <c r="G22" s="9">
        <f>SUM(KS_FINANCIAL)</f>
        <v>58223.572119643664</v>
      </c>
      <c r="I22" s="13" t="s">
        <v>39</v>
      </c>
      <c r="J22" s="16">
        <v>999999.99999999919</v>
      </c>
      <c r="L22" s="6"/>
      <c r="V22" s="9"/>
    </row>
    <row r="23" spans="1:22">
      <c r="A23" s="1" t="s">
        <v>40</v>
      </c>
      <c r="B23" s="6">
        <v>0</v>
      </c>
      <c r="C23" s="1">
        <v>96952.205328923112</v>
      </c>
      <c r="D23" s="1">
        <v>0</v>
      </c>
      <c r="E23" s="1">
        <v>0</v>
      </c>
      <c r="F23" s="1">
        <v>0</v>
      </c>
      <c r="G23" s="9">
        <f>SUM(KY_FINANCIAL)</f>
        <v>96952.205328923112</v>
      </c>
      <c r="I23" s="13" t="s">
        <v>41</v>
      </c>
      <c r="J23" s="16"/>
      <c r="L23" s="6"/>
      <c r="V23" s="9"/>
    </row>
    <row r="24" spans="1:22">
      <c r="A24" s="1" t="s">
        <v>42</v>
      </c>
      <c r="B24" s="6">
        <v>0</v>
      </c>
      <c r="C24" s="1">
        <v>0</v>
      </c>
      <c r="D24" s="1">
        <v>0</v>
      </c>
      <c r="E24" s="1">
        <v>0</v>
      </c>
      <c r="F24" s="1">
        <v>0</v>
      </c>
      <c r="G24" s="9">
        <f>SUM(LA_FINANCIAL)</f>
        <v>0</v>
      </c>
      <c r="I24" s="13" t="s">
        <v>43</v>
      </c>
      <c r="J24" s="16">
        <v>11002270.350000003</v>
      </c>
      <c r="L24" s="6"/>
      <c r="V24" s="9"/>
    </row>
    <row r="25" spans="1:22">
      <c r="A25" s="1" t="s">
        <v>44</v>
      </c>
      <c r="B25" s="6">
        <v>0</v>
      </c>
      <c r="C25" s="1">
        <v>0</v>
      </c>
      <c r="D25" s="1">
        <v>0</v>
      </c>
      <c r="E25" s="1">
        <v>0</v>
      </c>
      <c r="F25" s="1">
        <v>0</v>
      </c>
      <c r="G25" s="9">
        <f>SUM(ME_FINANCIAL)</f>
        <v>0</v>
      </c>
      <c r="I25" s="13"/>
      <c r="J25" s="16"/>
      <c r="L25" s="6"/>
      <c r="V25" s="9"/>
    </row>
    <row r="26" spans="1:22">
      <c r="A26" s="1" t="s">
        <v>45</v>
      </c>
      <c r="B26" s="6">
        <v>0</v>
      </c>
      <c r="C26" s="1">
        <v>66778.970484925681</v>
      </c>
      <c r="D26" s="1">
        <v>0</v>
      </c>
      <c r="E26" s="1">
        <v>0</v>
      </c>
      <c r="F26" s="1">
        <v>0</v>
      </c>
      <c r="G26" s="9">
        <f>SUM(MD_FINANCIAL)</f>
        <v>66778.970484925681</v>
      </c>
      <c r="I26" s="13" t="s">
        <v>46</v>
      </c>
      <c r="J26" s="16">
        <f>SUM(ADD_FINANCIAL)-SUM(LESS_FINANCIAL)</f>
        <v>12093330.969999999</v>
      </c>
      <c r="L26" s="6">
        <v>130963</v>
      </c>
      <c r="M26" s="1">
        <v>0</v>
      </c>
      <c r="O26" s="1">
        <v>0</v>
      </c>
      <c r="P26" s="1">
        <v>0</v>
      </c>
      <c r="R26" s="1">
        <v>0</v>
      </c>
      <c r="S26" s="1">
        <v>0</v>
      </c>
      <c r="U26" s="1">
        <v>0</v>
      </c>
      <c r="V26" s="9">
        <v>0</v>
      </c>
    </row>
    <row r="27" spans="1:22">
      <c r="A27" s="1" t="s">
        <v>47</v>
      </c>
      <c r="B27" s="6">
        <v>0</v>
      </c>
      <c r="C27" s="1">
        <v>1118.2065159010308</v>
      </c>
      <c r="D27" s="1">
        <v>0</v>
      </c>
      <c r="E27" s="1">
        <v>0</v>
      </c>
      <c r="F27" s="1">
        <v>0</v>
      </c>
      <c r="G27" s="9">
        <f>SUM(MA_FINANCIAL)</f>
        <v>1118.2065159010308</v>
      </c>
      <c r="I27" s="13" t="s">
        <v>48</v>
      </c>
      <c r="J27" s="16">
        <f>SUM(ALL_BLOCKS)</f>
        <v>12093330.970000001</v>
      </c>
      <c r="L27" s="6"/>
      <c r="V27" s="9"/>
    </row>
    <row r="28" spans="1:22">
      <c r="A28" s="1" t="s">
        <v>49</v>
      </c>
      <c r="B28" s="6">
        <v>0</v>
      </c>
      <c r="C28" s="1">
        <v>45589.051984940532</v>
      </c>
      <c r="D28" s="1">
        <v>0</v>
      </c>
      <c r="E28" s="1">
        <v>0</v>
      </c>
      <c r="F28" s="1">
        <v>0</v>
      </c>
      <c r="G28" s="9">
        <f>SUM(MI_FINANCIAL)</f>
        <v>45589.051984940532</v>
      </c>
      <c r="I28" s="14"/>
      <c r="J28" s="17"/>
      <c r="L28" s="6"/>
      <c r="V28" s="9"/>
    </row>
    <row r="29" spans="1:22">
      <c r="A29" s="1" t="s">
        <v>50</v>
      </c>
      <c r="B29" s="6">
        <v>0</v>
      </c>
      <c r="C29" s="1">
        <v>15622.338578024655</v>
      </c>
      <c r="D29" s="1">
        <v>0</v>
      </c>
      <c r="E29" s="1">
        <v>0</v>
      </c>
      <c r="F29" s="1">
        <v>0</v>
      </c>
      <c r="G29" s="9">
        <f>SUM(MN_FINANCIAL)</f>
        <v>15622.338578024655</v>
      </c>
      <c r="L29" s="6">
        <v>0</v>
      </c>
      <c r="M29" s="1">
        <v>0</v>
      </c>
      <c r="O29" s="1">
        <v>56000</v>
      </c>
      <c r="P29" s="1">
        <v>0</v>
      </c>
      <c r="R29" s="1">
        <v>0</v>
      </c>
      <c r="S29" s="1">
        <v>0</v>
      </c>
      <c r="U29" s="1">
        <v>0</v>
      </c>
      <c r="V29" s="9">
        <v>0</v>
      </c>
    </row>
    <row r="30" spans="1:22">
      <c r="A30" s="1" t="s">
        <v>51</v>
      </c>
      <c r="B30" s="6">
        <v>0</v>
      </c>
      <c r="C30" s="1">
        <v>48552.046838224116</v>
      </c>
      <c r="D30" s="1">
        <v>0</v>
      </c>
      <c r="E30" s="1">
        <v>0</v>
      </c>
      <c r="F30" s="1">
        <v>0</v>
      </c>
      <c r="G30" s="9">
        <f>SUM(MS_FINANCIAL)</f>
        <v>48552.046838224116</v>
      </c>
      <c r="L30" s="6">
        <v>297</v>
      </c>
      <c r="M30" s="1">
        <v>0</v>
      </c>
      <c r="O30" s="1">
        <v>0</v>
      </c>
      <c r="P30" s="1">
        <v>0</v>
      </c>
      <c r="R30" s="1">
        <v>4703</v>
      </c>
      <c r="S30" s="1">
        <v>0</v>
      </c>
      <c r="U30" s="1">
        <v>0</v>
      </c>
      <c r="V30" s="9">
        <v>0</v>
      </c>
    </row>
    <row r="31" spans="1:22">
      <c r="A31" s="1" t="s">
        <v>52</v>
      </c>
      <c r="B31" s="6">
        <v>0</v>
      </c>
      <c r="C31" s="1">
        <v>407334.3480132292</v>
      </c>
      <c r="D31" s="1">
        <v>0</v>
      </c>
      <c r="E31" s="1">
        <v>0</v>
      </c>
      <c r="F31" s="1">
        <v>0</v>
      </c>
      <c r="G31" s="9">
        <f>SUM(MO_FINANCIAL)</f>
        <v>407334.3480132292</v>
      </c>
      <c r="L31" s="6">
        <v>0</v>
      </c>
      <c r="M31" s="1">
        <v>0</v>
      </c>
      <c r="O31" s="1">
        <v>1449393</v>
      </c>
      <c r="P31" s="1">
        <v>0</v>
      </c>
      <c r="R31" s="1">
        <v>0</v>
      </c>
      <c r="S31" s="1">
        <v>0</v>
      </c>
      <c r="U31" s="1">
        <v>0</v>
      </c>
      <c r="V31" s="9">
        <v>0</v>
      </c>
    </row>
    <row r="32" spans="1:22">
      <c r="A32" s="1" t="s">
        <v>53</v>
      </c>
      <c r="B32" s="6">
        <v>0</v>
      </c>
      <c r="C32" s="1">
        <v>0</v>
      </c>
      <c r="D32" s="1">
        <v>0</v>
      </c>
      <c r="E32" s="1">
        <v>0</v>
      </c>
      <c r="F32" s="1">
        <v>0</v>
      </c>
      <c r="G32" s="9">
        <f>SUM(MT_FINANCIAL)</f>
        <v>0</v>
      </c>
      <c r="L32" s="6"/>
      <c r="V32" s="9"/>
    </row>
    <row r="33" spans="1:22">
      <c r="A33" s="1" t="s">
        <v>54</v>
      </c>
      <c r="B33" s="6">
        <v>0</v>
      </c>
      <c r="C33" s="1">
        <v>0</v>
      </c>
      <c r="D33" s="1">
        <v>0</v>
      </c>
      <c r="E33" s="1">
        <v>0</v>
      </c>
      <c r="F33" s="1">
        <v>0</v>
      </c>
      <c r="G33" s="9">
        <f>SUM(NE_FINANCIAL)</f>
        <v>0</v>
      </c>
      <c r="L33" s="6"/>
      <c r="V33" s="9"/>
    </row>
    <row r="34" spans="1:22">
      <c r="A34" s="1" t="s">
        <v>55</v>
      </c>
      <c r="B34" s="6">
        <v>0</v>
      </c>
      <c r="C34" s="1">
        <v>21488.867383801276</v>
      </c>
      <c r="D34" s="1">
        <v>0</v>
      </c>
      <c r="E34" s="1">
        <v>0</v>
      </c>
      <c r="F34" s="1">
        <v>0</v>
      </c>
      <c r="G34" s="9">
        <f>SUM(NV_FINANCIAL)</f>
        <v>21488.867383801276</v>
      </c>
      <c r="L34" s="6">
        <v>0</v>
      </c>
      <c r="M34" s="1">
        <v>0</v>
      </c>
      <c r="O34" s="1">
        <v>35100</v>
      </c>
      <c r="P34" s="1">
        <v>0</v>
      </c>
      <c r="R34" s="1">
        <v>0</v>
      </c>
      <c r="S34" s="1">
        <v>0</v>
      </c>
      <c r="U34" s="1">
        <v>0</v>
      </c>
      <c r="V34" s="9">
        <v>0</v>
      </c>
    </row>
    <row r="35" spans="1:22">
      <c r="A35" s="1" t="s">
        <v>56</v>
      </c>
      <c r="B35" s="6">
        <v>0</v>
      </c>
      <c r="C35" s="1">
        <v>0</v>
      </c>
      <c r="D35" s="1">
        <v>0</v>
      </c>
      <c r="E35" s="1">
        <v>0</v>
      </c>
      <c r="F35" s="1">
        <v>0</v>
      </c>
      <c r="G35" s="9">
        <f>SUM(NH_FINANCIAL)</f>
        <v>0</v>
      </c>
      <c r="L35" s="6"/>
      <c r="V35" s="9"/>
    </row>
    <row r="36" spans="1:22">
      <c r="A36" s="1" t="s">
        <v>57</v>
      </c>
      <c r="B36" s="6">
        <v>0</v>
      </c>
      <c r="C36" s="1">
        <v>0</v>
      </c>
      <c r="D36" s="1">
        <v>0</v>
      </c>
      <c r="E36" s="1">
        <v>0</v>
      </c>
      <c r="F36" s="1">
        <v>0</v>
      </c>
      <c r="G36" s="9">
        <f>SUM(NJ_FINANCIAL)</f>
        <v>0</v>
      </c>
      <c r="L36" s="6"/>
      <c r="V36" s="9"/>
    </row>
    <row r="37" spans="1:22">
      <c r="A37" s="1" t="s">
        <v>58</v>
      </c>
      <c r="B37" s="6">
        <v>0</v>
      </c>
      <c r="C37" s="1">
        <v>0</v>
      </c>
      <c r="D37" s="1">
        <v>0</v>
      </c>
      <c r="E37" s="1">
        <v>0</v>
      </c>
      <c r="F37" s="1">
        <v>0</v>
      </c>
      <c r="G37" s="9">
        <f>SUM(NM_FINANCIAL)</f>
        <v>0</v>
      </c>
      <c r="L37" s="6"/>
      <c r="V37" s="9"/>
    </row>
    <row r="38" spans="1:22">
      <c r="A38" s="1" t="s">
        <v>59</v>
      </c>
      <c r="B38" s="6">
        <v>0</v>
      </c>
      <c r="C38" s="1">
        <v>0</v>
      </c>
      <c r="D38" s="1">
        <v>0</v>
      </c>
      <c r="E38" s="1">
        <v>0</v>
      </c>
      <c r="F38" s="1">
        <v>0</v>
      </c>
      <c r="G38" s="9">
        <f>SUM(NY_FINANCIAL)</f>
        <v>0</v>
      </c>
      <c r="L38" s="6"/>
      <c r="V38" s="9"/>
    </row>
    <row r="39" spans="1:22">
      <c r="A39" s="1" t="s">
        <v>60</v>
      </c>
      <c r="B39" s="6">
        <v>0</v>
      </c>
      <c r="C39" s="1">
        <v>1266.0453002083527</v>
      </c>
      <c r="D39" s="1">
        <v>0</v>
      </c>
      <c r="E39" s="1">
        <v>0</v>
      </c>
      <c r="F39" s="1">
        <v>0</v>
      </c>
      <c r="G39" s="9">
        <f>SUM(NC_FINANCIAL)</f>
        <v>1266.0453002083527</v>
      </c>
      <c r="L39" s="6"/>
      <c r="V39" s="9"/>
    </row>
    <row r="40" spans="1:22">
      <c r="A40" s="1" t="s">
        <v>61</v>
      </c>
      <c r="B40" s="6">
        <v>0</v>
      </c>
      <c r="C40" s="1">
        <v>60813.148946237707</v>
      </c>
      <c r="D40" s="1">
        <v>0</v>
      </c>
      <c r="E40" s="1">
        <v>0</v>
      </c>
      <c r="F40" s="1">
        <v>0</v>
      </c>
      <c r="G40" s="9">
        <f>SUM(ND_FINANCIAL)</f>
        <v>60813.148946237707</v>
      </c>
      <c r="L40" s="6">
        <v>0</v>
      </c>
      <c r="M40" s="1">
        <v>0</v>
      </c>
      <c r="O40" s="1">
        <v>146270</v>
      </c>
      <c r="P40" s="1">
        <v>0</v>
      </c>
      <c r="R40" s="1">
        <v>0</v>
      </c>
      <c r="S40" s="1">
        <v>0</v>
      </c>
      <c r="U40" s="1">
        <v>0</v>
      </c>
      <c r="V40" s="9">
        <v>0</v>
      </c>
    </row>
    <row r="41" spans="1:22">
      <c r="A41" s="1" t="s">
        <v>62</v>
      </c>
      <c r="B41" s="6">
        <v>0</v>
      </c>
      <c r="C41" s="1">
        <v>112497.82753344816</v>
      </c>
      <c r="D41" s="1">
        <v>0</v>
      </c>
      <c r="E41" s="1">
        <v>0</v>
      </c>
      <c r="F41" s="1">
        <v>0</v>
      </c>
      <c r="G41" s="9">
        <f>SUM(OH_FINANCIAL)</f>
        <v>112497.82753344816</v>
      </c>
      <c r="L41" s="6"/>
      <c r="V41" s="9"/>
    </row>
    <row r="42" spans="1:22">
      <c r="A42" s="1" t="s">
        <v>63</v>
      </c>
      <c r="B42" s="6">
        <v>0</v>
      </c>
      <c r="C42" s="1">
        <v>248123.53016991977</v>
      </c>
      <c r="D42" s="1">
        <v>0</v>
      </c>
      <c r="E42" s="1">
        <v>0</v>
      </c>
      <c r="F42" s="1">
        <v>0</v>
      </c>
      <c r="G42" s="9">
        <f>SUM(OK_FINANCIAL)</f>
        <v>248123.53016991977</v>
      </c>
      <c r="L42" s="6">
        <v>0</v>
      </c>
      <c r="M42" s="1">
        <v>0</v>
      </c>
      <c r="O42" s="1">
        <v>602500</v>
      </c>
      <c r="P42" s="1">
        <v>150000</v>
      </c>
      <c r="R42" s="1">
        <v>0</v>
      </c>
      <c r="S42" s="1">
        <v>0</v>
      </c>
      <c r="U42" s="1">
        <v>0</v>
      </c>
      <c r="V42" s="9">
        <v>0</v>
      </c>
    </row>
    <row r="43" spans="1:22">
      <c r="A43" s="1" t="s">
        <v>64</v>
      </c>
      <c r="B43" s="6">
        <v>0</v>
      </c>
      <c r="C43" s="1">
        <v>97869.019630502837</v>
      </c>
      <c r="D43" s="1">
        <v>0</v>
      </c>
      <c r="E43" s="1">
        <v>0</v>
      </c>
      <c r="F43" s="1">
        <v>0</v>
      </c>
      <c r="G43" s="9">
        <f>SUM(OR_FINANCIAL)</f>
        <v>97869.019630502837</v>
      </c>
      <c r="L43" s="6"/>
      <c r="V43" s="9"/>
    </row>
    <row r="44" spans="1:22">
      <c r="A44" s="1" t="s">
        <v>65</v>
      </c>
      <c r="B44" s="6">
        <v>0</v>
      </c>
      <c r="C44" s="1">
        <v>3874417.1712134159</v>
      </c>
      <c r="D44" s="1">
        <v>0</v>
      </c>
      <c r="E44" s="1">
        <v>0</v>
      </c>
      <c r="F44" s="1">
        <v>0</v>
      </c>
      <c r="G44" s="9">
        <f>SUM(PA_FINANCIAL)</f>
        <v>3874417.1712134159</v>
      </c>
      <c r="L44" s="6"/>
      <c r="V44" s="9"/>
    </row>
    <row r="45" spans="1:22">
      <c r="A45" s="1" t="s">
        <v>66</v>
      </c>
      <c r="B45" s="6">
        <v>0</v>
      </c>
      <c r="C45" s="1">
        <v>0</v>
      </c>
      <c r="D45" s="1">
        <v>0</v>
      </c>
      <c r="E45" s="1">
        <v>0</v>
      </c>
      <c r="F45" s="1">
        <v>0</v>
      </c>
      <c r="G45" s="9">
        <f>SUM(PR_FINANCIAL)</f>
        <v>0</v>
      </c>
      <c r="L45" s="6"/>
      <c r="V45" s="9"/>
    </row>
    <row r="46" spans="1:22">
      <c r="A46" s="1" t="s">
        <v>67</v>
      </c>
      <c r="B46" s="6">
        <v>0</v>
      </c>
      <c r="C46" s="1">
        <v>0</v>
      </c>
      <c r="D46" s="1">
        <v>0</v>
      </c>
      <c r="E46" s="1">
        <v>0</v>
      </c>
      <c r="F46" s="1">
        <v>0</v>
      </c>
      <c r="G46" s="9">
        <f>SUM(RI_FINANCIAL)</f>
        <v>0</v>
      </c>
      <c r="L46" s="6"/>
      <c r="V46" s="9"/>
    </row>
    <row r="47" spans="1:22">
      <c r="A47" s="1" t="s">
        <v>68</v>
      </c>
      <c r="B47" s="6">
        <v>0</v>
      </c>
      <c r="C47" s="1">
        <v>0</v>
      </c>
      <c r="D47" s="1">
        <v>0</v>
      </c>
      <c r="E47" s="1">
        <v>0</v>
      </c>
      <c r="F47" s="1">
        <v>0</v>
      </c>
      <c r="G47" s="9">
        <f>SUM(SC_FINANCIAL)</f>
        <v>0</v>
      </c>
      <c r="L47" s="6"/>
      <c r="V47" s="9"/>
    </row>
    <row r="48" spans="1:22">
      <c r="A48" s="1" t="s">
        <v>69</v>
      </c>
      <c r="B48" s="6">
        <v>0</v>
      </c>
      <c r="C48" s="1">
        <v>23003.381612816807</v>
      </c>
      <c r="D48" s="1">
        <v>0</v>
      </c>
      <c r="E48" s="1">
        <v>0</v>
      </c>
      <c r="F48" s="1">
        <v>0</v>
      </c>
      <c r="G48" s="9">
        <f>SUM(SD_FINANCIAL)</f>
        <v>23003.381612816807</v>
      </c>
      <c r="L48" s="6">
        <v>0</v>
      </c>
      <c r="M48" s="1">
        <v>0</v>
      </c>
      <c r="O48" s="1">
        <v>25712</v>
      </c>
      <c r="P48" s="1">
        <v>0</v>
      </c>
      <c r="R48" s="1">
        <v>0</v>
      </c>
      <c r="S48" s="1">
        <v>0</v>
      </c>
      <c r="U48" s="1">
        <v>0</v>
      </c>
      <c r="V48" s="9">
        <v>0</v>
      </c>
    </row>
    <row r="49" spans="1:22">
      <c r="A49" s="1" t="s">
        <v>70</v>
      </c>
      <c r="B49" s="6">
        <v>0</v>
      </c>
      <c r="C49" s="1">
        <v>129900.87758438346</v>
      </c>
      <c r="D49" s="1">
        <v>0</v>
      </c>
      <c r="E49" s="1">
        <v>0</v>
      </c>
      <c r="F49" s="1">
        <v>0</v>
      </c>
      <c r="G49" s="9">
        <f>SUM(TN_FINANCIAL)</f>
        <v>129900.87758438346</v>
      </c>
      <c r="L49" s="6">
        <v>0</v>
      </c>
      <c r="M49" s="1">
        <v>0</v>
      </c>
      <c r="O49" s="1">
        <v>325000</v>
      </c>
      <c r="P49" s="1">
        <v>0</v>
      </c>
      <c r="R49" s="1">
        <v>0</v>
      </c>
      <c r="S49" s="1">
        <v>0</v>
      </c>
      <c r="U49" s="1">
        <v>0</v>
      </c>
      <c r="V49" s="9">
        <v>0</v>
      </c>
    </row>
    <row r="50" spans="1:22">
      <c r="A50" s="1" t="s">
        <v>71</v>
      </c>
      <c r="B50" s="6">
        <v>0</v>
      </c>
      <c r="C50" s="1">
        <v>163167.71308673479</v>
      </c>
      <c r="D50" s="1">
        <v>0</v>
      </c>
      <c r="E50" s="1">
        <v>0</v>
      </c>
      <c r="F50" s="1">
        <v>0</v>
      </c>
      <c r="G50" s="9">
        <f>SUM(TX_FINANCIAL)</f>
        <v>163167.71308673479</v>
      </c>
      <c r="L50" s="6">
        <v>17723</v>
      </c>
      <c r="M50" s="1">
        <v>237.5558</v>
      </c>
      <c r="O50" s="1">
        <v>0</v>
      </c>
      <c r="P50" s="1">
        <v>0</v>
      </c>
      <c r="R50" s="1">
        <v>280946</v>
      </c>
      <c r="S50" s="1">
        <v>3768.4441999999999</v>
      </c>
      <c r="U50" s="1">
        <v>0</v>
      </c>
      <c r="V50" s="9">
        <v>0</v>
      </c>
    </row>
    <row r="51" spans="1:22">
      <c r="A51" s="1" t="s">
        <v>72</v>
      </c>
      <c r="B51" s="6">
        <v>0</v>
      </c>
      <c r="C51" s="1">
        <v>14640.63898197309</v>
      </c>
      <c r="D51" s="1">
        <v>0</v>
      </c>
      <c r="E51" s="1">
        <v>0</v>
      </c>
      <c r="F51" s="1">
        <v>0</v>
      </c>
      <c r="G51" s="9">
        <f>SUM(UT_FINANCIAL)</f>
        <v>14640.63898197309</v>
      </c>
      <c r="L51" s="6">
        <v>0</v>
      </c>
      <c r="M51" s="1">
        <v>0</v>
      </c>
      <c r="O51" s="1">
        <v>28000</v>
      </c>
      <c r="P51" s="1">
        <v>0</v>
      </c>
      <c r="R51" s="1">
        <v>0</v>
      </c>
      <c r="S51" s="1">
        <v>0</v>
      </c>
      <c r="U51" s="1">
        <v>0</v>
      </c>
      <c r="V51" s="9">
        <v>0</v>
      </c>
    </row>
    <row r="52" spans="1:22">
      <c r="A52" s="1" t="s">
        <v>73</v>
      </c>
      <c r="B52" s="6">
        <v>0</v>
      </c>
      <c r="C52" s="1">
        <v>0</v>
      </c>
      <c r="D52" s="1">
        <v>0</v>
      </c>
      <c r="E52" s="1">
        <v>0</v>
      </c>
      <c r="F52" s="1">
        <v>0</v>
      </c>
      <c r="G52" s="9">
        <f>SUM(VT_FINANCIAL)</f>
        <v>0</v>
      </c>
      <c r="L52" s="6"/>
      <c r="V52" s="9"/>
    </row>
    <row r="53" spans="1:22">
      <c r="A53" s="1" t="s">
        <v>74</v>
      </c>
      <c r="B53" s="6">
        <v>0</v>
      </c>
      <c r="C53" s="1">
        <v>9373.6299544011963</v>
      </c>
      <c r="D53" s="1">
        <v>0</v>
      </c>
      <c r="E53" s="1">
        <v>0</v>
      </c>
      <c r="F53" s="1">
        <v>0</v>
      </c>
      <c r="G53" s="9">
        <f>SUM(VA_FINANCIAL)</f>
        <v>9373.6299544011963</v>
      </c>
      <c r="L53" s="6"/>
      <c r="V53" s="9"/>
    </row>
    <row r="54" spans="1:22">
      <c r="A54" s="1" t="s">
        <v>75</v>
      </c>
      <c r="B54" s="6">
        <v>0</v>
      </c>
      <c r="C54" s="1">
        <v>59484.005654188724</v>
      </c>
      <c r="D54" s="1">
        <v>0</v>
      </c>
      <c r="E54" s="1">
        <v>0</v>
      </c>
      <c r="F54" s="1">
        <v>0</v>
      </c>
      <c r="G54" s="9">
        <f>SUM(WA_FINANCIAL)</f>
        <v>59484.005654188724</v>
      </c>
      <c r="L54" s="6">
        <v>0</v>
      </c>
      <c r="M54" s="1">
        <v>0</v>
      </c>
      <c r="O54" s="1">
        <v>100000</v>
      </c>
      <c r="P54" s="1">
        <v>0</v>
      </c>
      <c r="R54" s="1">
        <v>0</v>
      </c>
      <c r="S54" s="1">
        <v>0</v>
      </c>
      <c r="U54" s="1">
        <v>0</v>
      </c>
      <c r="V54" s="9">
        <v>0</v>
      </c>
    </row>
    <row r="55" spans="1:22">
      <c r="A55" s="1" t="s">
        <v>76</v>
      </c>
      <c r="B55" s="6">
        <v>0</v>
      </c>
      <c r="C55" s="1">
        <v>-37367.999999999985</v>
      </c>
      <c r="D55" s="1">
        <v>0</v>
      </c>
      <c r="E55" s="1">
        <v>0</v>
      </c>
      <c r="F55" s="1">
        <v>0</v>
      </c>
      <c r="G55" s="9">
        <f>SUM(WV_FINANCIAL)</f>
        <v>-37367.999999999985</v>
      </c>
      <c r="L55" s="6">
        <v>0</v>
      </c>
      <c r="M55" s="1">
        <v>0</v>
      </c>
      <c r="O55" s="1">
        <v>0</v>
      </c>
      <c r="P55" s="1">
        <v>0</v>
      </c>
      <c r="R55" s="1">
        <v>0</v>
      </c>
      <c r="S55" s="1">
        <v>82075</v>
      </c>
      <c r="U55" s="1">
        <v>0</v>
      </c>
      <c r="V55" s="9">
        <v>0</v>
      </c>
    </row>
    <row r="56" spans="1:22">
      <c r="A56" s="1" t="s">
        <v>77</v>
      </c>
      <c r="B56" s="6">
        <v>0</v>
      </c>
      <c r="C56" s="1">
        <v>125145.52454797344</v>
      </c>
      <c r="D56" s="1">
        <v>0</v>
      </c>
      <c r="E56" s="1">
        <v>0</v>
      </c>
      <c r="F56" s="1">
        <v>0</v>
      </c>
      <c r="G56" s="9">
        <f>SUM(WI_FINANCIAL)</f>
        <v>125145.52454797344</v>
      </c>
      <c r="L56" s="6">
        <v>0</v>
      </c>
      <c r="M56" s="1">
        <v>0</v>
      </c>
      <c r="O56" s="1">
        <v>150000</v>
      </c>
      <c r="P56" s="1">
        <v>0</v>
      </c>
      <c r="R56" s="1">
        <v>0</v>
      </c>
      <c r="S56" s="1">
        <v>0</v>
      </c>
      <c r="U56" s="1">
        <v>0</v>
      </c>
      <c r="V56" s="9">
        <v>0</v>
      </c>
    </row>
    <row r="57" spans="1:22">
      <c r="A57" s="1" t="s">
        <v>78</v>
      </c>
      <c r="B57" s="6">
        <v>0</v>
      </c>
      <c r="C57" s="1">
        <v>0</v>
      </c>
      <c r="D57" s="1">
        <v>0</v>
      </c>
      <c r="E57" s="1">
        <v>0</v>
      </c>
      <c r="F57" s="1">
        <v>0</v>
      </c>
      <c r="G57" s="9">
        <f>SUM(WY_FINANCIAL)</f>
        <v>0</v>
      </c>
      <c r="L57" s="6"/>
      <c r="V57" s="9"/>
    </row>
    <row r="58" spans="1:22">
      <c r="A58" s="1" t="s">
        <v>79</v>
      </c>
      <c r="B58" s="6">
        <v>0</v>
      </c>
      <c r="C58" s="1">
        <v>0</v>
      </c>
      <c r="D58" s="1">
        <v>0</v>
      </c>
      <c r="E58" s="1">
        <v>0</v>
      </c>
      <c r="F58" s="1">
        <v>0</v>
      </c>
      <c r="G58" s="9">
        <f>SUM(OT_FINANCIAL)</f>
        <v>0</v>
      </c>
      <c r="L58" s="6"/>
      <c r="V58" s="9"/>
    </row>
    <row r="59" spans="1:22">
      <c r="B59" s="6"/>
      <c r="G59" s="9"/>
      <c r="L59" s="6"/>
      <c r="V59" s="9"/>
    </row>
    <row r="60" spans="1:22">
      <c r="A60" s="1" t="s">
        <v>8</v>
      </c>
      <c r="B60" s="6">
        <f>SUM(LIFE)</f>
        <v>0</v>
      </c>
      <c r="C60" s="1">
        <f>SUM(ALLOCATED)</f>
        <v>12093330.970000001</v>
      </c>
      <c r="D60" s="1">
        <f>SUM(HEALTH)</f>
        <v>0</v>
      </c>
      <c r="E60" s="1">
        <f>SUM(UNALLOCATED)</f>
        <v>0</v>
      </c>
      <c r="F60" s="1">
        <f>SUM(LTC)</f>
        <v>0</v>
      </c>
      <c r="G60" s="9">
        <f>SUM(ALL_BLOCKS)</f>
        <v>12093330.970000001</v>
      </c>
      <c r="L60" s="6">
        <f>SUM(LIFE_CALLED)</f>
        <v>176802</v>
      </c>
      <c r="M60" s="1">
        <f>SUM(LIFE_REFUNDED)</f>
        <v>237.5558</v>
      </c>
      <c r="O60" s="1">
        <f>SUM(ALLOC_CALLED)</f>
        <v>5957495</v>
      </c>
      <c r="P60" s="1">
        <f>SUM(ALLOC_REFUNDED)</f>
        <v>1545000</v>
      </c>
      <c r="R60" s="1">
        <f>SUM(HEALTH_CALLED)</f>
        <v>12004070</v>
      </c>
      <c r="S60" s="1">
        <f>SUM(HEALTH_REFUNDED)</f>
        <v>85843.444199999998</v>
      </c>
      <c r="U60" s="1">
        <f>SUM(UNALLOC_CALLED)</f>
        <v>0</v>
      </c>
      <c r="V60" s="9">
        <f>SUM(UNALLOC_REFUNDED)</f>
        <v>0</v>
      </c>
    </row>
    <row r="61" spans="1:22" ht="5.0999999999999996" customHeight="1">
      <c r="B61" s="6"/>
      <c r="G61" s="9"/>
      <c r="L61" s="6"/>
      <c r="V61" s="9"/>
    </row>
    <row r="62" spans="1:22">
      <c r="B62" s="6"/>
      <c r="G62" s="9"/>
      <c r="L62" s="78" t="s">
        <v>80</v>
      </c>
      <c r="M62" s="79"/>
      <c r="N62" s="79"/>
      <c r="O62" s="79"/>
      <c r="P62" s="79"/>
      <c r="Q62" s="79"/>
      <c r="R62" s="79"/>
      <c r="S62" s="79"/>
      <c r="T62" s="79"/>
      <c r="U62" s="79"/>
      <c r="V62" s="80"/>
    </row>
    <row r="63" spans="1:22">
      <c r="B63" s="6"/>
      <c r="G63" s="9"/>
      <c r="L63" s="81"/>
      <c r="M63" s="79"/>
      <c r="N63" s="79"/>
      <c r="O63" s="79"/>
      <c r="P63" s="79"/>
      <c r="Q63" s="79"/>
      <c r="R63" s="79"/>
      <c r="S63" s="79"/>
      <c r="T63" s="79"/>
      <c r="U63" s="79"/>
      <c r="V63" s="80"/>
    </row>
    <row r="64" spans="1:22">
      <c r="B64" s="8"/>
      <c r="C64" s="5"/>
      <c r="D64" s="5"/>
      <c r="E64" s="5"/>
      <c r="F64" s="5"/>
      <c r="G64" s="11"/>
      <c r="L64" s="82"/>
      <c r="M64" s="83"/>
      <c r="N64" s="83"/>
      <c r="O64" s="83"/>
      <c r="P64" s="83"/>
      <c r="Q64" s="83"/>
      <c r="R64" s="83"/>
      <c r="S64" s="83"/>
      <c r="T64" s="83"/>
      <c r="U64" s="83"/>
      <c r="V64" s="84"/>
    </row>
  </sheetData>
  <mergeCells count="8">
    <mergeCell ref="L62:V64"/>
    <mergeCell ref="A1:G1"/>
    <mergeCell ref="B3:G3"/>
    <mergeCell ref="L3:V3"/>
    <mergeCell ref="L4:M4"/>
    <mergeCell ref="O4:P4"/>
    <mergeCell ref="R4:S4"/>
    <mergeCell ref="U4:V4"/>
  </mergeCells>
  <pageMargins left="0" right="0" top="0" bottom="0" header="0" footer="0"/>
  <pageSetup scale="48"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V64"/>
  <sheetViews>
    <sheetView zoomScale="75" workbookViewId="0">
      <selection sqref="A1:G1"/>
    </sheetView>
  </sheetViews>
  <sheetFormatPr defaultColWidth="9.109375" defaultRowHeight="14.4"/>
  <cols>
    <col min="1" max="1" width="20" style="1" customWidth="1"/>
    <col min="2" max="7" width="15" style="1" customWidth="1"/>
    <col min="8" max="8" width="1" style="1" customWidth="1"/>
    <col min="9" max="9" width="30" style="1" customWidth="1"/>
    <col min="10" max="10" width="15" style="1" customWidth="1"/>
    <col min="11" max="11" width="1" style="1" customWidth="1"/>
    <col min="12" max="13" width="15" style="1" customWidth="1"/>
    <col min="14" max="14" width="1" style="1" customWidth="1"/>
    <col min="15" max="16" width="15" style="1" customWidth="1"/>
    <col min="17" max="17" width="1" style="1" customWidth="1"/>
    <col min="18" max="19" width="15" style="1" customWidth="1"/>
    <col min="20" max="20" width="1" style="1" customWidth="1"/>
    <col min="21" max="22" width="15" style="1" customWidth="1"/>
    <col min="23" max="23" width="9.109375" style="1" customWidth="1"/>
    <col min="24" max="16384" width="9.109375" style="1"/>
  </cols>
  <sheetData>
    <row r="1" spans="1:22">
      <c r="A1" s="85" t="s">
        <v>112</v>
      </c>
      <c r="B1" s="79"/>
      <c r="C1" s="79"/>
      <c r="D1" s="79"/>
      <c r="E1" s="79"/>
      <c r="F1" s="79"/>
      <c r="G1" s="79"/>
    </row>
    <row r="3" spans="1:22">
      <c r="B3" s="86" t="s">
        <v>1</v>
      </c>
      <c r="C3" s="87"/>
      <c r="D3" s="87"/>
      <c r="E3" s="87"/>
      <c r="F3" s="87"/>
      <c r="G3" s="88"/>
      <c r="L3" s="89" t="s">
        <v>2</v>
      </c>
      <c r="M3" s="90"/>
      <c r="N3" s="90"/>
      <c r="O3" s="90"/>
      <c r="P3" s="90"/>
      <c r="Q3" s="90"/>
      <c r="R3" s="90"/>
      <c r="S3" s="90"/>
      <c r="T3" s="90"/>
      <c r="U3" s="90"/>
      <c r="V3" s="91"/>
    </row>
    <row r="4" spans="1:22">
      <c r="B4" s="6"/>
      <c r="G4" s="9"/>
      <c r="L4" s="92" t="s">
        <v>3</v>
      </c>
      <c r="M4" s="93"/>
      <c r="N4" s="3"/>
      <c r="O4" s="94" t="s">
        <v>4</v>
      </c>
      <c r="P4" s="93"/>
      <c r="Q4" s="3"/>
      <c r="R4" s="94" t="s">
        <v>5</v>
      </c>
      <c r="S4" s="93"/>
      <c r="T4" s="3"/>
      <c r="U4" s="94" t="s">
        <v>6</v>
      </c>
      <c r="V4" s="95"/>
    </row>
    <row r="5" spans="1:22" ht="60" customHeight="1">
      <c r="B5" s="7" t="s">
        <v>3</v>
      </c>
      <c r="C5" s="4" t="s">
        <v>4</v>
      </c>
      <c r="D5" s="4" t="s">
        <v>5</v>
      </c>
      <c r="E5" s="4" t="s">
        <v>6</v>
      </c>
      <c r="F5" s="4" t="s">
        <v>7</v>
      </c>
      <c r="G5" s="10" t="s">
        <v>8</v>
      </c>
      <c r="L5" s="19" t="s">
        <v>9</v>
      </c>
      <c r="M5" s="18" t="s">
        <v>10</v>
      </c>
      <c r="N5" s="18"/>
      <c r="O5" s="18" t="s">
        <v>9</v>
      </c>
      <c r="P5" s="18" t="s">
        <v>10</v>
      </c>
      <c r="Q5" s="18"/>
      <c r="R5" s="18" t="s">
        <v>9</v>
      </c>
      <c r="S5" s="18" t="s">
        <v>10</v>
      </c>
      <c r="T5" s="18"/>
      <c r="U5" s="18" t="s">
        <v>9</v>
      </c>
      <c r="V5" s="20" t="s">
        <v>10</v>
      </c>
    </row>
    <row r="6" spans="1:22">
      <c r="A6" s="1" t="s">
        <v>11</v>
      </c>
      <c r="B6" s="6">
        <v>0</v>
      </c>
      <c r="C6" s="1">
        <v>0</v>
      </c>
      <c r="D6" s="1">
        <v>0</v>
      </c>
      <c r="E6" s="1">
        <v>0</v>
      </c>
      <c r="F6" s="1">
        <v>0</v>
      </c>
      <c r="G6" s="9">
        <f>SUM(AL_FINANCIAL)</f>
        <v>0</v>
      </c>
      <c r="L6" s="6"/>
      <c r="V6" s="9"/>
    </row>
    <row r="7" spans="1:22">
      <c r="A7" s="1" t="s">
        <v>12</v>
      </c>
      <c r="B7" s="6">
        <v>0</v>
      </c>
      <c r="C7" s="1">
        <v>0</v>
      </c>
      <c r="D7" s="1">
        <v>0</v>
      </c>
      <c r="E7" s="1">
        <v>0</v>
      </c>
      <c r="F7" s="1">
        <v>0</v>
      </c>
      <c r="G7" s="9">
        <f>SUM(AK_FINANCIAL)</f>
        <v>0</v>
      </c>
      <c r="I7" s="12"/>
      <c r="J7" s="15"/>
      <c r="L7" s="6"/>
      <c r="V7" s="9"/>
    </row>
    <row r="8" spans="1:22">
      <c r="A8" s="1" t="s">
        <v>13</v>
      </c>
      <c r="B8" s="6">
        <v>0</v>
      </c>
      <c r="C8" s="1">
        <v>0</v>
      </c>
      <c r="D8" s="1">
        <v>0</v>
      </c>
      <c r="E8" s="1">
        <v>0</v>
      </c>
      <c r="F8" s="1">
        <v>0</v>
      </c>
      <c r="G8" s="9">
        <f>SUM(AZ_FINANCIAL)</f>
        <v>0</v>
      </c>
      <c r="I8" s="13" t="s">
        <v>14</v>
      </c>
      <c r="J8" s="16"/>
      <c r="L8" s="6"/>
      <c r="V8" s="9"/>
    </row>
    <row r="9" spans="1:22">
      <c r="A9" s="1" t="s">
        <v>15</v>
      </c>
      <c r="B9" s="6">
        <v>0</v>
      </c>
      <c r="C9" s="1">
        <v>0</v>
      </c>
      <c r="D9" s="1">
        <v>0</v>
      </c>
      <c r="E9" s="1">
        <v>0</v>
      </c>
      <c r="F9" s="1">
        <v>0</v>
      </c>
      <c r="G9" s="9">
        <f>SUM(AR_FINANCIAL)</f>
        <v>0</v>
      </c>
      <c r="I9" s="13"/>
      <c r="J9" s="16"/>
      <c r="L9" s="6"/>
      <c r="V9" s="9"/>
    </row>
    <row r="10" spans="1:22">
      <c r="A10" s="1" t="s">
        <v>16</v>
      </c>
      <c r="B10" s="6">
        <v>0</v>
      </c>
      <c r="C10" s="1">
        <v>0</v>
      </c>
      <c r="D10" s="1">
        <v>0</v>
      </c>
      <c r="E10" s="1">
        <v>0</v>
      </c>
      <c r="F10" s="1">
        <v>0</v>
      </c>
      <c r="G10" s="9">
        <f>SUM(CA_FINANCIAL)</f>
        <v>0</v>
      </c>
      <c r="I10" s="13" t="s">
        <v>17</v>
      </c>
      <c r="J10" s="16">
        <v>27362577</v>
      </c>
      <c r="L10" s="6"/>
      <c r="V10" s="9"/>
    </row>
    <row r="11" spans="1:22">
      <c r="A11" s="1" t="s">
        <v>18</v>
      </c>
      <c r="B11" s="6">
        <v>0</v>
      </c>
      <c r="C11" s="1">
        <v>0</v>
      </c>
      <c r="D11" s="1">
        <v>0</v>
      </c>
      <c r="E11" s="1">
        <v>0</v>
      </c>
      <c r="F11" s="1">
        <v>0</v>
      </c>
      <c r="G11" s="9">
        <f>SUM(CO_FINANCIAL)</f>
        <v>0</v>
      </c>
      <c r="I11" s="13"/>
      <c r="J11" s="16"/>
      <c r="L11" s="6"/>
      <c r="V11" s="9"/>
    </row>
    <row r="12" spans="1:22">
      <c r="A12" s="1" t="s">
        <v>19</v>
      </c>
      <c r="B12" s="6">
        <v>0</v>
      </c>
      <c r="C12" s="1">
        <v>0</v>
      </c>
      <c r="D12" s="1">
        <v>0</v>
      </c>
      <c r="E12" s="1">
        <v>0</v>
      </c>
      <c r="F12" s="1">
        <v>0</v>
      </c>
      <c r="G12" s="9">
        <f>SUM(CT_FINANCIAL)</f>
        <v>0</v>
      </c>
      <c r="I12" s="13" t="s">
        <v>20</v>
      </c>
      <c r="J12" s="16"/>
      <c r="L12" s="6"/>
      <c r="V12" s="9"/>
    </row>
    <row r="13" spans="1:22">
      <c r="A13" s="1" t="s">
        <v>21</v>
      </c>
      <c r="B13" s="6">
        <v>0</v>
      </c>
      <c r="C13" s="1">
        <v>0</v>
      </c>
      <c r="D13" s="1">
        <v>0</v>
      </c>
      <c r="E13" s="1">
        <v>0</v>
      </c>
      <c r="F13" s="1">
        <v>0</v>
      </c>
      <c r="G13" s="9">
        <f>SUM(DE_FINANCIAL)</f>
        <v>0</v>
      </c>
      <c r="I13" s="13" t="s">
        <v>22</v>
      </c>
      <c r="J13" s="16">
        <v>3224585</v>
      </c>
      <c r="L13" s="6"/>
      <c r="V13" s="9"/>
    </row>
    <row r="14" spans="1:22">
      <c r="A14" s="1" t="s">
        <v>23</v>
      </c>
      <c r="B14" s="6">
        <v>0</v>
      </c>
      <c r="C14" s="1">
        <v>0</v>
      </c>
      <c r="D14" s="1">
        <v>0</v>
      </c>
      <c r="E14" s="1">
        <v>0</v>
      </c>
      <c r="F14" s="1">
        <v>0</v>
      </c>
      <c r="G14" s="9">
        <f>SUM(DC_FINANCIAL)</f>
        <v>0</v>
      </c>
      <c r="I14" s="13" t="s">
        <v>24</v>
      </c>
      <c r="J14" s="16">
        <v>124000</v>
      </c>
      <c r="L14" s="6"/>
      <c r="V14" s="9"/>
    </row>
    <row r="15" spans="1:22">
      <c r="A15" s="1" t="s">
        <v>25</v>
      </c>
      <c r="B15" s="6">
        <v>0</v>
      </c>
      <c r="C15" s="1">
        <v>0</v>
      </c>
      <c r="D15" s="1">
        <v>0</v>
      </c>
      <c r="E15" s="1">
        <v>0</v>
      </c>
      <c r="F15" s="1">
        <v>0</v>
      </c>
      <c r="G15" s="9">
        <f>SUM(FL_FINANCIAL)</f>
        <v>0</v>
      </c>
      <c r="I15" s="13" t="s">
        <v>26</v>
      </c>
      <c r="J15" s="16">
        <v>8893.83</v>
      </c>
      <c r="L15" s="6"/>
      <c r="V15" s="9"/>
    </row>
    <row r="16" spans="1:22">
      <c r="A16" s="1" t="s">
        <v>27</v>
      </c>
      <c r="B16" s="6">
        <v>0</v>
      </c>
      <c r="C16" s="1">
        <v>0</v>
      </c>
      <c r="D16" s="1">
        <v>0</v>
      </c>
      <c r="E16" s="1">
        <v>0</v>
      </c>
      <c r="F16" s="1">
        <v>0</v>
      </c>
      <c r="G16" s="9">
        <f>SUM(GA_FINANCIAL)</f>
        <v>0</v>
      </c>
      <c r="I16" s="13" t="s">
        <v>28</v>
      </c>
      <c r="J16" s="16">
        <v>0</v>
      </c>
      <c r="L16" s="6"/>
      <c r="V16" s="9"/>
    </row>
    <row r="17" spans="1:22">
      <c r="A17" s="1" t="s">
        <v>29</v>
      </c>
      <c r="B17" s="6">
        <v>0</v>
      </c>
      <c r="C17" s="1">
        <v>0</v>
      </c>
      <c r="D17" s="1">
        <v>0</v>
      </c>
      <c r="E17" s="1">
        <v>0</v>
      </c>
      <c r="F17" s="1">
        <v>0</v>
      </c>
      <c r="G17" s="9">
        <f>SUM(HI_FINANCIAL)</f>
        <v>0</v>
      </c>
      <c r="I17" s="13"/>
      <c r="J17" s="16"/>
      <c r="L17" s="6"/>
      <c r="V17" s="9"/>
    </row>
    <row r="18" spans="1:22">
      <c r="A18" s="1" t="s">
        <v>30</v>
      </c>
      <c r="B18" s="6">
        <v>0</v>
      </c>
      <c r="C18" s="1">
        <v>0</v>
      </c>
      <c r="D18" s="1">
        <v>0</v>
      </c>
      <c r="E18" s="1">
        <v>0</v>
      </c>
      <c r="F18" s="1">
        <v>0</v>
      </c>
      <c r="G18" s="9">
        <f>SUM(ID_FINANCIAL)</f>
        <v>0</v>
      </c>
      <c r="I18" s="13" t="s">
        <v>31</v>
      </c>
      <c r="J18" s="16"/>
      <c r="L18" s="6"/>
      <c r="V18" s="9"/>
    </row>
    <row r="19" spans="1:22">
      <c r="A19" s="1" t="s">
        <v>32</v>
      </c>
      <c r="B19" s="6">
        <v>0</v>
      </c>
      <c r="C19" s="1">
        <v>0</v>
      </c>
      <c r="D19" s="1">
        <v>0</v>
      </c>
      <c r="E19" s="1">
        <v>0</v>
      </c>
      <c r="F19" s="1">
        <v>0</v>
      </c>
      <c r="G19" s="9">
        <f>SUM(IL_FINANCIAL)</f>
        <v>0</v>
      </c>
      <c r="I19" s="13" t="s">
        <v>33</v>
      </c>
      <c r="J19" s="16">
        <v>0</v>
      </c>
      <c r="L19" s="6"/>
      <c r="V19" s="9"/>
    </row>
    <row r="20" spans="1:22">
      <c r="A20" s="1" t="s">
        <v>34</v>
      </c>
      <c r="B20" s="6">
        <v>0</v>
      </c>
      <c r="C20" s="1">
        <v>0</v>
      </c>
      <c r="D20" s="1">
        <v>0</v>
      </c>
      <c r="E20" s="1">
        <v>0</v>
      </c>
      <c r="F20" s="1">
        <v>0</v>
      </c>
      <c r="G20" s="9">
        <f>SUM(IN_FINANCIAL)</f>
        <v>0</v>
      </c>
      <c r="I20" s="13" t="s">
        <v>35</v>
      </c>
      <c r="J20" s="16">
        <v>3062120</v>
      </c>
      <c r="L20" s="6"/>
      <c r="V20" s="9"/>
    </row>
    <row r="21" spans="1:22">
      <c r="A21" s="1" t="s">
        <v>36</v>
      </c>
      <c r="B21" s="6">
        <v>0</v>
      </c>
      <c r="C21" s="1">
        <v>0</v>
      </c>
      <c r="D21" s="1">
        <v>0</v>
      </c>
      <c r="E21" s="1">
        <v>0</v>
      </c>
      <c r="F21" s="1">
        <v>0</v>
      </c>
      <c r="G21" s="9">
        <f>SUM(IA_FINANCIAL)</f>
        <v>0</v>
      </c>
      <c r="I21" s="13" t="s">
        <v>37</v>
      </c>
      <c r="J21" s="16"/>
      <c r="L21" s="6"/>
      <c r="V21" s="9"/>
    </row>
    <row r="22" spans="1:22">
      <c r="A22" s="1" t="s">
        <v>38</v>
      </c>
      <c r="B22" s="6">
        <v>0</v>
      </c>
      <c r="C22" s="1">
        <v>0</v>
      </c>
      <c r="D22" s="1">
        <v>0</v>
      </c>
      <c r="E22" s="1">
        <v>0</v>
      </c>
      <c r="F22" s="1">
        <v>0</v>
      </c>
      <c r="G22" s="9">
        <f>SUM(KS_FINANCIAL)</f>
        <v>0</v>
      </c>
      <c r="I22" s="13" t="s">
        <v>39</v>
      </c>
      <c r="J22" s="16">
        <v>727741</v>
      </c>
      <c r="L22" s="6"/>
      <c r="V22" s="9"/>
    </row>
    <row r="23" spans="1:22">
      <c r="A23" s="1" t="s">
        <v>40</v>
      </c>
      <c r="B23" s="6">
        <v>0</v>
      </c>
      <c r="C23" s="1">
        <v>0</v>
      </c>
      <c r="D23" s="1">
        <v>0</v>
      </c>
      <c r="E23" s="1">
        <v>0</v>
      </c>
      <c r="F23" s="1">
        <v>0</v>
      </c>
      <c r="G23" s="9">
        <f>SUM(KY_FINANCIAL)</f>
        <v>0</v>
      </c>
      <c r="I23" s="13" t="s">
        <v>41</v>
      </c>
      <c r="J23" s="16"/>
      <c r="L23" s="6"/>
      <c r="V23" s="9"/>
    </row>
    <row r="24" spans="1:22">
      <c r="A24" s="1" t="s">
        <v>42</v>
      </c>
      <c r="B24" s="6">
        <v>0</v>
      </c>
      <c r="C24" s="1">
        <v>0</v>
      </c>
      <c r="D24" s="1">
        <v>0</v>
      </c>
      <c r="E24" s="1">
        <v>0</v>
      </c>
      <c r="F24" s="1">
        <v>0</v>
      </c>
      <c r="G24" s="9">
        <f>SUM(LA_FINANCIAL)</f>
        <v>0</v>
      </c>
      <c r="I24" s="13" t="s">
        <v>43</v>
      </c>
      <c r="J24" s="16">
        <v>12675123</v>
      </c>
      <c r="L24" s="6"/>
      <c r="V24" s="9"/>
    </row>
    <row r="25" spans="1:22">
      <c r="A25" s="1" t="s">
        <v>44</v>
      </c>
      <c r="B25" s="6">
        <v>0</v>
      </c>
      <c r="C25" s="1">
        <v>0</v>
      </c>
      <c r="D25" s="1">
        <v>0</v>
      </c>
      <c r="E25" s="1">
        <v>0</v>
      </c>
      <c r="F25" s="1">
        <v>0</v>
      </c>
      <c r="G25" s="9">
        <f>SUM(ME_FINANCIAL)</f>
        <v>0</v>
      </c>
      <c r="I25" s="13"/>
      <c r="J25" s="16"/>
      <c r="L25" s="6"/>
      <c r="V25" s="9"/>
    </row>
    <row r="26" spans="1:22">
      <c r="A26" s="1" t="s">
        <v>45</v>
      </c>
      <c r="B26" s="6">
        <v>0</v>
      </c>
      <c r="C26" s="1">
        <v>0</v>
      </c>
      <c r="D26" s="1">
        <v>0</v>
      </c>
      <c r="E26" s="1">
        <v>0</v>
      </c>
      <c r="F26" s="1">
        <v>0</v>
      </c>
      <c r="G26" s="9">
        <f>SUM(MD_FINANCIAL)</f>
        <v>0</v>
      </c>
      <c r="I26" s="13" t="s">
        <v>46</v>
      </c>
      <c r="J26" s="16">
        <f>SUM(ADD_FINANCIAL)-SUM(LESS_FINANCIAL)</f>
        <v>14255071.829999998</v>
      </c>
      <c r="L26" s="6"/>
      <c r="V26" s="9"/>
    </row>
    <row r="27" spans="1:22">
      <c r="A27" s="1" t="s">
        <v>47</v>
      </c>
      <c r="B27" s="6">
        <v>0</v>
      </c>
      <c r="C27" s="1">
        <v>0</v>
      </c>
      <c r="D27" s="1">
        <v>0</v>
      </c>
      <c r="E27" s="1">
        <v>0</v>
      </c>
      <c r="F27" s="1">
        <v>0</v>
      </c>
      <c r="G27" s="9">
        <f>SUM(MA_FINANCIAL)</f>
        <v>0</v>
      </c>
      <c r="I27" s="13" t="s">
        <v>48</v>
      </c>
      <c r="J27" s="16">
        <f>SUM(ALL_BLOCKS)</f>
        <v>14255071.83</v>
      </c>
      <c r="L27" s="6"/>
      <c r="V27" s="9"/>
    </row>
    <row r="28" spans="1:22">
      <c r="A28" s="1" t="s">
        <v>49</v>
      </c>
      <c r="B28" s="6">
        <v>0</v>
      </c>
      <c r="C28" s="1">
        <v>0</v>
      </c>
      <c r="D28" s="1">
        <v>0</v>
      </c>
      <c r="E28" s="1">
        <v>0</v>
      </c>
      <c r="F28" s="1">
        <v>0</v>
      </c>
      <c r="G28" s="9">
        <f>SUM(MI_FINANCIAL)</f>
        <v>0</v>
      </c>
      <c r="I28" s="14"/>
      <c r="J28" s="17"/>
      <c r="L28" s="6"/>
      <c r="V28" s="9"/>
    </row>
    <row r="29" spans="1:22">
      <c r="A29" s="1" t="s">
        <v>50</v>
      </c>
      <c r="B29" s="6">
        <v>0</v>
      </c>
      <c r="C29" s="1">
        <v>0</v>
      </c>
      <c r="D29" s="1">
        <v>0</v>
      </c>
      <c r="E29" s="1">
        <v>0</v>
      </c>
      <c r="F29" s="1">
        <v>0</v>
      </c>
      <c r="G29" s="9">
        <f>SUM(MN_FINANCIAL)</f>
        <v>0</v>
      </c>
      <c r="L29" s="6"/>
      <c r="V29" s="9"/>
    </row>
    <row r="30" spans="1:22">
      <c r="A30" s="1" t="s">
        <v>51</v>
      </c>
      <c r="B30" s="6">
        <v>0</v>
      </c>
      <c r="C30" s="1">
        <v>0</v>
      </c>
      <c r="D30" s="1">
        <v>0</v>
      </c>
      <c r="E30" s="1">
        <v>0</v>
      </c>
      <c r="F30" s="1">
        <v>0</v>
      </c>
      <c r="G30" s="9">
        <f>SUM(MS_FINANCIAL)</f>
        <v>0</v>
      </c>
      <c r="L30" s="6"/>
      <c r="V30" s="9"/>
    </row>
    <row r="31" spans="1:22">
      <c r="A31" s="1" t="s">
        <v>52</v>
      </c>
      <c r="B31" s="6">
        <v>0</v>
      </c>
      <c r="C31" s="1">
        <v>0</v>
      </c>
      <c r="D31" s="1">
        <v>0</v>
      </c>
      <c r="E31" s="1">
        <v>0</v>
      </c>
      <c r="F31" s="1">
        <v>0</v>
      </c>
      <c r="G31" s="9">
        <f>SUM(MO_FINANCIAL)</f>
        <v>0</v>
      </c>
      <c r="L31" s="6"/>
      <c r="V31" s="9"/>
    </row>
    <row r="32" spans="1:22">
      <c r="A32" s="1" t="s">
        <v>53</v>
      </c>
      <c r="B32" s="6">
        <v>0</v>
      </c>
      <c r="C32" s="1">
        <v>0</v>
      </c>
      <c r="D32" s="1">
        <v>0</v>
      </c>
      <c r="E32" s="1">
        <v>0</v>
      </c>
      <c r="F32" s="1">
        <v>0</v>
      </c>
      <c r="G32" s="9">
        <f>SUM(MT_FINANCIAL)</f>
        <v>0</v>
      </c>
      <c r="L32" s="6"/>
      <c r="V32" s="9"/>
    </row>
    <row r="33" spans="1:22">
      <c r="A33" s="1" t="s">
        <v>54</v>
      </c>
      <c r="B33" s="6">
        <v>0</v>
      </c>
      <c r="C33" s="1">
        <v>0</v>
      </c>
      <c r="D33" s="1">
        <v>0</v>
      </c>
      <c r="E33" s="1">
        <v>0</v>
      </c>
      <c r="F33" s="1">
        <v>0</v>
      </c>
      <c r="G33" s="9">
        <f>SUM(NE_FINANCIAL)</f>
        <v>0</v>
      </c>
      <c r="L33" s="6"/>
      <c r="V33" s="9"/>
    </row>
    <row r="34" spans="1:22">
      <c r="A34" s="1" t="s">
        <v>55</v>
      </c>
      <c r="B34" s="6">
        <v>0</v>
      </c>
      <c r="C34" s="1">
        <v>0</v>
      </c>
      <c r="D34" s="1">
        <v>0</v>
      </c>
      <c r="E34" s="1">
        <v>0</v>
      </c>
      <c r="F34" s="1">
        <v>0</v>
      </c>
      <c r="G34" s="9">
        <f>SUM(NV_FINANCIAL)</f>
        <v>0</v>
      </c>
      <c r="L34" s="6"/>
      <c r="V34" s="9"/>
    </row>
    <row r="35" spans="1:22">
      <c r="A35" s="1" t="s">
        <v>56</v>
      </c>
      <c r="B35" s="6">
        <v>0</v>
      </c>
      <c r="C35" s="1">
        <v>0</v>
      </c>
      <c r="D35" s="1">
        <v>0</v>
      </c>
      <c r="E35" s="1">
        <v>0</v>
      </c>
      <c r="F35" s="1">
        <v>0</v>
      </c>
      <c r="G35" s="9">
        <f>SUM(NH_FINANCIAL)</f>
        <v>0</v>
      </c>
      <c r="L35" s="6"/>
      <c r="V35" s="9"/>
    </row>
    <row r="36" spans="1:22">
      <c r="A36" s="1" t="s">
        <v>57</v>
      </c>
      <c r="B36" s="6">
        <v>0</v>
      </c>
      <c r="C36" s="1">
        <v>0</v>
      </c>
      <c r="D36" s="1">
        <v>0</v>
      </c>
      <c r="E36" s="1">
        <v>0</v>
      </c>
      <c r="F36" s="1">
        <v>0</v>
      </c>
      <c r="G36" s="9">
        <f>SUM(NJ_FINANCIAL)</f>
        <v>0</v>
      </c>
      <c r="L36" s="6"/>
      <c r="V36" s="9"/>
    </row>
    <row r="37" spans="1:22">
      <c r="A37" s="1" t="s">
        <v>58</v>
      </c>
      <c r="B37" s="6">
        <v>0</v>
      </c>
      <c r="C37" s="1">
        <v>0</v>
      </c>
      <c r="D37" s="1">
        <v>0</v>
      </c>
      <c r="E37" s="1">
        <v>0</v>
      </c>
      <c r="F37" s="1">
        <v>0</v>
      </c>
      <c r="G37" s="9">
        <f>SUM(NM_FINANCIAL)</f>
        <v>0</v>
      </c>
      <c r="L37" s="6"/>
      <c r="V37" s="9"/>
    </row>
    <row r="38" spans="1:22">
      <c r="A38" s="1" t="s">
        <v>59</v>
      </c>
      <c r="B38" s="6">
        <v>0</v>
      </c>
      <c r="C38" s="1">
        <v>0</v>
      </c>
      <c r="D38" s="1">
        <v>0</v>
      </c>
      <c r="E38" s="1">
        <v>0</v>
      </c>
      <c r="F38" s="1">
        <v>0</v>
      </c>
      <c r="G38" s="9">
        <f>SUM(NY_FINANCIAL)</f>
        <v>0</v>
      </c>
      <c r="L38" s="6"/>
      <c r="V38" s="9"/>
    </row>
    <row r="39" spans="1:22">
      <c r="A39" s="1" t="s">
        <v>60</v>
      </c>
      <c r="B39" s="6">
        <v>0</v>
      </c>
      <c r="C39" s="1">
        <v>0</v>
      </c>
      <c r="D39" s="1">
        <v>0</v>
      </c>
      <c r="E39" s="1">
        <v>0</v>
      </c>
      <c r="F39" s="1">
        <v>0</v>
      </c>
      <c r="G39" s="9">
        <f>SUM(NC_FINANCIAL)</f>
        <v>0</v>
      </c>
      <c r="L39" s="6"/>
      <c r="V39" s="9"/>
    </row>
    <row r="40" spans="1:22">
      <c r="A40" s="1" t="s">
        <v>61</v>
      </c>
      <c r="B40" s="6">
        <v>0</v>
      </c>
      <c r="C40" s="1">
        <v>0</v>
      </c>
      <c r="D40" s="1">
        <v>0</v>
      </c>
      <c r="E40" s="1">
        <v>0</v>
      </c>
      <c r="F40" s="1">
        <v>0</v>
      </c>
      <c r="G40" s="9">
        <f>SUM(ND_FINANCIAL)</f>
        <v>0</v>
      </c>
      <c r="L40" s="6"/>
      <c r="V40" s="9"/>
    </row>
    <row r="41" spans="1:22">
      <c r="A41" s="1" t="s">
        <v>62</v>
      </c>
      <c r="B41" s="6">
        <v>0</v>
      </c>
      <c r="C41" s="1">
        <v>0</v>
      </c>
      <c r="D41" s="1">
        <v>0</v>
      </c>
      <c r="E41" s="1">
        <v>0</v>
      </c>
      <c r="F41" s="1">
        <v>0</v>
      </c>
      <c r="G41" s="9">
        <f>SUM(OH_FINANCIAL)</f>
        <v>0</v>
      </c>
      <c r="L41" s="6"/>
      <c r="V41" s="9"/>
    </row>
    <row r="42" spans="1:22">
      <c r="A42" s="1" t="s">
        <v>63</v>
      </c>
      <c r="B42" s="6">
        <v>0</v>
      </c>
      <c r="C42" s="1">
        <v>0</v>
      </c>
      <c r="D42" s="1">
        <v>0</v>
      </c>
      <c r="E42" s="1">
        <v>0</v>
      </c>
      <c r="F42" s="1">
        <v>0</v>
      </c>
      <c r="G42" s="9">
        <f>SUM(OK_FINANCIAL)</f>
        <v>0</v>
      </c>
      <c r="L42" s="6"/>
      <c r="V42" s="9"/>
    </row>
    <row r="43" spans="1:22">
      <c r="A43" s="1" t="s">
        <v>64</v>
      </c>
      <c r="B43" s="6">
        <v>0</v>
      </c>
      <c r="C43" s="1">
        <v>0</v>
      </c>
      <c r="D43" s="1">
        <v>0</v>
      </c>
      <c r="E43" s="1">
        <v>0</v>
      </c>
      <c r="F43" s="1">
        <v>0</v>
      </c>
      <c r="G43" s="9">
        <f>SUM(OR_FINANCIAL)</f>
        <v>0</v>
      </c>
      <c r="L43" s="6"/>
      <c r="V43" s="9"/>
    </row>
    <row r="44" spans="1:22">
      <c r="A44" s="1" t="s">
        <v>65</v>
      </c>
      <c r="B44" s="6">
        <v>11141434.614007073</v>
      </c>
      <c r="C44" s="1">
        <v>3113637.2159929276</v>
      </c>
      <c r="D44" s="1">
        <v>0</v>
      </c>
      <c r="E44" s="1">
        <v>0</v>
      </c>
      <c r="F44" s="1">
        <v>0</v>
      </c>
      <c r="G44" s="9">
        <f>SUM(PA_FINANCIAL)</f>
        <v>14255071.83</v>
      </c>
      <c r="L44" s="6">
        <v>32000000</v>
      </c>
      <c r="M44" s="1">
        <v>0</v>
      </c>
      <c r="O44" s="1">
        <v>0</v>
      </c>
      <c r="P44" s="1">
        <v>0</v>
      </c>
      <c r="R44" s="1">
        <v>0</v>
      </c>
      <c r="S44" s="1">
        <v>0</v>
      </c>
      <c r="U44" s="1">
        <v>0</v>
      </c>
      <c r="V44" s="9">
        <v>0</v>
      </c>
    </row>
    <row r="45" spans="1:22">
      <c r="A45" s="1" t="s">
        <v>66</v>
      </c>
      <c r="B45" s="6">
        <v>0</v>
      </c>
      <c r="C45" s="1">
        <v>0</v>
      </c>
      <c r="D45" s="1">
        <v>0</v>
      </c>
      <c r="E45" s="1">
        <v>0</v>
      </c>
      <c r="F45" s="1">
        <v>0</v>
      </c>
      <c r="G45" s="9">
        <f>SUM(PR_FINANCIAL)</f>
        <v>0</v>
      </c>
      <c r="L45" s="6"/>
      <c r="V45" s="9"/>
    </row>
    <row r="46" spans="1:22">
      <c r="A46" s="1" t="s">
        <v>67</v>
      </c>
      <c r="B46" s="6">
        <v>0</v>
      </c>
      <c r="C46" s="1">
        <v>0</v>
      </c>
      <c r="D46" s="1">
        <v>0</v>
      </c>
      <c r="E46" s="1">
        <v>0</v>
      </c>
      <c r="F46" s="1">
        <v>0</v>
      </c>
      <c r="G46" s="9">
        <f>SUM(RI_FINANCIAL)</f>
        <v>0</v>
      </c>
      <c r="L46" s="6"/>
      <c r="V46" s="9"/>
    </row>
    <row r="47" spans="1:22">
      <c r="A47" s="1" t="s">
        <v>68</v>
      </c>
      <c r="B47" s="6">
        <v>0</v>
      </c>
      <c r="C47" s="1">
        <v>0</v>
      </c>
      <c r="D47" s="1">
        <v>0</v>
      </c>
      <c r="E47" s="1">
        <v>0</v>
      </c>
      <c r="F47" s="1">
        <v>0</v>
      </c>
      <c r="G47" s="9">
        <f>SUM(SC_FINANCIAL)</f>
        <v>0</v>
      </c>
      <c r="L47" s="6"/>
      <c r="V47" s="9"/>
    </row>
    <row r="48" spans="1:22">
      <c r="A48" s="1" t="s">
        <v>69</v>
      </c>
      <c r="B48" s="6">
        <v>0</v>
      </c>
      <c r="C48" s="1">
        <v>0</v>
      </c>
      <c r="D48" s="1">
        <v>0</v>
      </c>
      <c r="E48" s="1">
        <v>0</v>
      </c>
      <c r="F48" s="1">
        <v>0</v>
      </c>
      <c r="G48" s="9">
        <f>SUM(SD_FINANCIAL)</f>
        <v>0</v>
      </c>
      <c r="L48" s="6"/>
      <c r="V48" s="9"/>
    </row>
    <row r="49" spans="1:22">
      <c r="A49" s="1" t="s">
        <v>70</v>
      </c>
      <c r="B49" s="6">
        <v>0</v>
      </c>
      <c r="C49" s="1">
        <v>0</v>
      </c>
      <c r="D49" s="1">
        <v>0</v>
      </c>
      <c r="E49" s="1">
        <v>0</v>
      </c>
      <c r="F49" s="1">
        <v>0</v>
      </c>
      <c r="G49" s="9">
        <f>SUM(TN_FINANCIAL)</f>
        <v>0</v>
      </c>
      <c r="L49" s="6"/>
      <c r="V49" s="9"/>
    </row>
    <row r="50" spans="1:22">
      <c r="A50" s="1" t="s">
        <v>71</v>
      </c>
      <c r="B50" s="6">
        <v>0</v>
      </c>
      <c r="C50" s="1">
        <v>0</v>
      </c>
      <c r="D50" s="1">
        <v>0</v>
      </c>
      <c r="E50" s="1">
        <v>0</v>
      </c>
      <c r="F50" s="1">
        <v>0</v>
      </c>
      <c r="G50" s="9">
        <f>SUM(TX_FINANCIAL)</f>
        <v>0</v>
      </c>
      <c r="L50" s="6"/>
      <c r="V50" s="9"/>
    </row>
    <row r="51" spans="1:22">
      <c r="A51" s="1" t="s">
        <v>72</v>
      </c>
      <c r="B51" s="6">
        <v>0</v>
      </c>
      <c r="C51" s="1">
        <v>0</v>
      </c>
      <c r="D51" s="1">
        <v>0</v>
      </c>
      <c r="E51" s="1">
        <v>0</v>
      </c>
      <c r="F51" s="1">
        <v>0</v>
      </c>
      <c r="G51" s="9">
        <f>SUM(UT_FINANCIAL)</f>
        <v>0</v>
      </c>
      <c r="L51" s="6"/>
      <c r="V51" s="9"/>
    </row>
    <row r="52" spans="1:22">
      <c r="A52" s="1" t="s">
        <v>73</v>
      </c>
      <c r="B52" s="6">
        <v>0</v>
      </c>
      <c r="C52" s="1">
        <v>0</v>
      </c>
      <c r="D52" s="1">
        <v>0</v>
      </c>
      <c r="E52" s="1">
        <v>0</v>
      </c>
      <c r="F52" s="1">
        <v>0</v>
      </c>
      <c r="G52" s="9">
        <f>SUM(VT_FINANCIAL)</f>
        <v>0</v>
      </c>
      <c r="L52" s="6"/>
      <c r="V52" s="9"/>
    </row>
    <row r="53" spans="1:22">
      <c r="A53" s="1" t="s">
        <v>74</v>
      </c>
      <c r="B53" s="6">
        <v>0</v>
      </c>
      <c r="C53" s="1">
        <v>0</v>
      </c>
      <c r="D53" s="1">
        <v>0</v>
      </c>
      <c r="E53" s="1">
        <v>0</v>
      </c>
      <c r="F53" s="1">
        <v>0</v>
      </c>
      <c r="G53" s="9">
        <f>SUM(VA_FINANCIAL)</f>
        <v>0</v>
      </c>
      <c r="L53" s="6"/>
      <c r="V53" s="9"/>
    </row>
    <row r="54" spans="1:22">
      <c r="A54" s="1" t="s">
        <v>75</v>
      </c>
      <c r="B54" s="6">
        <v>0</v>
      </c>
      <c r="C54" s="1">
        <v>0</v>
      </c>
      <c r="D54" s="1">
        <v>0</v>
      </c>
      <c r="E54" s="1">
        <v>0</v>
      </c>
      <c r="F54" s="1">
        <v>0</v>
      </c>
      <c r="G54" s="9">
        <f>SUM(WA_FINANCIAL)</f>
        <v>0</v>
      </c>
      <c r="L54" s="6"/>
      <c r="V54" s="9"/>
    </row>
    <row r="55" spans="1:22">
      <c r="A55" s="1" t="s">
        <v>76</v>
      </c>
      <c r="B55" s="6">
        <v>0</v>
      </c>
      <c r="C55" s="1">
        <v>0</v>
      </c>
      <c r="D55" s="1">
        <v>0</v>
      </c>
      <c r="E55" s="1">
        <v>0</v>
      </c>
      <c r="F55" s="1">
        <v>0</v>
      </c>
      <c r="G55" s="9">
        <f>SUM(WV_FINANCIAL)</f>
        <v>0</v>
      </c>
      <c r="L55" s="6"/>
      <c r="V55" s="9"/>
    </row>
    <row r="56" spans="1:22">
      <c r="A56" s="1" t="s">
        <v>77</v>
      </c>
      <c r="B56" s="6">
        <v>0</v>
      </c>
      <c r="C56" s="1">
        <v>0</v>
      </c>
      <c r="D56" s="1">
        <v>0</v>
      </c>
      <c r="E56" s="1">
        <v>0</v>
      </c>
      <c r="F56" s="1">
        <v>0</v>
      </c>
      <c r="G56" s="9">
        <f>SUM(WI_FINANCIAL)</f>
        <v>0</v>
      </c>
      <c r="L56" s="6"/>
      <c r="V56" s="9"/>
    </row>
    <row r="57" spans="1:22">
      <c r="A57" s="1" t="s">
        <v>78</v>
      </c>
      <c r="B57" s="6">
        <v>0</v>
      </c>
      <c r="C57" s="1">
        <v>0</v>
      </c>
      <c r="D57" s="1">
        <v>0</v>
      </c>
      <c r="E57" s="1">
        <v>0</v>
      </c>
      <c r="F57" s="1">
        <v>0</v>
      </c>
      <c r="G57" s="9">
        <f>SUM(WY_FINANCIAL)</f>
        <v>0</v>
      </c>
      <c r="L57" s="6"/>
      <c r="V57" s="9"/>
    </row>
    <row r="58" spans="1:22">
      <c r="A58" s="1" t="s">
        <v>79</v>
      </c>
      <c r="B58" s="6">
        <v>0</v>
      </c>
      <c r="C58" s="1">
        <v>0</v>
      </c>
      <c r="D58" s="1">
        <v>0</v>
      </c>
      <c r="E58" s="1">
        <v>0</v>
      </c>
      <c r="F58" s="1">
        <v>0</v>
      </c>
      <c r="G58" s="9">
        <f>SUM(OT_FINANCIAL)</f>
        <v>0</v>
      </c>
      <c r="L58" s="6"/>
      <c r="V58" s="9"/>
    </row>
    <row r="59" spans="1:22">
      <c r="B59" s="6"/>
      <c r="G59" s="9"/>
      <c r="L59" s="6"/>
      <c r="V59" s="9"/>
    </row>
    <row r="60" spans="1:22">
      <c r="A60" s="1" t="s">
        <v>8</v>
      </c>
      <c r="B60" s="6">
        <f>SUM(LIFE)</f>
        <v>11141434.614007073</v>
      </c>
      <c r="C60" s="1">
        <f>SUM(ALLOCATED)</f>
        <v>3113637.2159929276</v>
      </c>
      <c r="D60" s="1">
        <f>SUM(HEALTH)</f>
        <v>0</v>
      </c>
      <c r="E60" s="1">
        <f>SUM(UNALLOCATED)</f>
        <v>0</v>
      </c>
      <c r="F60" s="1">
        <f>SUM(LTC)</f>
        <v>0</v>
      </c>
      <c r="G60" s="9">
        <f>SUM(ALL_BLOCKS)</f>
        <v>14255071.83</v>
      </c>
      <c r="L60" s="6">
        <f>SUM(LIFE_CALLED)</f>
        <v>32000000</v>
      </c>
      <c r="M60" s="1">
        <f>SUM(LIFE_REFUNDED)</f>
        <v>0</v>
      </c>
      <c r="O60" s="1">
        <f>SUM(ALLOC_CALLED)</f>
        <v>0</v>
      </c>
      <c r="P60" s="1">
        <f>SUM(ALLOC_REFUNDED)</f>
        <v>0</v>
      </c>
      <c r="R60" s="1">
        <f>SUM(HEALTH_CALLED)</f>
        <v>0</v>
      </c>
      <c r="S60" s="1">
        <f>SUM(HEALTH_REFUNDED)</f>
        <v>0</v>
      </c>
      <c r="U60" s="1">
        <f>SUM(UNALLOC_CALLED)</f>
        <v>0</v>
      </c>
      <c r="V60" s="9">
        <f>SUM(UNALLOC_REFUNDED)</f>
        <v>0</v>
      </c>
    </row>
    <row r="61" spans="1:22" ht="5.0999999999999996" customHeight="1">
      <c r="B61" s="6"/>
      <c r="G61" s="9"/>
      <c r="L61" s="6"/>
      <c r="V61" s="9"/>
    </row>
    <row r="62" spans="1:22">
      <c r="B62" s="6"/>
      <c r="G62" s="9"/>
      <c r="L62" s="78" t="s">
        <v>80</v>
      </c>
      <c r="M62" s="79"/>
      <c r="N62" s="79"/>
      <c r="O62" s="79"/>
      <c r="P62" s="79"/>
      <c r="Q62" s="79"/>
      <c r="R62" s="79"/>
      <c r="S62" s="79"/>
      <c r="T62" s="79"/>
      <c r="U62" s="79"/>
      <c r="V62" s="80"/>
    </row>
    <row r="63" spans="1:22">
      <c r="B63" s="6"/>
      <c r="G63" s="9"/>
      <c r="L63" s="81"/>
      <c r="M63" s="79"/>
      <c r="N63" s="79"/>
      <c r="O63" s="79"/>
      <c r="P63" s="79"/>
      <c r="Q63" s="79"/>
      <c r="R63" s="79"/>
      <c r="S63" s="79"/>
      <c r="T63" s="79"/>
      <c r="U63" s="79"/>
      <c r="V63" s="80"/>
    </row>
    <row r="64" spans="1:22">
      <c r="B64" s="8"/>
      <c r="C64" s="5"/>
      <c r="D64" s="5"/>
      <c r="E64" s="5"/>
      <c r="F64" s="5"/>
      <c r="G64" s="11"/>
      <c r="L64" s="82"/>
      <c r="M64" s="83"/>
      <c r="N64" s="83"/>
      <c r="O64" s="83"/>
      <c r="P64" s="83"/>
      <c r="Q64" s="83"/>
      <c r="R64" s="83"/>
      <c r="S64" s="83"/>
      <c r="T64" s="83"/>
      <c r="U64" s="83"/>
      <c r="V64" s="84"/>
    </row>
  </sheetData>
  <mergeCells count="8">
    <mergeCell ref="L62:V64"/>
    <mergeCell ref="A1:G1"/>
    <mergeCell ref="B3:G3"/>
    <mergeCell ref="L3:V3"/>
    <mergeCell ref="L4:M4"/>
    <mergeCell ref="O4:P4"/>
    <mergeCell ref="R4:S4"/>
    <mergeCell ref="U4:V4"/>
  </mergeCells>
  <pageMargins left="0" right="0" top="0" bottom="0" header="0" footer="0"/>
  <pageSetup scale="48"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V64"/>
  <sheetViews>
    <sheetView zoomScale="75" workbookViewId="0">
      <selection sqref="A1:G1"/>
    </sheetView>
  </sheetViews>
  <sheetFormatPr defaultColWidth="9.109375" defaultRowHeight="14.4"/>
  <cols>
    <col min="1" max="1" width="20" style="1" customWidth="1"/>
    <col min="2" max="7" width="15" style="1" customWidth="1"/>
    <col min="8" max="8" width="1" style="1" customWidth="1"/>
    <col min="9" max="9" width="30" style="1" customWidth="1"/>
    <col min="10" max="10" width="15" style="1" customWidth="1"/>
    <col min="11" max="11" width="1" style="1" customWidth="1"/>
    <col min="12" max="13" width="15" style="1" customWidth="1"/>
    <col min="14" max="14" width="1" style="1" customWidth="1"/>
    <col min="15" max="16" width="15" style="1" customWidth="1"/>
    <col min="17" max="17" width="1" style="1" customWidth="1"/>
    <col min="18" max="19" width="15" style="1" customWidth="1"/>
    <col min="20" max="20" width="1" style="1" customWidth="1"/>
    <col min="21" max="22" width="15" style="1" customWidth="1"/>
    <col min="23" max="23" width="9.109375" style="1" customWidth="1"/>
    <col min="24" max="16384" width="9.109375" style="1"/>
  </cols>
  <sheetData>
    <row r="1" spans="1:22">
      <c r="A1" s="85" t="s">
        <v>113</v>
      </c>
      <c r="B1" s="79"/>
      <c r="C1" s="79"/>
      <c r="D1" s="79"/>
      <c r="E1" s="79"/>
      <c r="F1" s="79"/>
      <c r="G1" s="79"/>
    </row>
    <row r="3" spans="1:22">
      <c r="B3" s="86" t="s">
        <v>1</v>
      </c>
      <c r="C3" s="87"/>
      <c r="D3" s="87"/>
      <c r="E3" s="87"/>
      <c r="F3" s="87"/>
      <c r="G3" s="88"/>
      <c r="L3" s="89" t="s">
        <v>2</v>
      </c>
      <c r="M3" s="90"/>
      <c r="N3" s="90"/>
      <c r="O3" s="90"/>
      <c r="P3" s="90"/>
      <c r="Q3" s="90"/>
      <c r="R3" s="90"/>
      <c r="S3" s="90"/>
      <c r="T3" s="90"/>
      <c r="U3" s="90"/>
      <c r="V3" s="91"/>
    </row>
    <row r="4" spans="1:22">
      <c r="B4" s="6"/>
      <c r="G4" s="9"/>
      <c r="L4" s="92" t="s">
        <v>3</v>
      </c>
      <c r="M4" s="93"/>
      <c r="N4" s="3"/>
      <c r="O4" s="94" t="s">
        <v>4</v>
      </c>
      <c r="P4" s="93"/>
      <c r="Q4" s="3"/>
      <c r="R4" s="94" t="s">
        <v>5</v>
      </c>
      <c r="S4" s="93"/>
      <c r="T4" s="3"/>
      <c r="U4" s="94" t="s">
        <v>6</v>
      </c>
      <c r="V4" s="95"/>
    </row>
    <row r="5" spans="1:22" ht="60" customHeight="1">
      <c r="B5" s="7" t="s">
        <v>3</v>
      </c>
      <c r="C5" s="4" t="s">
        <v>4</v>
      </c>
      <c r="D5" s="4" t="s">
        <v>5</v>
      </c>
      <c r="E5" s="4" t="s">
        <v>6</v>
      </c>
      <c r="F5" s="4" t="s">
        <v>7</v>
      </c>
      <c r="G5" s="10" t="s">
        <v>8</v>
      </c>
      <c r="L5" s="19" t="s">
        <v>9</v>
      </c>
      <c r="M5" s="18" t="s">
        <v>10</v>
      </c>
      <c r="N5" s="18"/>
      <c r="O5" s="18" t="s">
        <v>9</v>
      </c>
      <c r="P5" s="18" t="s">
        <v>10</v>
      </c>
      <c r="Q5" s="18"/>
      <c r="R5" s="18" t="s">
        <v>9</v>
      </c>
      <c r="S5" s="18" t="s">
        <v>10</v>
      </c>
      <c r="T5" s="18"/>
      <c r="U5" s="18" t="s">
        <v>9</v>
      </c>
      <c r="V5" s="20" t="s">
        <v>10</v>
      </c>
    </row>
    <row r="6" spans="1:22">
      <c r="A6" s="1" t="s">
        <v>11</v>
      </c>
      <c r="B6" s="6">
        <v>11436766.244224519</v>
      </c>
      <c r="C6" s="1">
        <v>21126114.887285396</v>
      </c>
      <c r="D6" s="1">
        <v>0</v>
      </c>
      <c r="E6" s="1">
        <v>0</v>
      </c>
      <c r="F6" s="1">
        <v>0</v>
      </c>
      <c r="G6" s="9">
        <f>SUM(AL_FINANCIAL)</f>
        <v>32562881.131509915</v>
      </c>
      <c r="L6" s="6">
        <v>9940029</v>
      </c>
      <c r="M6" s="1">
        <v>0</v>
      </c>
      <c r="O6" s="1">
        <v>30931066</v>
      </c>
      <c r="P6" s="1">
        <v>0</v>
      </c>
      <c r="R6" s="1">
        <v>0</v>
      </c>
      <c r="S6" s="1">
        <v>0</v>
      </c>
      <c r="U6" s="1">
        <v>0</v>
      </c>
      <c r="V6" s="9">
        <v>0</v>
      </c>
    </row>
    <row r="7" spans="1:22">
      <c r="A7" s="1" t="s">
        <v>12</v>
      </c>
      <c r="B7" s="6">
        <v>526524.11194996384</v>
      </c>
      <c r="C7" s="1">
        <v>5516736.7579635568</v>
      </c>
      <c r="D7" s="1">
        <v>0</v>
      </c>
      <c r="E7" s="1">
        <v>0</v>
      </c>
      <c r="F7" s="1">
        <v>0</v>
      </c>
      <c r="G7" s="9">
        <f>SUM(AK_FINANCIAL)</f>
        <v>6043260.8699135203</v>
      </c>
      <c r="I7" s="12"/>
      <c r="J7" s="15"/>
      <c r="L7" s="6">
        <v>1345741</v>
      </c>
      <c r="M7" s="1">
        <v>0</v>
      </c>
      <c r="O7" s="1">
        <v>5975949</v>
      </c>
      <c r="P7" s="1">
        <v>0</v>
      </c>
      <c r="R7" s="1">
        <v>0</v>
      </c>
      <c r="S7" s="1">
        <v>0</v>
      </c>
      <c r="U7" s="1">
        <v>2422325</v>
      </c>
      <c r="V7" s="9">
        <v>0</v>
      </c>
    </row>
    <row r="8" spans="1:22">
      <c r="A8" s="1" t="s">
        <v>13</v>
      </c>
      <c r="B8" s="6">
        <v>17995798.131540727</v>
      </c>
      <c r="C8" s="1">
        <v>23053530.206764676</v>
      </c>
      <c r="D8" s="1">
        <v>0</v>
      </c>
      <c r="E8" s="1">
        <v>0</v>
      </c>
      <c r="F8" s="1">
        <v>0</v>
      </c>
      <c r="G8" s="9">
        <f>SUM(AZ_FINANCIAL)</f>
        <v>41049328.338305399</v>
      </c>
      <c r="I8" s="13" t="s">
        <v>14</v>
      </c>
      <c r="J8" s="16"/>
      <c r="L8" s="6">
        <v>31372236</v>
      </c>
      <c r="M8" s="1">
        <v>0</v>
      </c>
      <c r="O8" s="1">
        <v>24082717</v>
      </c>
      <c r="P8" s="1">
        <v>0</v>
      </c>
      <c r="R8" s="1">
        <v>0</v>
      </c>
      <c r="S8" s="1">
        <v>0</v>
      </c>
      <c r="U8" s="1">
        <v>0</v>
      </c>
      <c r="V8" s="9">
        <v>0</v>
      </c>
    </row>
    <row r="9" spans="1:22">
      <c r="A9" s="1" t="s">
        <v>15</v>
      </c>
      <c r="B9" s="6">
        <v>10284497.597475681</v>
      </c>
      <c r="C9" s="1">
        <v>5987676.4980833614</v>
      </c>
      <c r="D9" s="1">
        <v>0</v>
      </c>
      <c r="E9" s="1">
        <v>52688.829705908582</v>
      </c>
      <c r="F9" s="1">
        <v>0</v>
      </c>
      <c r="G9" s="9">
        <f>SUM(AR_FINANCIAL)</f>
        <v>16324862.925264951</v>
      </c>
      <c r="I9" s="13"/>
      <c r="J9" s="16"/>
      <c r="L9" s="6">
        <v>14808588</v>
      </c>
      <c r="M9" s="1">
        <v>0</v>
      </c>
      <c r="O9" s="1">
        <v>0</v>
      </c>
      <c r="P9" s="1">
        <v>0</v>
      </c>
      <c r="R9" s="1">
        <v>0</v>
      </c>
      <c r="S9" s="1">
        <v>0</v>
      </c>
      <c r="U9" s="1">
        <v>0</v>
      </c>
      <c r="V9" s="9">
        <v>0</v>
      </c>
    </row>
    <row r="10" spans="1:22">
      <c r="A10" s="1" t="s">
        <v>16</v>
      </c>
      <c r="B10" s="6">
        <v>266352017.40165415</v>
      </c>
      <c r="C10" s="1">
        <v>435903301.58230853</v>
      </c>
      <c r="D10" s="1">
        <v>0</v>
      </c>
      <c r="E10" s="1">
        <v>0</v>
      </c>
      <c r="F10" s="1">
        <v>0</v>
      </c>
      <c r="G10" s="9">
        <f>SUM(CA_FINANCIAL)</f>
        <v>702255318.98396266</v>
      </c>
      <c r="I10" s="13" t="s">
        <v>17</v>
      </c>
      <c r="J10" s="16">
        <v>5396920649.8563442</v>
      </c>
      <c r="L10" s="6">
        <v>255293661</v>
      </c>
      <c r="M10" s="1">
        <v>0</v>
      </c>
      <c r="O10" s="1">
        <v>441401833</v>
      </c>
      <c r="P10" s="1">
        <v>0</v>
      </c>
      <c r="R10" s="1">
        <v>0</v>
      </c>
      <c r="S10" s="1">
        <v>0</v>
      </c>
      <c r="U10" s="1">
        <v>0</v>
      </c>
      <c r="V10" s="9">
        <v>0</v>
      </c>
    </row>
    <row r="11" spans="1:22">
      <c r="A11" s="1" t="s">
        <v>18</v>
      </c>
      <c r="B11" s="6">
        <v>0</v>
      </c>
      <c r="C11" s="1">
        <v>0</v>
      </c>
      <c r="D11" s="1">
        <v>0</v>
      </c>
      <c r="E11" s="1">
        <v>0</v>
      </c>
      <c r="F11" s="1">
        <v>0</v>
      </c>
      <c r="G11" s="9">
        <f>SUM(CO_FINANCIAL)</f>
        <v>0</v>
      </c>
      <c r="I11" s="13"/>
      <c r="J11" s="16"/>
      <c r="L11" s="6">
        <v>170383</v>
      </c>
      <c r="M11" s="1">
        <v>0</v>
      </c>
      <c r="O11" s="1">
        <v>82023</v>
      </c>
      <c r="P11" s="1">
        <v>0</v>
      </c>
      <c r="R11" s="1">
        <v>0</v>
      </c>
      <c r="S11" s="1">
        <v>0</v>
      </c>
      <c r="U11" s="1">
        <v>0</v>
      </c>
      <c r="V11" s="9">
        <v>0</v>
      </c>
    </row>
    <row r="12" spans="1:22">
      <c r="A12" s="1" t="s">
        <v>19</v>
      </c>
      <c r="B12" s="6">
        <v>0</v>
      </c>
      <c r="C12" s="1">
        <v>0</v>
      </c>
      <c r="D12" s="1">
        <v>0</v>
      </c>
      <c r="E12" s="1">
        <v>0</v>
      </c>
      <c r="F12" s="1">
        <v>0</v>
      </c>
      <c r="G12" s="9">
        <f>SUM(CT_FINANCIAL)</f>
        <v>0</v>
      </c>
      <c r="I12" s="13" t="s">
        <v>20</v>
      </c>
      <c r="J12" s="16"/>
      <c r="L12" s="6"/>
      <c r="V12" s="9"/>
    </row>
    <row r="13" spans="1:22">
      <c r="A13" s="1" t="s">
        <v>21</v>
      </c>
      <c r="B13" s="6">
        <v>3937307.3560056537</v>
      </c>
      <c r="C13" s="1">
        <v>4015416.7395716193</v>
      </c>
      <c r="D13" s="1">
        <v>0</v>
      </c>
      <c r="E13" s="1">
        <v>102212.87251061159</v>
      </c>
      <c r="F13" s="1">
        <v>0</v>
      </c>
      <c r="G13" s="9">
        <f>SUM(DE_FINANCIAL)</f>
        <v>8054936.9680878855</v>
      </c>
      <c r="I13" s="13" t="s">
        <v>22</v>
      </c>
      <c r="J13" s="16">
        <v>0</v>
      </c>
      <c r="L13" s="6">
        <v>4309600</v>
      </c>
      <c r="M13" s="1">
        <v>0</v>
      </c>
      <c r="O13" s="1">
        <v>3612400</v>
      </c>
      <c r="P13" s="1">
        <v>0</v>
      </c>
      <c r="R13" s="1">
        <v>0</v>
      </c>
      <c r="S13" s="1">
        <v>0</v>
      </c>
      <c r="U13" s="1">
        <v>0</v>
      </c>
      <c r="V13" s="9">
        <v>0</v>
      </c>
    </row>
    <row r="14" spans="1:22">
      <c r="A14" s="1" t="s">
        <v>23</v>
      </c>
      <c r="B14" s="6">
        <v>0</v>
      </c>
      <c r="C14" s="1">
        <v>0</v>
      </c>
      <c r="D14" s="1">
        <v>0</v>
      </c>
      <c r="E14" s="1">
        <v>0</v>
      </c>
      <c r="F14" s="1">
        <v>0</v>
      </c>
      <c r="G14" s="9">
        <f>SUM(DC_FINANCIAL)</f>
        <v>0</v>
      </c>
      <c r="I14" s="13" t="s">
        <v>24</v>
      </c>
      <c r="J14" s="16">
        <v>0</v>
      </c>
      <c r="L14" s="6"/>
      <c r="V14" s="9"/>
    </row>
    <row r="15" spans="1:22">
      <c r="A15" s="1" t="s">
        <v>25</v>
      </c>
      <c r="B15" s="6">
        <v>96063234.657736495</v>
      </c>
      <c r="C15" s="1">
        <v>103098176.27093405</v>
      </c>
      <c r="D15" s="1">
        <v>0</v>
      </c>
      <c r="E15" s="1">
        <v>0</v>
      </c>
      <c r="F15" s="1">
        <v>0</v>
      </c>
      <c r="G15" s="9">
        <f>SUM(FL_FINANCIAL)</f>
        <v>199161410.92867053</v>
      </c>
      <c r="I15" s="13" t="s">
        <v>26</v>
      </c>
      <c r="J15" s="16">
        <v>61783967.930791482</v>
      </c>
      <c r="L15" s="6">
        <v>87789821</v>
      </c>
      <c r="M15" s="1">
        <v>0</v>
      </c>
      <c r="O15" s="1">
        <v>73201598</v>
      </c>
      <c r="P15" s="1">
        <v>0</v>
      </c>
      <c r="R15" s="1">
        <v>0</v>
      </c>
      <c r="S15" s="1">
        <v>0</v>
      </c>
      <c r="U15" s="1">
        <v>0</v>
      </c>
      <c r="V15" s="9">
        <v>0</v>
      </c>
    </row>
    <row r="16" spans="1:22">
      <c r="A16" s="1" t="s">
        <v>27</v>
      </c>
      <c r="B16" s="6">
        <v>25791289.419191968</v>
      </c>
      <c r="C16" s="1">
        <v>23581053.484242629</v>
      </c>
      <c r="D16" s="1">
        <v>0</v>
      </c>
      <c r="E16" s="1">
        <v>2293829.2419357314</v>
      </c>
      <c r="F16" s="1">
        <v>0</v>
      </c>
      <c r="G16" s="9">
        <f>SUM(GA_FINANCIAL)</f>
        <v>51666172.145370327</v>
      </c>
      <c r="I16" s="13" t="s">
        <v>28</v>
      </c>
      <c r="J16" s="16">
        <v>2276931.2479975102</v>
      </c>
      <c r="L16" s="6">
        <v>28136713</v>
      </c>
      <c r="M16" s="1">
        <v>0</v>
      </c>
      <c r="O16" s="1">
        <v>21179159</v>
      </c>
      <c r="P16" s="1">
        <v>-1835.55</v>
      </c>
      <c r="R16" s="1">
        <v>0</v>
      </c>
      <c r="S16" s="1">
        <v>0</v>
      </c>
      <c r="U16" s="1">
        <v>2823555</v>
      </c>
      <c r="V16" s="9">
        <v>-30473.18</v>
      </c>
    </row>
    <row r="17" spans="1:22">
      <c r="A17" s="1" t="s">
        <v>29</v>
      </c>
      <c r="B17" s="6">
        <v>25811277.620787207</v>
      </c>
      <c r="C17" s="1">
        <v>16530160.034192437</v>
      </c>
      <c r="D17" s="1">
        <v>0</v>
      </c>
      <c r="E17" s="1">
        <v>0</v>
      </c>
      <c r="F17" s="1">
        <v>0</v>
      </c>
      <c r="G17" s="9">
        <f>SUM(HI_FINANCIAL)</f>
        <v>42341437.654979646</v>
      </c>
      <c r="I17" s="13"/>
      <c r="J17" s="16"/>
      <c r="L17" s="6">
        <v>17380590</v>
      </c>
      <c r="M17" s="1">
        <v>0</v>
      </c>
      <c r="O17" s="1">
        <v>18866415</v>
      </c>
      <c r="P17" s="1">
        <v>4340797</v>
      </c>
      <c r="R17" s="1">
        <v>0</v>
      </c>
      <c r="S17" s="1">
        <v>0</v>
      </c>
      <c r="U17" s="1">
        <v>0</v>
      </c>
      <c r="V17" s="9">
        <v>0</v>
      </c>
    </row>
    <row r="18" spans="1:22">
      <c r="A18" s="1" t="s">
        <v>30</v>
      </c>
      <c r="B18" s="6">
        <v>7547839.6564365169</v>
      </c>
      <c r="C18" s="1">
        <v>8027388.6008778885</v>
      </c>
      <c r="D18" s="1">
        <v>0</v>
      </c>
      <c r="E18" s="1">
        <v>0</v>
      </c>
      <c r="F18" s="1">
        <v>0</v>
      </c>
      <c r="G18" s="9">
        <f>SUM(ID_FINANCIAL)</f>
        <v>15575228.257314406</v>
      </c>
      <c r="I18" s="13" t="s">
        <v>31</v>
      </c>
      <c r="J18" s="16"/>
      <c r="L18" s="6">
        <v>5900065</v>
      </c>
      <c r="M18" s="1">
        <v>0</v>
      </c>
      <c r="O18" s="1">
        <v>5870051</v>
      </c>
      <c r="P18" s="1">
        <v>0</v>
      </c>
      <c r="R18" s="1">
        <v>0</v>
      </c>
      <c r="S18" s="1">
        <v>0</v>
      </c>
      <c r="U18" s="1">
        <v>0</v>
      </c>
      <c r="V18" s="9">
        <v>0</v>
      </c>
    </row>
    <row r="19" spans="1:22">
      <c r="A19" s="1" t="s">
        <v>32</v>
      </c>
      <c r="B19" s="6">
        <v>73199782.940875113</v>
      </c>
      <c r="C19" s="1">
        <v>103031319.0872505</v>
      </c>
      <c r="D19" s="1">
        <v>0</v>
      </c>
      <c r="E19" s="1">
        <v>6446366.2656838326</v>
      </c>
      <c r="F19" s="1">
        <v>0</v>
      </c>
      <c r="G19" s="9">
        <f>SUM(IL_FINANCIAL)</f>
        <v>182677468.29380944</v>
      </c>
      <c r="I19" s="13" t="s">
        <v>33</v>
      </c>
      <c r="J19" s="16">
        <v>2380406620.2048478</v>
      </c>
      <c r="L19" s="6">
        <v>95382738</v>
      </c>
      <c r="M19" s="1">
        <v>0</v>
      </c>
      <c r="O19" s="1">
        <v>85736147</v>
      </c>
      <c r="P19" s="1">
        <v>28000000</v>
      </c>
      <c r="R19" s="1">
        <v>0</v>
      </c>
      <c r="S19" s="1">
        <v>0</v>
      </c>
      <c r="U19" s="1">
        <v>31410410</v>
      </c>
      <c r="V19" s="9">
        <v>20700000</v>
      </c>
    </row>
    <row r="20" spans="1:22">
      <c r="A20" s="1" t="s">
        <v>34</v>
      </c>
      <c r="B20" s="6">
        <v>14332461.742965782</v>
      </c>
      <c r="C20" s="1">
        <v>26560075.680515621</v>
      </c>
      <c r="D20" s="1">
        <v>0</v>
      </c>
      <c r="E20" s="1">
        <v>13219.255994450115</v>
      </c>
      <c r="F20" s="1">
        <v>0</v>
      </c>
      <c r="G20" s="9">
        <f>SUM(IN_FINANCIAL)</f>
        <v>40905756.679475851</v>
      </c>
      <c r="I20" s="13" t="s">
        <v>35</v>
      </c>
      <c r="J20" s="16">
        <v>2276931.2479975102</v>
      </c>
      <c r="L20" s="6">
        <v>4229436</v>
      </c>
      <c r="M20" s="1">
        <v>0</v>
      </c>
      <c r="O20" s="1">
        <v>11393625</v>
      </c>
      <c r="P20" s="1">
        <v>4999960</v>
      </c>
      <c r="R20" s="1">
        <v>0</v>
      </c>
      <c r="S20" s="1">
        <v>0</v>
      </c>
      <c r="U20" s="1">
        <v>0</v>
      </c>
      <c r="V20" s="9">
        <v>0</v>
      </c>
    </row>
    <row r="21" spans="1:22">
      <c r="A21" s="1" t="s">
        <v>36</v>
      </c>
      <c r="B21" s="6">
        <v>12385066.593363546</v>
      </c>
      <c r="C21" s="1">
        <v>20871482.703317527</v>
      </c>
      <c r="D21" s="1">
        <v>0</v>
      </c>
      <c r="E21" s="1">
        <v>40313.78210864358</v>
      </c>
      <c r="F21" s="1">
        <v>0</v>
      </c>
      <c r="G21" s="9">
        <f>SUM(IA_FINANCIAL)</f>
        <v>33296863.078789715</v>
      </c>
      <c r="I21" s="13" t="s">
        <v>37</v>
      </c>
      <c r="J21" s="16"/>
      <c r="L21" s="6">
        <v>9282570</v>
      </c>
      <c r="M21" s="1">
        <v>0</v>
      </c>
      <c r="O21" s="1">
        <v>13042799</v>
      </c>
      <c r="P21" s="1">
        <v>0</v>
      </c>
      <c r="R21" s="1">
        <v>0</v>
      </c>
      <c r="S21" s="1">
        <v>0</v>
      </c>
      <c r="U21" s="1">
        <v>0</v>
      </c>
      <c r="V21" s="9">
        <v>0</v>
      </c>
    </row>
    <row r="22" spans="1:22">
      <c r="A22" s="1" t="s">
        <v>38</v>
      </c>
      <c r="B22" s="6">
        <v>23667288.724374857</v>
      </c>
      <c r="C22" s="1">
        <v>10409438.321069706</v>
      </c>
      <c r="D22" s="1">
        <v>0</v>
      </c>
      <c r="E22" s="1">
        <v>0</v>
      </c>
      <c r="F22" s="1">
        <v>0</v>
      </c>
      <c r="G22" s="9">
        <f>SUM(KS_FINANCIAL)</f>
        <v>34076727.045444563</v>
      </c>
      <c r="I22" s="13" t="s">
        <v>39</v>
      </c>
      <c r="J22" s="16">
        <v>0</v>
      </c>
      <c r="L22" s="6">
        <v>21735000</v>
      </c>
      <c r="M22" s="1">
        <v>0</v>
      </c>
      <c r="O22" s="1">
        <v>8915000</v>
      </c>
      <c r="P22" s="1">
        <v>0</v>
      </c>
      <c r="R22" s="1">
        <v>0</v>
      </c>
      <c r="S22" s="1">
        <v>0</v>
      </c>
      <c r="U22" s="1">
        <v>0</v>
      </c>
      <c r="V22" s="9">
        <v>0</v>
      </c>
    </row>
    <row r="23" spans="1:22">
      <c r="A23" s="1" t="s">
        <v>40</v>
      </c>
      <c r="B23" s="6">
        <v>12608016.836903378</v>
      </c>
      <c r="C23" s="1">
        <v>22042943.839069042</v>
      </c>
      <c r="D23" s="1">
        <v>0</v>
      </c>
      <c r="E23" s="1">
        <v>0</v>
      </c>
      <c r="F23" s="1">
        <v>0</v>
      </c>
      <c r="G23" s="9">
        <f>SUM(KY_FINANCIAL)</f>
        <v>34650960.675972417</v>
      </c>
      <c r="I23" s="13" t="s">
        <v>41</v>
      </c>
      <c r="J23" s="16"/>
      <c r="L23" s="6">
        <v>14222783</v>
      </c>
      <c r="M23" s="1">
        <v>500000</v>
      </c>
      <c r="O23" s="1">
        <v>21088959</v>
      </c>
      <c r="P23" s="1">
        <v>0</v>
      </c>
      <c r="R23" s="1">
        <v>0</v>
      </c>
      <c r="S23" s="1">
        <v>0</v>
      </c>
      <c r="U23" s="1">
        <v>0</v>
      </c>
      <c r="V23" s="9">
        <v>0</v>
      </c>
    </row>
    <row r="24" spans="1:22">
      <c r="A24" s="1" t="s">
        <v>42</v>
      </c>
      <c r="B24" s="6">
        <v>0</v>
      </c>
      <c r="C24" s="1">
        <v>0</v>
      </c>
      <c r="D24" s="1">
        <v>0</v>
      </c>
      <c r="E24" s="1">
        <v>0</v>
      </c>
      <c r="F24" s="1">
        <v>0</v>
      </c>
      <c r="G24" s="9">
        <f>SUM(LA_FINANCIAL)</f>
        <v>0</v>
      </c>
      <c r="I24" s="13" t="s">
        <v>43</v>
      </c>
      <c r="J24" s="16">
        <v>222144610.15607688</v>
      </c>
      <c r="L24" s="6"/>
      <c r="V24" s="9"/>
    </row>
    <row r="25" spans="1:22">
      <c r="A25" s="1" t="s">
        <v>44</v>
      </c>
      <c r="B25" s="6">
        <v>0</v>
      </c>
      <c r="C25" s="1">
        <v>0</v>
      </c>
      <c r="D25" s="1">
        <v>0</v>
      </c>
      <c r="E25" s="1">
        <v>0</v>
      </c>
      <c r="F25" s="1">
        <v>0</v>
      </c>
      <c r="G25" s="9">
        <f>SUM(ME_FINANCIAL)</f>
        <v>0</v>
      </c>
      <c r="I25" s="13"/>
      <c r="J25" s="16"/>
      <c r="L25" s="6"/>
      <c r="V25" s="9"/>
    </row>
    <row r="26" spans="1:22">
      <c r="A26" s="1" t="s">
        <v>45</v>
      </c>
      <c r="B26" s="6">
        <v>17841284.792870749</v>
      </c>
      <c r="C26" s="1">
        <v>20106182.50643846</v>
      </c>
      <c r="D26" s="1">
        <v>0</v>
      </c>
      <c r="E26" s="1">
        <v>5664643.8407790139</v>
      </c>
      <c r="F26" s="1">
        <v>0</v>
      </c>
      <c r="G26" s="9">
        <f>SUM(MD_FINANCIAL)</f>
        <v>43612111.140088223</v>
      </c>
      <c r="I26" s="13" t="s">
        <v>46</v>
      </c>
      <c r="J26" s="16">
        <f>SUM(ADD_FINANCIAL)-SUM(LESS_FINANCIAL)</f>
        <v>2856153387.4262114</v>
      </c>
      <c r="L26" s="6">
        <v>28789000</v>
      </c>
      <c r="M26" s="1">
        <v>0</v>
      </c>
      <c r="O26" s="1">
        <v>18621000</v>
      </c>
      <c r="P26" s="1">
        <v>0</v>
      </c>
      <c r="R26" s="1">
        <v>0</v>
      </c>
      <c r="S26" s="1">
        <v>0</v>
      </c>
      <c r="U26" s="1">
        <v>0</v>
      </c>
      <c r="V26" s="9">
        <v>0</v>
      </c>
    </row>
    <row r="27" spans="1:22">
      <c r="A27" s="1" t="s">
        <v>47</v>
      </c>
      <c r="B27" s="6">
        <v>40529383.643791541</v>
      </c>
      <c r="C27" s="1">
        <v>41612909.44660306</v>
      </c>
      <c r="D27" s="1">
        <v>0</v>
      </c>
      <c r="E27" s="1">
        <v>0</v>
      </c>
      <c r="F27" s="1">
        <v>0</v>
      </c>
      <c r="G27" s="9">
        <f>SUM(MA_FINANCIAL)</f>
        <v>82142293.090394601</v>
      </c>
      <c r="I27" s="13" t="s">
        <v>48</v>
      </c>
      <c r="J27" s="16">
        <f>SUM(ALL_BLOCKS)</f>
        <v>2856153387.4262118</v>
      </c>
      <c r="L27" s="6">
        <v>39790000</v>
      </c>
      <c r="M27" s="1">
        <v>0</v>
      </c>
      <c r="O27" s="1">
        <v>32040000</v>
      </c>
      <c r="P27" s="1">
        <v>0</v>
      </c>
      <c r="R27" s="1">
        <v>0</v>
      </c>
      <c r="S27" s="1">
        <v>0</v>
      </c>
      <c r="U27" s="1">
        <v>0</v>
      </c>
      <c r="V27" s="9">
        <v>0</v>
      </c>
    </row>
    <row r="28" spans="1:22">
      <c r="A28" s="1" t="s">
        <v>49</v>
      </c>
      <c r="B28" s="6">
        <v>-854.59350511554885</v>
      </c>
      <c r="C28" s="1">
        <v>0</v>
      </c>
      <c r="D28" s="1">
        <v>0</v>
      </c>
      <c r="E28" s="1">
        <v>-55772.305943467538</v>
      </c>
      <c r="F28" s="1">
        <v>0</v>
      </c>
      <c r="G28" s="9">
        <f>SUM(MI_FINANCIAL)</f>
        <v>-56626.899448583084</v>
      </c>
      <c r="I28" s="14"/>
      <c r="J28" s="17"/>
      <c r="L28" s="6"/>
      <c r="V28" s="9"/>
    </row>
    <row r="29" spans="1:22">
      <c r="A29" s="1" t="s">
        <v>50</v>
      </c>
      <c r="B29" s="6">
        <v>13840462.608045397</v>
      </c>
      <c r="C29" s="1">
        <v>34211955.031690225</v>
      </c>
      <c r="D29" s="1">
        <v>0</v>
      </c>
      <c r="E29" s="1">
        <v>10450.180798110629</v>
      </c>
      <c r="F29" s="1">
        <v>0</v>
      </c>
      <c r="G29" s="9">
        <f>SUM(MN_FINANCIAL)</f>
        <v>48062867.820533738</v>
      </c>
      <c r="L29" s="6">
        <v>10500000</v>
      </c>
      <c r="M29" s="1">
        <v>0</v>
      </c>
      <c r="O29" s="1">
        <v>66672000</v>
      </c>
      <c r="P29" s="1">
        <v>11009268</v>
      </c>
      <c r="R29" s="1">
        <v>0</v>
      </c>
      <c r="S29" s="1">
        <v>0</v>
      </c>
      <c r="U29" s="1">
        <v>0</v>
      </c>
      <c r="V29" s="9">
        <v>0</v>
      </c>
    </row>
    <row r="30" spans="1:22">
      <c r="A30" s="1" t="s">
        <v>51</v>
      </c>
      <c r="B30" s="6">
        <v>18659848.697732277</v>
      </c>
      <c r="C30" s="1">
        <v>5516478.5925367652</v>
      </c>
      <c r="D30" s="1">
        <v>0</v>
      </c>
      <c r="E30" s="1">
        <v>94546.214739791438</v>
      </c>
      <c r="F30" s="1">
        <v>0</v>
      </c>
      <c r="G30" s="9">
        <f>SUM(MS_FINANCIAL)</f>
        <v>24270873.505008835</v>
      </c>
      <c r="L30" s="6">
        <v>13331639</v>
      </c>
      <c r="M30" s="1">
        <v>0</v>
      </c>
      <c r="O30" s="1">
        <v>3571718</v>
      </c>
      <c r="P30" s="1">
        <v>0</v>
      </c>
      <c r="R30" s="1">
        <v>0</v>
      </c>
      <c r="S30" s="1">
        <v>0</v>
      </c>
      <c r="U30" s="1">
        <v>46643</v>
      </c>
      <c r="V30" s="9">
        <v>0</v>
      </c>
    </row>
    <row r="31" spans="1:22">
      <c r="A31" s="1" t="s">
        <v>52</v>
      </c>
      <c r="B31" s="6">
        <v>55466202.453244746</v>
      </c>
      <c r="C31" s="1">
        <v>25057567.422859523</v>
      </c>
      <c r="D31" s="1">
        <v>0</v>
      </c>
      <c r="E31" s="1">
        <v>0</v>
      </c>
      <c r="F31" s="1">
        <v>0</v>
      </c>
      <c r="G31" s="9">
        <f>SUM(MO_FINANCIAL)</f>
        <v>80523769.876104265</v>
      </c>
      <c r="L31" s="6">
        <v>41425043</v>
      </c>
      <c r="M31" s="1">
        <v>0</v>
      </c>
      <c r="O31" s="1">
        <v>16458673</v>
      </c>
      <c r="P31" s="1">
        <v>0</v>
      </c>
      <c r="R31" s="1">
        <v>0</v>
      </c>
      <c r="S31" s="1">
        <v>0</v>
      </c>
      <c r="U31" s="1">
        <v>0</v>
      </c>
      <c r="V31" s="9">
        <v>0</v>
      </c>
    </row>
    <row r="32" spans="1:22">
      <c r="A32" s="1" t="s">
        <v>53</v>
      </c>
      <c r="B32" s="6">
        <v>3545998.8360562106</v>
      </c>
      <c r="C32" s="1">
        <v>3583546.5635941569</v>
      </c>
      <c r="D32" s="1">
        <v>0</v>
      </c>
      <c r="E32" s="1">
        <v>0</v>
      </c>
      <c r="F32" s="1">
        <v>0</v>
      </c>
      <c r="G32" s="9">
        <f>SUM(MT_FINANCIAL)</f>
        <v>7129545.399650367</v>
      </c>
      <c r="L32" s="6">
        <v>2454678</v>
      </c>
      <c r="M32" s="1">
        <v>0</v>
      </c>
      <c r="O32" s="1">
        <v>2585676</v>
      </c>
      <c r="P32" s="1">
        <v>0</v>
      </c>
      <c r="R32" s="1">
        <v>0</v>
      </c>
      <c r="S32" s="1">
        <v>0</v>
      </c>
      <c r="U32" s="1">
        <v>0</v>
      </c>
      <c r="V32" s="9">
        <v>0</v>
      </c>
    </row>
    <row r="33" spans="1:22">
      <c r="A33" s="1" t="s">
        <v>54</v>
      </c>
      <c r="B33" s="6">
        <v>10002723.318352239</v>
      </c>
      <c r="C33" s="1">
        <v>6656454.9703009576</v>
      </c>
      <c r="D33" s="1">
        <v>0</v>
      </c>
      <c r="E33" s="1">
        <v>0</v>
      </c>
      <c r="F33" s="1">
        <v>0</v>
      </c>
      <c r="G33" s="9">
        <f>SUM(NE_FINANCIAL)</f>
        <v>16659178.288653197</v>
      </c>
      <c r="L33" s="6">
        <v>5041500</v>
      </c>
      <c r="M33" s="1">
        <v>0</v>
      </c>
      <c r="O33" s="1">
        <v>4885766</v>
      </c>
      <c r="P33" s="1">
        <v>0</v>
      </c>
      <c r="R33" s="1">
        <v>0</v>
      </c>
      <c r="S33" s="1">
        <v>0</v>
      </c>
      <c r="U33" s="1">
        <v>0</v>
      </c>
      <c r="V33" s="9">
        <v>0</v>
      </c>
    </row>
    <row r="34" spans="1:22">
      <c r="A34" s="1" t="s">
        <v>55</v>
      </c>
      <c r="B34" s="6">
        <v>11970676.388699692</v>
      </c>
      <c r="C34" s="1">
        <v>6936073.6270646881</v>
      </c>
      <c r="D34" s="1">
        <v>0</v>
      </c>
      <c r="E34" s="1">
        <v>0</v>
      </c>
      <c r="F34" s="1">
        <v>0</v>
      </c>
      <c r="G34" s="9">
        <f>SUM(NV_FINANCIAL)</f>
        <v>18906750.015764378</v>
      </c>
      <c r="L34" s="6">
        <v>8682027</v>
      </c>
      <c r="M34" s="1">
        <v>0</v>
      </c>
      <c r="O34" s="1">
        <v>4989049</v>
      </c>
      <c r="P34" s="1">
        <v>0</v>
      </c>
      <c r="R34" s="1">
        <v>0</v>
      </c>
      <c r="S34" s="1">
        <v>0</v>
      </c>
      <c r="U34" s="1">
        <v>0</v>
      </c>
      <c r="V34" s="9">
        <v>0</v>
      </c>
    </row>
    <row r="35" spans="1:22">
      <c r="A35" s="1" t="s">
        <v>56</v>
      </c>
      <c r="B35" s="6">
        <v>0</v>
      </c>
      <c r="C35" s="1">
        <v>0</v>
      </c>
      <c r="D35" s="1">
        <v>0</v>
      </c>
      <c r="E35" s="1">
        <v>0</v>
      </c>
      <c r="F35" s="1">
        <v>0</v>
      </c>
      <c r="G35" s="9">
        <f>SUM(NH_FINANCIAL)</f>
        <v>0</v>
      </c>
      <c r="L35" s="6"/>
      <c r="V35" s="9"/>
    </row>
    <row r="36" spans="1:22">
      <c r="A36" s="1" t="s">
        <v>57</v>
      </c>
      <c r="B36" s="6">
        <v>19904955.220381863</v>
      </c>
      <c r="C36" s="1">
        <v>50215491.188921414</v>
      </c>
      <c r="D36" s="1">
        <v>0</v>
      </c>
      <c r="E36" s="1">
        <v>1127405.6196281591</v>
      </c>
      <c r="F36" s="1">
        <v>0</v>
      </c>
      <c r="G36" s="9">
        <f>SUM(NJ_FINANCIAL)</f>
        <v>71247852.028931439</v>
      </c>
      <c r="L36" s="6">
        <v>26960487</v>
      </c>
      <c r="M36" s="1">
        <v>1500000</v>
      </c>
      <c r="O36" s="1">
        <v>51081463</v>
      </c>
      <c r="P36" s="1">
        <v>4500000</v>
      </c>
      <c r="R36" s="1">
        <v>0</v>
      </c>
      <c r="S36" s="1">
        <v>0</v>
      </c>
      <c r="U36" s="1">
        <v>1200000</v>
      </c>
      <c r="V36" s="9">
        <v>0</v>
      </c>
    </row>
    <row r="37" spans="1:22">
      <c r="A37" s="1" t="s">
        <v>58</v>
      </c>
      <c r="B37" s="6">
        <v>4482939.2657251852</v>
      </c>
      <c r="C37" s="1">
        <v>7838830.346449364</v>
      </c>
      <c r="D37" s="1">
        <v>0</v>
      </c>
      <c r="E37" s="1">
        <v>0</v>
      </c>
      <c r="F37" s="1">
        <v>0</v>
      </c>
      <c r="G37" s="9">
        <f>SUM(NM_FINANCIAL)</f>
        <v>12321769.612174548</v>
      </c>
      <c r="L37" s="6">
        <v>2300000</v>
      </c>
      <c r="M37" s="1">
        <v>0</v>
      </c>
      <c r="O37" s="1">
        <v>5048618</v>
      </c>
      <c r="P37" s="1">
        <v>0</v>
      </c>
      <c r="R37" s="1">
        <v>0</v>
      </c>
      <c r="S37" s="1">
        <v>0</v>
      </c>
      <c r="U37" s="1">
        <v>0</v>
      </c>
      <c r="V37" s="9">
        <v>0</v>
      </c>
    </row>
    <row r="38" spans="1:22">
      <c r="A38" s="1" t="s">
        <v>59</v>
      </c>
      <c r="B38" s="6">
        <v>0</v>
      </c>
      <c r="C38" s="1">
        <v>0</v>
      </c>
      <c r="D38" s="1">
        <v>0</v>
      </c>
      <c r="E38" s="1">
        <v>0</v>
      </c>
      <c r="F38" s="1">
        <v>0</v>
      </c>
      <c r="G38" s="9">
        <f>SUM(NY_FINANCIAL)</f>
        <v>0</v>
      </c>
      <c r="L38" s="6"/>
      <c r="V38" s="9"/>
    </row>
    <row r="39" spans="1:22">
      <c r="A39" s="1" t="s">
        <v>60</v>
      </c>
      <c r="B39" s="6">
        <v>30421682.756131735</v>
      </c>
      <c r="C39" s="1">
        <v>66658217.044260971</v>
      </c>
      <c r="D39" s="1">
        <v>0</v>
      </c>
      <c r="E39" s="1">
        <v>0</v>
      </c>
      <c r="F39" s="1">
        <v>0</v>
      </c>
      <c r="G39" s="9">
        <f>SUM(NC_FINANCIAL)</f>
        <v>97079899.800392702</v>
      </c>
      <c r="L39" s="6">
        <v>31995417</v>
      </c>
      <c r="M39" s="1">
        <v>0</v>
      </c>
      <c r="O39" s="1">
        <v>145004583</v>
      </c>
      <c r="P39" s="1">
        <v>0</v>
      </c>
      <c r="R39" s="1">
        <v>0</v>
      </c>
      <c r="S39" s="1">
        <v>0</v>
      </c>
      <c r="U39" s="1">
        <v>0</v>
      </c>
      <c r="V39" s="9">
        <v>0</v>
      </c>
    </row>
    <row r="40" spans="1:22">
      <c r="A40" s="1" t="s">
        <v>61</v>
      </c>
      <c r="B40" s="6">
        <v>3235732.9780897829</v>
      </c>
      <c r="C40" s="1">
        <v>4901426.4939784789</v>
      </c>
      <c r="D40" s="1">
        <v>0</v>
      </c>
      <c r="E40" s="1">
        <v>29128.826466424933</v>
      </c>
      <c r="F40" s="1">
        <v>0</v>
      </c>
      <c r="G40" s="9">
        <f>SUM(ND_FINANCIAL)</f>
        <v>8166288.2985346867</v>
      </c>
      <c r="L40" s="6">
        <v>1520309</v>
      </c>
      <c r="M40" s="1">
        <v>0</v>
      </c>
      <c r="O40" s="1">
        <v>1893127</v>
      </c>
      <c r="P40" s="1">
        <v>0</v>
      </c>
      <c r="R40" s="1">
        <v>0</v>
      </c>
      <c r="S40" s="1">
        <v>0</v>
      </c>
      <c r="U40" s="1">
        <v>37848</v>
      </c>
      <c r="V40" s="9">
        <v>0</v>
      </c>
    </row>
    <row r="41" spans="1:22">
      <c r="A41" s="1" t="s">
        <v>62</v>
      </c>
      <c r="B41" s="6">
        <v>27935380.677070189</v>
      </c>
      <c r="C41" s="1">
        <v>36261757.499829993</v>
      </c>
      <c r="D41" s="1">
        <v>0</v>
      </c>
      <c r="E41" s="1">
        <v>1844197.6932919954</v>
      </c>
      <c r="F41" s="1">
        <v>0</v>
      </c>
      <c r="G41" s="9">
        <f>SUM(OH_FINANCIAL)</f>
        <v>66041335.87019217</v>
      </c>
      <c r="L41" s="6">
        <v>16675000</v>
      </c>
      <c r="M41" s="1">
        <v>0</v>
      </c>
      <c r="O41" s="1">
        <v>19400000</v>
      </c>
      <c r="P41" s="1">
        <v>0</v>
      </c>
      <c r="R41" s="1">
        <v>0</v>
      </c>
      <c r="S41" s="1">
        <v>0</v>
      </c>
      <c r="U41" s="1">
        <v>1625000</v>
      </c>
      <c r="V41" s="9">
        <v>0</v>
      </c>
    </row>
    <row r="42" spans="1:22">
      <c r="A42" s="1" t="s">
        <v>63</v>
      </c>
      <c r="B42" s="6">
        <v>10571639.040003886</v>
      </c>
      <c r="C42" s="1">
        <v>18000357.457540415</v>
      </c>
      <c r="D42" s="1">
        <v>0</v>
      </c>
      <c r="E42" s="1">
        <v>0</v>
      </c>
      <c r="F42" s="1">
        <v>0</v>
      </c>
      <c r="G42" s="9">
        <f>SUM(OK_FINANCIAL)</f>
        <v>28571996.497544304</v>
      </c>
      <c r="L42" s="6">
        <v>11117110</v>
      </c>
      <c r="M42" s="1">
        <v>0</v>
      </c>
      <c r="O42" s="1">
        <v>16908490</v>
      </c>
      <c r="P42" s="1">
        <v>0</v>
      </c>
      <c r="R42" s="1">
        <v>0</v>
      </c>
      <c r="S42" s="1">
        <v>0</v>
      </c>
      <c r="U42" s="1">
        <v>0</v>
      </c>
      <c r="V42" s="9">
        <v>0</v>
      </c>
    </row>
    <row r="43" spans="1:22">
      <c r="A43" s="1" t="s">
        <v>64</v>
      </c>
      <c r="B43" s="6">
        <v>14996048.604063636</v>
      </c>
      <c r="C43" s="1">
        <v>16820691.099149667</v>
      </c>
      <c r="D43" s="1">
        <v>0</v>
      </c>
      <c r="E43" s="1">
        <v>0</v>
      </c>
      <c r="F43" s="1">
        <v>0</v>
      </c>
      <c r="G43" s="9">
        <f>SUM(OR_FINANCIAL)</f>
        <v>31816739.703213304</v>
      </c>
      <c r="L43" s="6">
        <v>11282594</v>
      </c>
      <c r="M43" s="1">
        <v>0</v>
      </c>
      <c r="O43" s="1">
        <v>15986796</v>
      </c>
      <c r="P43" s="1">
        <v>0</v>
      </c>
      <c r="R43" s="1">
        <v>0</v>
      </c>
      <c r="S43" s="1">
        <v>0</v>
      </c>
      <c r="U43" s="1">
        <v>0</v>
      </c>
      <c r="V43" s="9">
        <v>0</v>
      </c>
    </row>
    <row r="44" spans="1:22">
      <c r="A44" s="1" t="s">
        <v>65</v>
      </c>
      <c r="B44" s="6">
        <v>44225695.417335868</v>
      </c>
      <c r="C44" s="1">
        <v>164109441.65345812</v>
      </c>
      <c r="D44" s="1">
        <v>0</v>
      </c>
      <c r="E44" s="1">
        <v>0</v>
      </c>
      <c r="F44" s="1">
        <v>0</v>
      </c>
      <c r="G44" s="9">
        <f>SUM(PA_FINANCIAL)</f>
        <v>208335137.07079399</v>
      </c>
      <c r="L44" s="6">
        <v>18000000</v>
      </c>
      <c r="M44" s="1">
        <v>0</v>
      </c>
      <c r="O44" s="1">
        <v>137986288</v>
      </c>
      <c r="P44" s="1">
        <v>0</v>
      </c>
      <c r="R44" s="1">
        <v>0</v>
      </c>
      <c r="S44" s="1">
        <v>0</v>
      </c>
      <c r="U44" s="1">
        <v>0</v>
      </c>
      <c r="V44" s="9">
        <v>0</v>
      </c>
    </row>
    <row r="45" spans="1:22">
      <c r="A45" s="1" t="s">
        <v>66</v>
      </c>
      <c r="B45" s="6">
        <v>557702.07338675496</v>
      </c>
      <c r="C45" s="1">
        <v>435900.30319261993</v>
      </c>
      <c r="D45" s="1">
        <v>0</v>
      </c>
      <c r="E45" s="1">
        <v>0</v>
      </c>
      <c r="F45" s="1">
        <v>0</v>
      </c>
      <c r="G45" s="9">
        <f>SUM(PR_FINANCIAL)</f>
        <v>993602.37657937489</v>
      </c>
      <c r="L45" s="6">
        <v>541527</v>
      </c>
      <c r="M45" s="1">
        <v>0</v>
      </c>
      <c r="O45" s="1">
        <v>387497</v>
      </c>
      <c r="P45" s="1">
        <v>0</v>
      </c>
      <c r="R45" s="1">
        <v>0</v>
      </c>
      <c r="S45" s="1">
        <v>0</v>
      </c>
      <c r="U45" s="1">
        <v>0</v>
      </c>
      <c r="V45" s="9">
        <v>0</v>
      </c>
    </row>
    <row r="46" spans="1:22">
      <c r="A46" s="1" t="s">
        <v>67</v>
      </c>
      <c r="B46" s="6">
        <v>3127323.0198646709</v>
      </c>
      <c r="C46" s="1">
        <v>21274704.431649785</v>
      </c>
      <c r="D46" s="1">
        <v>0</v>
      </c>
      <c r="E46" s="1">
        <v>0</v>
      </c>
      <c r="F46" s="1">
        <v>0</v>
      </c>
      <c r="G46" s="9">
        <f>SUM(RI_FINANCIAL)</f>
        <v>24402027.451514456</v>
      </c>
      <c r="L46" s="6">
        <v>2512564</v>
      </c>
      <c r="M46" s="1">
        <v>0</v>
      </c>
      <c r="O46" s="1">
        <v>17879165</v>
      </c>
      <c r="P46" s="1">
        <v>0</v>
      </c>
      <c r="R46" s="1">
        <v>0</v>
      </c>
      <c r="S46" s="1">
        <v>0</v>
      </c>
      <c r="U46" s="1">
        <v>0</v>
      </c>
      <c r="V46" s="9">
        <v>0</v>
      </c>
    </row>
    <row r="47" spans="1:22">
      <c r="A47" s="1" t="s">
        <v>68</v>
      </c>
      <c r="B47" s="6">
        <v>16614098.034089325</v>
      </c>
      <c r="C47" s="1">
        <v>21375927.976950247</v>
      </c>
      <c r="D47" s="1">
        <v>0</v>
      </c>
      <c r="E47" s="1">
        <v>0</v>
      </c>
      <c r="F47" s="1">
        <v>0</v>
      </c>
      <c r="G47" s="9">
        <f>SUM(SC_FINANCIAL)</f>
        <v>37990026.01103957</v>
      </c>
      <c r="L47" s="6">
        <v>13861881</v>
      </c>
      <c r="M47" s="1">
        <v>0</v>
      </c>
      <c r="O47" s="1">
        <v>16058421</v>
      </c>
      <c r="P47" s="1">
        <v>0</v>
      </c>
      <c r="R47" s="1">
        <v>0</v>
      </c>
      <c r="S47" s="1">
        <v>0</v>
      </c>
      <c r="U47" s="1">
        <v>0</v>
      </c>
      <c r="V47" s="9">
        <v>0</v>
      </c>
    </row>
    <row r="48" spans="1:22">
      <c r="A48" s="1" t="s">
        <v>69</v>
      </c>
      <c r="B48" s="6">
        <v>6488911.348392739</v>
      </c>
      <c r="C48" s="1">
        <v>2754008.1246702946</v>
      </c>
      <c r="D48" s="1">
        <v>0</v>
      </c>
      <c r="E48" s="1">
        <v>0</v>
      </c>
      <c r="F48" s="1">
        <v>0</v>
      </c>
      <c r="G48" s="9">
        <f>SUM(SD_FINANCIAL)</f>
        <v>9242919.4730630331</v>
      </c>
      <c r="L48" s="6">
        <v>5046959</v>
      </c>
      <c r="M48" s="1">
        <v>65</v>
      </c>
      <c r="O48" s="1">
        <v>1993163</v>
      </c>
      <c r="P48" s="1">
        <v>0</v>
      </c>
      <c r="R48" s="1">
        <v>0</v>
      </c>
      <c r="S48" s="1">
        <v>0</v>
      </c>
      <c r="U48" s="1">
        <v>0</v>
      </c>
      <c r="V48" s="9">
        <v>0</v>
      </c>
    </row>
    <row r="49" spans="1:22">
      <c r="A49" s="1" t="s">
        <v>70</v>
      </c>
      <c r="B49" s="6">
        <v>23496641.752243444</v>
      </c>
      <c r="C49" s="1">
        <v>15333322.323287748</v>
      </c>
      <c r="D49" s="1">
        <v>0</v>
      </c>
      <c r="E49" s="1">
        <v>0</v>
      </c>
      <c r="F49" s="1">
        <v>0</v>
      </c>
      <c r="G49" s="9">
        <f>SUM(TN_FINANCIAL)</f>
        <v>38829964.075531192</v>
      </c>
      <c r="L49" s="6">
        <v>14750000</v>
      </c>
      <c r="M49" s="1">
        <v>0</v>
      </c>
      <c r="O49" s="1">
        <v>12050000</v>
      </c>
      <c r="P49" s="1">
        <v>0</v>
      </c>
      <c r="R49" s="1">
        <v>0</v>
      </c>
      <c r="S49" s="1">
        <v>0</v>
      </c>
      <c r="U49" s="1">
        <v>0</v>
      </c>
      <c r="V49" s="9">
        <v>0</v>
      </c>
    </row>
    <row r="50" spans="1:22">
      <c r="A50" s="1" t="s">
        <v>71</v>
      </c>
      <c r="B50" s="6">
        <v>104513318.17865206</v>
      </c>
      <c r="C50" s="1">
        <v>129935907.16642532</v>
      </c>
      <c r="D50" s="1">
        <v>0</v>
      </c>
      <c r="E50" s="1">
        <v>11697197.143039787</v>
      </c>
      <c r="F50" s="1">
        <v>0</v>
      </c>
      <c r="G50" s="9">
        <f>SUM(TX_FINANCIAL)</f>
        <v>246146422.48811719</v>
      </c>
      <c r="L50" s="6">
        <v>125470495</v>
      </c>
      <c r="M50" s="1">
        <v>0</v>
      </c>
      <c r="O50" s="1">
        <v>63667619</v>
      </c>
      <c r="P50" s="1">
        <v>0</v>
      </c>
      <c r="R50" s="1">
        <v>0</v>
      </c>
      <c r="S50" s="1">
        <v>0</v>
      </c>
      <c r="U50" s="1">
        <v>0</v>
      </c>
      <c r="V50" s="9">
        <v>2500000</v>
      </c>
    </row>
    <row r="51" spans="1:22">
      <c r="A51" s="1" t="s">
        <v>72</v>
      </c>
      <c r="B51" s="6">
        <v>8358209.354832897</v>
      </c>
      <c r="C51" s="1">
        <v>6692497.2021799125</v>
      </c>
      <c r="D51" s="1">
        <v>0</v>
      </c>
      <c r="E51" s="1">
        <v>243648.69323040295</v>
      </c>
      <c r="F51" s="1">
        <v>0</v>
      </c>
      <c r="G51" s="9">
        <f>SUM(UT_FINANCIAL)</f>
        <v>15294355.250243213</v>
      </c>
      <c r="L51" s="6">
        <v>9028563</v>
      </c>
      <c r="M51" s="1">
        <v>0</v>
      </c>
      <c r="O51" s="1">
        <v>6991039</v>
      </c>
      <c r="P51" s="1">
        <v>0</v>
      </c>
      <c r="R51" s="1">
        <v>590625</v>
      </c>
      <c r="S51" s="1">
        <v>0</v>
      </c>
      <c r="U51" s="1">
        <v>0</v>
      </c>
      <c r="V51" s="9">
        <v>0</v>
      </c>
    </row>
    <row r="52" spans="1:22">
      <c r="A52" s="1" t="s">
        <v>73</v>
      </c>
      <c r="B52" s="6">
        <v>0</v>
      </c>
      <c r="C52" s="1">
        <v>0</v>
      </c>
      <c r="D52" s="1">
        <v>0</v>
      </c>
      <c r="E52" s="1">
        <v>0</v>
      </c>
      <c r="F52" s="1">
        <v>0</v>
      </c>
      <c r="G52" s="9">
        <f>SUM(VT_FINANCIAL)</f>
        <v>0</v>
      </c>
      <c r="L52" s="6"/>
      <c r="V52" s="9"/>
    </row>
    <row r="53" spans="1:22">
      <c r="A53" s="1" t="s">
        <v>74</v>
      </c>
      <c r="B53" s="6">
        <v>10025900.979455728</v>
      </c>
      <c r="C53" s="1">
        <v>19294190.254953079</v>
      </c>
      <c r="D53" s="1">
        <v>0</v>
      </c>
      <c r="E53" s="1">
        <v>0</v>
      </c>
      <c r="F53" s="1">
        <v>0</v>
      </c>
      <c r="G53" s="9">
        <f>SUM(VA_FINANCIAL)</f>
        <v>29320091.234408807</v>
      </c>
      <c r="L53" s="6">
        <v>12439476</v>
      </c>
      <c r="M53" s="1">
        <v>0</v>
      </c>
      <c r="O53" s="1">
        <v>14214000</v>
      </c>
      <c r="P53" s="1">
        <v>2613992</v>
      </c>
      <c r="R53" s="1">
        <v>0</v>
      </c>
      <c r="S53" s="1">
        <v>0</v>
      </c>
      <c r="U53" s="1">
        <v>0</v>
      </c>
      <c r="V53" s="9">
        <v>0</v>
      </c>
    </row>
    <row r="54" spans="1:22">
      <c r="A54" s="1" t="s">
        <v>75</v>
      </c>
      <c r="B54" s="6">
        <v>33155242.360669371</v>
      </c>
      <c r="C54" s="1">
        <v>57857499.34298408</v>
      </c>
      <c r="D54" s="1">
        <v>0</v>
      </c>
      <c r="E54" s="1">
        <v>2199548.2391114472</v>
      </c>
      <c r="F54" s="1">
        <v>0</v>
      </c>
      <c r="G54" s="9">
        <f>SUM(WA_FINANCIAL)</f>
        <v>93212289.942764908</v>
      </c>
      <c r="L54" s="6">
        <v>41361000</v>
      </c>
      <c r="M54" s="1">
        <v>0</v>
      </c>
      <c r="O54" s="1">
        <v>46598000</v>
      </c>
      <c r="P54" s="1">
        <v>0</v>
      </c>
      <c r="R54" s="1">
        <v>0</v>
      </c>
      <c r="S54" s="1">
        <v>0</v>
      </c>
      <c r="U54" s="1">
        <v>2800000</v>
      </c>
      <c r="V54" s="9">
        <v>0</v>
      </c>
    </row>
    <row r="55" spans="1:22">
      <c r="A55" s="1" t="s">
        <v>76</v>
      </c>
      <c r="B55" s="6">
        <v>1787077.5354828287</v>
      </c>
      <c r="C55" s="1">
        <v>3471836.0918148169</v>
      </c>
      <c r="D55" s="1">
        <v>0</v>
      </c>
      <c r="E55" s="1">
        <v>0</v>
      </c>
      <c r="F55" s="1">
        <v>0</v>
      </c>
      <c r="G55" s="9">
        <f>SUM(WV_FINANCIAL)</f>
        <v>5258913.6272976454</v>
      </c>
      <c r="L55" s="6">
        <v>1598287</v>
      </c>
      <c r="M55" s="1">
        <v>0</v>
      </c>
      <c r="O55" s="1">
        <v>3529868</v>
      </c>
      <c r="P55" s="1">
        <v>980</v>
      </c>
      <c r="R55" s="1">
        <v>0</v>
      </c>
      <c r="S55" s="1">
        <v>0</v>
      </c>
      <c r="U55" s="1">
        <v>0</v>
      </c>
      <c r="V55" s="9">
        <v>0</v>
      </c>
    </row>
    <row r="56" spans="1:22">
      <c r="A56" s="1" t="s">
        <v>77</v>
      </c>
      <c r="B56" s="6">
        <v>14140815.87454528</v>
      </c>
      <c r="C56" s="1">
        <v>49348077.415730953</v>
      </c>
      <c r="D56" s="1">
        <v>0</v>
      </c>
      <c r="E56" s="1">
        <v>80338.343980072328</v>
      </c>
      <c r="F56" s="1">
        <v>0</v>
      </c>
      <c r="G56" s="9">
        <f>SUM(WI_FINANCIAL)</f>
        <v>63569231.634256303</v>
      </c>
      <c r="L56" s="6">
        <v>13800000</v>
      </c>
      <c r="M56" s="1">
        <v>0</v>
      </c>
      <c r="O56" s="1">
        <v>42947843</v>
      </c>
      <c r="P56" s="1">
        <v>0</v>
      </c>
      <c r="R56" s="1">
        <v>0</v>
      </c>
      <c r="S56" s="1">
        <v>0</v>
      </c>
      <c r="U56" s="1">
        <v>0</v>
      </c>
      <c r="V56" s="9">
        <v>0</v>
      </c>
    </row>
    <row r="57" spans="1:22">
      <c r="A57" s="1" t="s">
        <v>78</v>
      </c>
      <c r="B57" s="6">
        <v>2967027.3868047195</v>
      </c>
      <c r="C57" s="1">
        <v>3452121.3791940841</v>
      </c>
      <c r="D57" s="1">
        <v>0</v>
      </c>
      <c r="E57" s="1">
        <v>0</v>
      </c>
      <c r="F57" s="1">
        <v>0</v>
      </c>
      <c r="G57" s="9">
        <f>SUM(WY_FINANCIAL)</f>
        <v>6419148.7659988031</v>
      </c>
      <c r="L57" s="6">
        <v>2372109</v>
      </c>
      <c r="M57" s="1">
        <v>0</v>
      </c>
      <c r="O57" s="1">
        <v>2811297</v>
      </c>
      <c r="P57" s="1">
        <v>0</v>
      </c>
      <c r="R57" s="1">
        <v>0</v>
      </c>
      <c r="S57" s="1">
        <v>0</v>
      </c>
      <c r="U57" s="1">
        <v>0</v>
      </c>
      <c r="V57" s="9">
        <v>0</v>
      </c>
    </row>
    <row r="58" spans="1:22">
      <c r="A58" s="1" t="s">
        <v>79</v>
      </c>
      <c r="B58" s="6">
        <v>0</v>
      </c>
      <c r="C58" s="1">
        <v>0</v>
      </c>
      <c r="D58" s="1">
        <v>0</v>
      </c>
      <c r="E58" s="1">
        <v>0</v>
      </c>
      <c r="F58" s="1">
        <v>0</v>
      </c>
      <c r="G58" s="9">
        <f>SUM(OT_FINANCIAL)</f>
        <v>0</v>
      </c>
      <c r="L58" s="6"/>
      <c r="V58" s="9"/>
    </row>
    <row r="59" spans="1:22">
      <c r="B59" s="6"/>
      <c r="G59" s="9"/>
      <c r="L59" s="6"/>
      <c r="V59" s="9"/>
    </row>
    <row r="60" spans="1:22">
      <c r="A60" s="1" t="s">
        <v>8</v>
      </c>
      <c r="B60" s="6">
        <f>SUM(LIFE)</f>
        <v>1154801237.0379953</v>
      </c>
      <c r="C60" s="1">
        <f>SUM(ALLOCATED)</f>
        <v>1669468187.6511555</v>
      </c>
      <c r="D60" s="1">
        <f>SUM(HEALTH)</f>
        <v>0</v>
      </c>
      <c r="E60" s="1">
        <f>SUM(UNALLOCATED)</f>
        <v>31883962.737060916</v>
      </c>
      <c r="F60" s="1">
        <f>SUM(LTC)</f>
        <v>0</v>
      </c>
      <c r="G60" s="9">
        <f>SUM(ALL_BLOCKS)</f>
        <v>2856153387.4262118</v>
      </c>
      <c r="L60" s="6">
        <f>SUM(LIFE_CALLED)</f>
        <v>1113947619</v>
      </c>
      <c r="M60" s="1">
        <f>SUM(LIFE_REFUNDED)</f>
        <v>2000065</v>
      </c>
      <c r="O60" s="1">
        <f>SUM(ALLOC_CALLED)</f>
        <v>1537640900</v>
      </c>
      <c r="P60" s="1">
        <f>SUM(ALLOC_REFUNDED)</f>
        <v>55463161.450000003</v>
      </c>
      <c r="R60" s="1">
        <f>SUM(HEALTH_CALLED)</f>
        <v>590625</v>
      </c>
      <c r="S60" s="1">
        <f>SUM(HEALTH_REFUNDED)</f>
        <v>0</v>
      </c>
      <c r="U60" s="1">
        <f>SUM(UNALLOC_CALLED)</f>
        <v>42365781</v>
      </c>
      <c r="V60" s="9">
        <f>SUM(UNALLOC_REFUNDED)</f>
        <v>23169526.82</v>
      </c>
    </row>
    <row r="61" spans="1:22" ht="5.0999999999999996" customHeight="1">
      <c r="B61" s="6"/>
      <c r="G61" s="9"/>
      <c r="L61" s="6"/>
      <c r="V61" s="9"/>
    </row>
    <row r="62" spans="1:22">
      <c r="B62" s="6"/>
      <c r="G62" s="9"/>
      <c r="L62" s="78" t="s">
        <v>80</v>
      </c>
      <c r="M62" s="79"/>
      <c r="N62" s="79"/>
      <c r="O62" s="79"/>
      <c r="P62" s="79"/>
      <c r="Q62" s="79"/>
      <c r="R62" s="79"/>
      <c r="S62" s="79"/>
      <c r="T62" s="79"/>
      <c r="U62" s="79"/>
      <c r="V62" s="80"/>
    </row>
    <row r="63" spans="1:22">
      <c r="B63" s="6"/>
      <c r="G63" s="9"/>
      <c r="L63" s="81"/>
      <c r="M63" s="79"/>
      <c r="N63" s="79"/>
      <c r="O63" s="79"/>
      <c r="P63" s="79"/>
      <c r="Q63" s="79"/>
      <c r="R63" s="79"/>
      <c r="S63" s="79"/>
      <c r="T63" s="79"/>
      <c r="U63" s="79"/>
      <c r="V63" s="80"/>
    </row>
    <row r="64" spans="1:22">
      <c r="B64" s="8"/>
      <c r="C64" s="5"/>
      <c r="D64" s="5"/>
      <c r="E64" s="5"/>
      <c r="F64" s="5"/>
      <c r="G64" s="11"/>
      <c r="L64" s="82"/>
      <c r="M64" s="83"/>
      <c r="N64" s="83"/>
      <c r="O64" s="83"/>
      <c r="P64" s="83"/>
      <c r="Q64" s="83"/>
      <c r="R64" s="83"/>
      <c r="S64" s="83"/>
      <c r="T64" s="83"/>
      <c r="U64" s="83"/>
      <c r="V64" s="84"/>
    </row>
  </sheetData>
  <mergeCells count="8">
    <mergeCell ref="L62:V64"/>
    <mergeCell ref="A1:G1"/>
    <mergeCell ref="B3:G3"/>
    <mergeCell ref="L3:V3"/>
    <mergeCell ref="L4:M4"/>
    <mergeCell ref="O4:P4"/>
    <mergeCell ref="R4:S4"/>
    <mergeCell ref="U4:V4"/>
  </mergeCells>
  <pageMargins left="0" right="0" top="0" bottom="0" header="0" footer="0"/>
  <pageSetup scale="48"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V64"/>
  <sheetViews>
    <sheetView zoomScale="75" workbookViewId="0">
      <selection sqref="A1:G1"/>
    </sheetView>
  </sheetViews>
  <sheetFormatPr defaultColWidth="9.109375" defaultRowHeight="14.4"/>
  <cols>
    <col min="1" max="1" width="20" style="1" customWidth="1"/>
    <col min="2" max="7" width="15" style="1" customWidth="1"/>
    <col min="8" max="8" width="1" style="1" customWidth="1"/>
    <col min="9" max="9" width="30" style="1" customWidth="1"/>
    <col min="10" max="10" width="15" style="1" customWidth="1"/>
    <col min="11" max="11" width="1" style="1" customWidth="1"/>
    <col min="12" max="13" width="15" style="1" customWidth="1"/>
    <col min="14" max="14" width="1" style="1" customWidth="1"/>
    <col min="15" max="16" width="15" style="1" customWidth="1"/>
    <col min="17" max="17" width="1" style="1" customWidth="1"/>
    <col min="18" max="19" width="15" style="1" customWidth="1"/>
    <col min="20" max="20" width="1" style="1" customWidth="1"/>
    <col min="21" max="22" width="15" style="1" customWidth="1"/>
    <col min="23" max="23" width="9.109375" style="1" customWidth="1"/>
    <col min="24" max="16384" width="9.109375" style="1"/>
  </cols>
  <sheetData>
    <row r="1" spans="1:22">
      <c r="A1" s="85" t="s">
        <v>114</v>
      </c>
      <c r="B1" s="79"/>
      <c r="C1" s="79"/>
      <c r="D1" s="79"/>
      <c r="E1" s="79"/>
      <c r="F1" s="79"/>
      <c r="G1" s="79"/>
    </row>
    <row r="3" spans="1:22">
      <c r="B3" s="86" t="s">
        <v>1</v>
      </c>
      <c r="C3" s="87"/>
      <c r="D3" s="87"/>
      <c r="E3" s="87"/>
      <c r="F3" s="87"/>
      <c r="G3" s="88"/>
      <c r="L3" s="89" t="s">
        <v>2</v>
      </c>
      <c r="M3" s="90"/>
      <c r="N3" s="90"/>
      <c r="O3" s="90"/>
      <c r="P3" s="90"/>
      <c r="Q3" s="90"/>
      <c r="R3" s="90"/>
      <c r="S3" s="90"/>
      <c r="T3" s="90"/>
      <c r="U3" s="90"/>
      <c r="V3" s="91"/>
    </row>
    <row r="4" spans="1:22">
      <c r="B4" s="6"/>
      <c r="G4" s="9"/>
      <c r="L4" s="92" t="s">
        <v>3</v>
      </c>
      <c r="M4" s="93"/>
      <c r="N4" s="3"/>
      <c r="O4" s="94" t="s">
        <v>4</v>
      </c>
      <c r="P4" s="93"/>
      <c r="Q4" s="3"/>
      <c r="R4" s="94" t="s">
        <v>5</v>
      </c>
      <c r="S4" s="93"/>
      <c r="T4" s="3"/>
      <c r="U4" s="94" t="s">
        <v>6</v>
      </c>
      <c r="V4" s="95"/>
    </row>
    <row r="5" spans="1:22" ht="60" customHeight="1">
      <c r="B5" s="7" t="s">
        <v>3</v>
      </c>
      <c r="C5" s="4" t="s">
        <v>4</v>
      </c>
      <c r="D5" s="4" t="s">
        <v>5</v>
      </c>
      <c r="E5" s="4" t="s">
        <v>6</v>
      </c>
      <c r="F5" s="4" t="s">
        <v>7</v>
      </c>
      <c r="G5" s="10" t="s">
        <v>8</v>
      </c>
      <c r="L5" s="19" t="s">
        <v>9</v>
      </c>
      <c r="M5" s="18" t="s">
        <v>10</v>
      </c>
      <c r="N5" s="18"/>
      <c r="O5" s="18" t="s">
        <v>9</v>
      </c>
      <c r="P5" s="18" t="s">
        <v>10</v>
      </c>
      <c r="Q5" s="18"/>
      <c r="R5" s="18" t="s">
        <v>9</v>
      </c>
      <c r="S5" s="18" t="s">
        <v>10</v>
      </c>
      <c r="T5" s="18"/>
      <c r="U5" s="18" t="s">
        <v>9</v>
      </c>
      <c r="V5" s="20" t="s">
        <v>10</v>
      </c>
    </row>
    <row r="6" spans="1:22">
      <c r="A6" s="1" t="s">
        <v>11</v>
      </c>
      <c r="B6" s="6">
        <v>0</v>
      </c>
      <c r="C6" s="1">
        <v>48678.442617792622</v>
      </c>
      <c r="D6" s="1">
        <v>0</v>
      </c>
      <c r="E6" s="1">
        <v>0</v>
      </c>
      <c r="F6" s="1">
        <v>0</v>
      </c>
      <c r="G6" s="9">
        <f>SUM(AL_FINANCIAL)</f>
        <v>48678.442617792622</v>
      </c>
      <c r="L6" s="6"/>
      <c r="V6" s="9"/>
    </row>
    <row r="7" spans="1:22">
      <c r="A7" s="1" t="s">
        <v>12</v>
      </c>
      <c r="B7" s="6">
        <v>0</v>
      </c>
      <c r="C7" s="1">
        <v>78072.28103329039</v>
      </c>
      <c r="D7" s="1">
        <v>0</v>
      </c>
      <c r="E7" s="1">
        <v>0</v>
      </c>
      <c r="F7" s="1">
        <v>0</v>
      </c>
      <c r="G7" s="9">
        <f>SUM(AK_FINANCIAL)</f>
        <v>78072.28103329039</v>
      </c>
      <c r="I7" s="12"/>
      <c r="J7" s="15"/>
      <c r="L7" s="6"/>
      <c r="V7" s="9"/>
    </row>
    <row r="8" spans="1:22">
      <c r="A8" s="1" t="s">
        <v>13</v>
      </c>
      <c r="B8" s="6">
        <v>0</v>
      </c>
      <c r="C8" s="1">
        <v>1432107.8404046018</v>
      </c>
      <c r="D8" s="1">
        <v>0</v>
      </c>
      <c r="E8" s="1">
        <v>0</v>
      </c>
      <c r="F8" s="1">
        <v>0</v>
      </c>
      <c r="G8" s="9">
        <f>SUM(AZ_FINANCIAL)</f>
        <v>1432107.8404046018</v>
      </c>
      <c r="I8" s="13" t="s">
        <v>14</v>
      </c>
      <c r="J8" s="16"/>
      <c r="L8" s="6"/>
      <c r="V8" s="9"/>
    </row>
    <row r="9" spans="1:22">
      <c r="A9" s="1" t="s">
        <v>15</v>
      </c>
      <c r="B9" s="6">
        <v>0</v>
      </c>
      <c r="C9" s="1">
        <v>3004290.2072421615</v>
      </c>
      <c r="D9" s="1">
        <v>0</v>
      </c>
      <c r="E9" s="1">
        <v>0</v>
      </c>
      <c r="F9" s="1">
        <v>0</v>
      </c>
      <c r="G9" s="9">
        <f>SUM(AR_FINANCIAL)</f>
        <v>3004290.2072421615</v>
      </c>
      <c r="I9" s="13"/>
      <c r="J9" s="16"/>
      <c r="L9" s="6">
        <v>0</v>
      </c>
      <c r="M9" s="1">
        <v>0</v>
      </c>
      <c r="O9" s="1">
        <v>0</v>
      </c>
      <c r="P9" s="1">
        <v>0</v>
      </c>
      <c r="R9" s="1">
        <v>0</v>
      </c>
      <c r="S9" s="1">
        <v>0</v>
      </c>
      <c r="U9" s="1">
        <v>0</v>
      </c>
      <c r="V9" s="9">
        <v>0</v>
      </c>
    </row>
    <row r="10" spans="1:22">
      <c r="A10" s="1" t="s">
        <v>16</v>
      </c>
      <c r="B10" s="6">
        <v>0</v>
      </c>
      <c r="C10" s="1">
        <v>20783153.476236343</v>
      </c>
      <c r="D10" s="1">
        <v>0</v>
      </c>
      <c r="E10" s="1">
        <v>0</v>
      </c>
      <c r="F10" s="1">
        <v>0</v>
      </c>
      <c r="G10" s="9">
        <f>SUM(CA_FINANCIAL)</f>
        <v>20783153.476236343</v>
      </c>
      <c r="I10" s="13" t="s">
        <v>17</v>
      </c>
      <c r="J10" s="16">
        <v>1093779021.3092003</v>
      </c>
      <c r="L10" s="6">
        <v>0</v>
      </c>
      <c r="M10" s="1">
        <v>0</v>
      </c>
      <c r="O10" s="1">
        <v>24250000</v>
      </c>
      <c r="P10" s="1">
        <v>0</v>
      </c>
      <c r="R10" s="1">
        <v>0</v>
      </c>
      <c r="S10" s="1">
        <v>0</v>
      </c>
      <c r="U10" s="1">
        <v>0</v>
      </c>
      <c r="V10" s="9">
        <v>0</v>
      </c>
    </row>
    <row r="11" spans="1:22">
      <c r="A11" s="1" t="s">
        <v>18</v>
      </c>
      <c r="B11" s="6">
        <v>0</v>
      </c>
      <c r="C11" s="1">
        <v>1988186.6409802143</v>
      </c>
      <c r="D11" s="1">
        <v>0</v>
      </c>
      <c r="E11" s="1">
        <v>0</v>
      </c>
      <c r="F11" s="1">
        <v>0</v>
      </c>
      <c r="G11" s="9">
        <f>SUM(CO_FINANCIAL)</f>
        <v>1988186.6409802143</v>
      </c>
      <c r="I11" s="13"/>
      <c r="J11" s="16"/>
      <c r="L11" s="6">
        <v>0</v>
      </c>
      <c r="M11" s="1">
        <v>0</v>
      </c>
      <c r="O11" s="1">
        <v>1626177</v>
      </c>
      <c r="P11" s="1">
        <v>0</v>
      </c>
      <c r="R11" s="1">
        <v>0</v>
      </c>
      <c r="S11" s="1">
        <v>0</v>
      </c>
      <c r="U11" s="1">
        <v>0</v>
      </c>
      <c r="V11" s="9">
        <v>0</v>
      </c>
    </row>
    <row r="12" spans="1:22">
      <c r="A12" s="1" t="s">
        <v>19</v>
      </c>
      <c r="B12" s="6">
        <v>0</v>
      </c>
      <c r="C12" s="1">
        <v>24219690.909653828</v>
      </c>
      <c r="D12" s="1">
        <v>0</v>
      </c>
      <c r="E12" s="1">
        <v>0</v>
      </c>
      <c r="F12" s="1">
        <v>0</v>
      </c>
      <c r="G12" s="9">
        <f>SUM(CT_FINANCIAL)</f>
        <v>24219690.909653828</v>
      </c>
      <c r="I12" s="13" t="s">
        <v>20</v>
      </c>
      <c r="J12" s="16"/>
      <c r="L12" s="6">
        <v>0</v>
      </c>
      <c r="M12" s="1">
        <v>0</v>
      </c>
      <c r="O12" s="1">
        <v>16699169</v>
      </c>
      <c r="P12" s="1">
        <v>0</v>
      </c>
      <c r="R12" s="1">
        <v>0</v>
      </c>
      <c r="S12" s="1">
        <v>0</v>
      </c>
      <c r="U12" s="1">
        <v>0</v>
      </c>
      <c r="V12" s="9">
        <v>0</v>
      </c>
    </row>
    <row r="13" spans="1:22">
      <c r="A13" s="1" t="s">
        <v>21</v>
      </c>
      <c r="B13" s="6">
        <v>0</v>
      </c>
      <c r="C13" s="1">
        <v>2879784.8373853471</v>
      </c>
      <c r="D13" s="1">
        <v>0</v>
      </c>
      <c r="E13" s="1">
        <v>0</v>
      </c>
      <c r="F13" s="1">
        <v>0</v>
      </c>
      <c r="G13" s="9">
        <f>SUM(DE_FINANCIAL)</f>
        <v>2879784.8373853471</v>
      </c>
      <c r="I13" s="13" t="s">
        <v>22</v>
      </c>
      <c r="J13" s="16">
        <v>0</v>
      </c>
      <c r="L13" s="6">
        <v>0</v>
      </c>
      <c r="M13" s="1">
        <v>0</v>
      </c>
      <c r="O13" s="1">
        <v>2900000</v>
      </c>
      <c r="P13" s="1">
        <v>0</v>
      </c>
      <c r="R13" s="1">
        <v>0</v>
      </c>
      <c r="S13" s="1">
        <v>0</v>
      </c>
      <c r="U13" s="1">
        <v>0</v>
      </c>
      <c r="V13" s="9">
        <v>0</v>
      </c>
    </row>
    <row r="14" spans="1:22">
      <c r="A14" s="1" t="s">
        <v>23</v>
      </c>
      <c r="B14" s="6">
        <v>0</v>
      </c>
      <c r="C14" s="1">
        <v>7069.6846716789651</v>
      </c>
      <c r="D14" s="1">
        <v>0</v>
      </c>
      <c r="E14" s="1">
        <v>0</v>
      </c>
      <c r="F14" s="1">
        <v>0</v>
      </c>
      <c r="G14" s="9">
        <f>SUM(DC_FINANCIAL)</f>
        <v>7069.6846716789651</v>
      </c>
      <c r="I14" s="13" t="s">
        <v>24</v>
      </c>
      <c r="J14" s="16">
        <v>11849872.230000002</v>
      </c>
      <c r="L14" s="6"/>
      <c r="V14" s="9"/>
    </row>
    <row r="15" spans="1:22">
      <c r="A15" s="1" t="s">
        <v>25</v>
      </c>
      <c r="B15" s="6">
        <v>0</v>
      </c>
      <c r="C15" s="1">
        <v>325882.00149037072</v>
      </c>
      <c r="D15" s="1">
        <v>0</v>
      </c>
      <c r="E15" s="1">
        <v>0</v>
      </c>
      <c r="F15" s="1">
        <v>0</v>
      </c>
      <c r="G15" s="9">
        <f>SUM(FL_FINANCIAL)</f>
        <v>325882.00149037072</v>
      </c>
      <c r="I15" s="13" t="s">
        <v>26</v>
      </c>
      <c r="J15" s="16">
        <v>24364469.789999988</v>
      </c>
      <c r="L15" s="6"/>
      <c r="V15" s="9"/>
    </row>
    <row r="16" spans="1:22">
      <c r="A16" s="1" t="s">
        <v>27</v>
      </c>
      <c r="B16" s="6">
        <v>0</v>
      </c>
      <c r="C16" s="1">
        <v>4433588.8800366856</v>
      </c>
      <c r="D16" s="1">
        <v>0</v>
      </c>
      <c r="E16" s="1">
        <v>0</v>
      </c>
      <c r="F16" s="1">
        <v>0</v>
      </c>
      <c r="G16" s="9">
        <f>SUM(GA_FINANCIAL)</f>
        <v>4433588.8800366856</v>
      </c>
      <c r="I16" s="13" t="s">
        <v>28</v>
      </c>
      <c r="J16" s="16">
        <v>0</v>
      </c>
      <c r="L16" s="6"/>
      <c r="V16" s="9"/>
    </row>
    <row r="17" spans="1:22">
      <c r="A17" s="1" t="s">
        <v>29</v>
      </c>
      <c r="B17" s="6">
        <v>0</v>
      </c>
      <c r="C17" s="1">
        <v>528171.89674495871</v>
      </c>
      <c r="D17" s="1">
        <v>0</v>
      </c>
      <c r="E17" s="1">
        <v>0</v>
      </c>
      <c r="F17" s="1">
        <v>0</v>
      </c>
      <c r="G17" s="9">
        <f>SUM(HI_FINANCIAL)</f>
        <v>528171.89674495871</v>
      </c>
      <c r="I17" s="13"/>
      <c r="J17" s="16"/>
      <c r="L17" s="6"/>
      <c r="V17" s="9"/>
    </row>
    <row r="18" spans="1:22">
      <c r="A18" s="1" t="s">
        <v>30</v>
      </c>
      <c r="B18" s="6">
        <v>0</v>
      </c>
      <c r="C18" s="1">
        <v>321827.19079000532</v>
      </c>
      <c r="D18" s="1">
        <v>0</v>
      </c>
      <c r="E18" s="1">
        <v>0</v>
      </c>
      <c r="F18" s="1">
        <v>0</v>
      </c>
      <c r="G18" s="9">
        <f>SUM(ID_FINANCIAL)</f>
        <v>321827.19079000532</v>
      </c>
      <c r="I18" s="13" t="s">
        <v>31</v>
      </c>
      <c r="J18" s="16"/>
      <c r="L18" s="6"/>
      <c r="V18" s="9"/>
    </row>
    <row r="19" spans="1:22">
      <c r="A19" s="1" t="s">
        <v>32</v>
      </c>
      <c r="B19" s="6">
        <v>0</v>
      </c>
      <c r="C19" s="1">
        <v>21936203.563755721</v>
      </c>
      <c r="D19" s="1">
        <v>0</v>
      </c>
      <c r="E19" s="1">
        <v>0</v>
      </c>
      <c r="F19" s="1">
        <v>0</v>
      </c>
      <c r="G19" s="9">
        <f>SUM(IL_FINANCIAL)</f>
        <v>21936203.563755721</v>
      </c>
      <c r="I19" s="13" t="s">
        <v>33</v>
      </c>
      <c r="J19" s="16">
        <v>328133706.59276009</v>
      </c>
      <c r="L19" s="6">
        <v>0</v>
      </c>
      <c r="M19" s="1">
        <v>0</v>
      </c>
      <c r="O19" s="1">
        <v>23000000</v>
      </c>
      <c r="P19" s="1">
        <v>0</v>
      </c>
      <c r="R19" s="1">
        <v>0</v>
      </c>
      <c r="S19" s="1">
        <v>0</v>
      </c>
      <c r="U19" s="1">
        <v>0</v>
      </c>
      <c r="V19" s="9">
        <v>0</v>
      </c>
    </row>
    <row r="20" spans="1:22">
      <c r="A20" s="1" t="s">
        <v>34</v>
      </c>
      <c r="B20" s="6">
        <v>0</v>
      </c>
      <c r="C20" s="1">
        <v>1309809.167640497</v>
      </c>
      <c r="D20" s="1">
        <v>0</v>
      </c>
      <c r="E20" s="1">
        <v>0</v>
      </c>
      <c r="F20" s="1">
        <v>0</v>
      </c>
      <c r="G20" s="9">
        <f>SUM(IN_FINANCIAL)</f>
        <v>1309809.167640497</v>
      </c>
      <c r="I20" s="13" t="s">
        <v>35</v>
      </c>
      <c r="J20" s="16">
        <v>0</v>
      </c>
      <c r="L20" s="6"/>
      <c r="V20" s="9"/>
    </row>
    <row r="21" spans="1:22">
      <c r="A21" s="1" t="s">
        <v>36</v>
      </c>
      <c r="B21" s="6">
        <v>0</v>
      </c>
      <c r="C21" s="1">
        <v>3941250.6162275826</v>
      </c>
      <c r="D21" s="1">
        <v>0</v>
      </c>
      <c r="E21" s="1">
        <v>0</v>
      </c>
      <c r="F21" s="1">
        <v>0</v>
      </c>
      <c r="G21" s="9">
        <f>SUM(IA_FINANCIAL)</f>
        <v>3941250.6162275826</v>
      </c>
      <c r="I21" s="13" t="s">
        <v>37</v>
      </c>
      <c r="J21" s="16"/>
      <c r="L21" s="6">
        <v>0</v>
      </c>
      <c r="M21" s="1">
        <v>0</v>
      </c>
      <c r="O21" s="1">
        <v>4000000</v>
      </c>
      <c r="P21" s="1">
        <v>0</v>
      </c>
      <c r="R21" s="1">
        <v>0</v>
      </c>
      <c r="S21" s="1">
        <v>0</v>
      </c>
      <c r="U21" s="1">
        <v>0</v>
      </c>
      <c r="V21" s="9">
        <v>0</v>
      </c>
    </row>
    <row r="22" spans="1:22">
      <c r="A22" s="1" t="s">
        <v>38</v>
      </c>
      <c r="B22" s="6">
        <v>0</v>
      </c>
      <c r="C22" s="1">
        <v>19686.309343357927</v>
      </c>
      <c r="D22" s="1">
        <v>0</v>
      </c>
      <c r="E22" s="1">
        <v>0</v>
      </c>
      <c r="F22" s="1">
        <v>0</v>
      </c>
      <c r="G22" s="9">
        <f>SUM(KS_FINANCIAL)</f>
        <v>19686.309343357927</v>
      </c>
      <c r="I22" s="13" t="s">
        <v>39</v>
      </c>
      <c r="J22" s="16">
        <v>0</v>
      </c>
      <c r="L22" s="6"/>
      <c r="V22" s="9"/>
    </row>
    <row r="23" spans="1:22">
      <c r="A23" s="1" t="s">
        <v>40</v>
      </c>
      <c r="B23" s="6">
        <v>0</v>
      </c>
      <c r="C23" s="1">
        <v>1135555.2752268394</v>
      </c>
      <c r="D23" s="1">
        <v>0</v>
      </c>
      <c r="E23" s="1">
        <v>0</v>
      </c>
      <c r="F23" s="1">
        <v>0</v>
      </c>
      <c r="G23" s="9">
        <f>SUM(KY_FINANCIAL)</f>
        <v>1135555.2752268394</v>
      </c>
      <c r="I23" s="13" t="s">
        <v>41</v>
      </c>
      <c r="J23" s="16"/>
      <c r="L23" s="6">
        <v>0</v>
      </c>
      <c r="M23" s="1">
        <v>0</v>
      </c>
      <c r="O23" s="1">
        <v>1132915</v>
      </c>
      <c r="P23" s="1">
        <v>0</v>
      </c>
      <c r="R23" s="1">
        <v>0</v>
      </c>
      <c r="S23" s="1">
        <v>0</v>
      </c>
      <c r="U23" s="1">
        <v>0</v>
      </c>
      <c r="V23" s="9">
        <v>0</v>
      </c>
    </row>
    <row r="24" spans="1:22">
      <c r="A24" s="1" t="s">
        <v>42</v>
      </c>
      <c r="B24" s="6">
        <v>0</v>
      </c>
      <c r="C24" s="1">
        <v>7429.4779775317256</v>
      </c>
      <c r="D24" s="1">
        <v>0</v>
      </c>
      <c r="E24" s="1">
        <v>0</v>
      </c>
      <c r="F24" s="1">
        <v>0</v>
      </c>
      <c r="G24" s="9">
        <f>SUM(LA_FINANCIAL)</f>
        <v>7429.4779775317256</v>
      </c>
      <c r="I24" s="13" t="s">
        <v>43</v>
      </c>
      <c r="J24" s="16">
        <v>0</v>
      </c>
      <c r="L24" s="6"/>
      <c r="V24" s="9"/>
    </row>
    <row r="25" spans="1:22">
      <c r="A25" s="1" t="s">
        <v>44</v>
      </c>
      <c r="B25" s="6">
        <v>0</v>
      </c>
      <c r="C25" s="1">
        <v>1341927.8290652942</v>
      </c>
      <c r="D25" s="1">
        <v>0</v>
      </c>
      <c r="E25" s="1">
        <v>0</v>
      </c>
      <c r="F25" s="1">
        <v>0</v>
      </c>
      <c r="G25" s="9">
        <f>SUM(ME_FINANCIAL)</f>
        <v>1341927.8290652942</v>
      </c>
      <c r="I25" s="13"/>
      <c r="J25" s="16"/>
      <c r="L25" s="6">
        <v>0</v>
      </c>
      <c r="M25" s="1">
        <v>0</v>
      </c>
      <c r="O25" s="1">
        <v>1400000</v>
      </c>
      <c r="P25" s="1">
        <v>906</v>
      </c>
      <c r="R25" s="1">
        <v>0</v>
      </c>
      <c r="S25" s="1">
        <v>0</v>
      </c>
      <c r="U25" s="1">
        <v>0</v>
      </c>
      <c r="V25" s="9">
        <v>0</v>
      </c>
    </row>
    <row r="26" spans="1:22">
      <c r="A26" s="1" t="s">
        <v>45</v>
      </c>
      <c r="B26" s="6">
        <v>0</v>
      </c>
      <c r="C26" s="1">
        <v>5836199.1690442432</v>
      </c>
      <c r="D26" s="1">
        <v>0</v>
      </c>
      <c r="E26" s="1">
        <v>0</v>
      </c>
      <c r="F26" s="1">
        <v>0</v>
      </c>
      <c r="G26" s="9">
        <f>SUM(MD_FINANCIAL)</f>
        <v>5836199.1690442432</v>
      </c>
      <c r="I26" s="13" t="s">
        <v>46</v>
      </c>
      <c r="J26" s="16">
        <f>SUM(ADD_FINANCIAL)-SUM(LESS_FINANCIAL)</f>
        <v>801859656.73644018</v>
      </c>
      <c r="L26" s="6">
        <v>0</v>
      </c>
      <c r="M26" s="1">
        <v>0</v>
      </c>
      <c r="O26" s="1">
        <v>7530000</v>
      </c>
      <c r="P26" s="1">
        <v>0</v>
      </c>
      <c r="R26" s="1">
        <v>0</v>
      </c>
      <c r="S26" s="1">
        <v>0</v>
      </c>
      <c r="U26" s="1">
        <v>0</v>
      </c>
      <c r="V26" s="9">
        <v>0</v>
      </c>
    </row>
    <row r="27" spans="1:22">
      <c r="A27" s="1" t="s">
        <v>47</v>
      </c>
      <c r="B27" s="6">
        <v>0</v>
      </c>
      <c r="C27" s="1">
        <v>66419.10175918843</v>
      </c>
      <c r="D27" s="1">
        <v>0</v>
      </c>
      <c r="E27" s="1">
        <v>0</v>
      </c>
      <c r="F27" s="1">
        <v>0</v>
      </c>
      <c r="G27" s="9">
        <f>SUM(MA_FINANCIAL)</f>
        <v>66419.10175918843</v>
      </c>
      <c r="I27" s="13" t="s">
        <v>48</v>
      </c>
      <c r="J27" s="16">
        <f>SUM(ALL_BLOCKS)</f>
        <v>801859656.73644018</v>
      </c>
      <c r="L27" s="6"/>
      <c r="V27" s="9"/>
    </row>
    <row r="28" spans="1:22">
      <c r="A28" s="1" t="s">
        <v>49</v>
      </c>
      <c r="B28" s="6">
        <v>0</v>
      </c>
      <c r="C28" s="1">
        <v>12479567.758423336</v>
      </c>
      <c r="D28" s="1">
        <v>0</v>
      </c>
      <c r="E28" s="1">
        <v>0</v>
      </c>
      <c r="F28" s="1">
        <v>0</v>
      </c>
      <c r="G28" s="9">
        <f>SUM(MI_FINANCIAL)</f>
        <v>12479567.758423336</v>
      </c>
      <c r="I28" s="14"/>
      <c r="J28" s="17"/>
      <c r="L28" s="6">
        <v>0</v>
      </c>
      <c r="M28" s="1">
        <v>0</v>
      </c>
      <c r="O28" s="1">
        <v>8998201</v>
      </c>
      <c r="P28" s="1">
        <v>0</v>
      </c>
      <c r="R28" s="1">
        <v>0</v>
      </c>
      <c r="S28" s="1">
        <v>0</v>
      </c>
      <c r="U28" s="1">
        <v>0</v>
      </c>
      <c r="V28" s="9">
        <v>0</v>
      </c>
    </row>
    <row r="29" spans="1:22">
      <c r="A29" s="1" t="s">
        <v>50</v>
      </c>
      <c r="B29" s="6">
        <v>0</v>
      </c>
      <c r="C29" s="1">
        <v>4028909.0985589758</v>
      </c>
      <c r="D29" s="1">
        <v>0</v>
      </c>
      <c r="E29" s="1">
        <v>0</v>
      </c>
      <c r="F29" s="1">
        <v>0</v>
      </c>
      <c r="G29" s="9">
        <f>SUM(MN_FINANCIAL)</f>
        <v>4028909.0985589758</v>
      </c>
      <c r="L29" s="6"/>
      <c r="V29" s="9"/>
    </row>
    <row r="30" spans="1:22">
      <c r="A30" s="1" t="s">
        <v>51</v>
      </c>
      <c r="B30" s="6">
        <v>0</v>
      </c>
      <c r="C30" s="1">
        <v>662959.14359213831</v>
      </c>
      <c r="D30" s="1">
        <v>0</v>
      </c>
      <c r="E30" s="1">
        <v>0</v>
      </c>
      <c r="F30" s="1">
        <v>0</v>
      </c>
      <c r="G30" s="9">
        <f>SUM(MS_FINANCIAL)</f>
        <v>662959.14359213831</v>
      </c>
      <c r="L30" s="6"/>
      <c r="V30" s="9"/>
    </row>
    <row r="31" spans="1:22">
      <c r="A31" s="1" t="s">
        <v>52</v>
      </c>
      <c r="B31" s="6">
        <v>0</v>
      </c>
      <c r="C31" s="1">
        <v>25450.663316414753</v>
      </c>
      <c r="D31" s="1">
        <v>0</v>
      </c>
      <c r="E31" s="1">
        <v>0</v>
      </c>
      <c r="F31" s="1">
        <v>0</v>
      </c>
      <c r="G31" s="9">
        <f>SUM(MO_FINANCIAL)</f>
        <v>25450.663316414753</v>
      </c>
      <c r="L31" s="6"/>
      <c r="V31" s="9"/>
    </row>
    <row r="32" spans="1:22">
      <c r="A32" s="1" t="s">
        <v>53</v>
      </c>
      <c r="B32" s="6">
        <v>0</v>
      </c>
      <c r="C32" s="1">
        <v>785212.00094089587</v>
      </c>
      <c r="D32" s="1">
        <v>0</v>
      </c>
      <c r="E32" s="1">
        <v>0</v>
      </c>
      <c r="F32" s="1">
        <v>0</v>
      </c>
      <c r="G32" s="9">
        <f>SUM(MT_FINANCIAL)</f>
        <v>785212.00094089587</v>
      </c>
      <c r="L32" s="6"/>
      <c r="V32" s="9"/>
    </row>
    <row r="33" spans="1:22">
      <c r="A33" s="1" t="s">
        <v>54</v>
      </c>
      <c r="B33" s="6">
        <v>0</v>
      </c>
      <c r="C33" s="1">
        <v>579476.12675357307</v>
      </c>
      <c r="D33" s="1">
        <v>0</v>
      </c>
      <c r="E33" s="1">
        <v>0</v>
      </c>
      <c r="F33" s="1">
        <v>0</v>
      </c>
      <c r="G33" s="9">
        <f>SUM(NE_FINANCIAL)</f>
        <v>579476.12675357307</v>
      </c>
      <c r="L33" s="6">
        <v>0</v>
      </c>
      <c r="M33" s="1">
        <v>0</v>
      </c>
      <c r="O33" s="1">
        <v>275000</v>
      </c>
      <c r="P33" s="1">
        <v>0</v>
      </c>
      <c r="R33" s="1">
        <v>0</v>
      </c>
      <c r="S33" s="1">
        <v>0</v>
      </c>
      <c r="U33" s="1">
        <v>0</v>
      </c>
      <c r="V33" s="9">
        <v>0</v>
      </c>
    </row>
    <row r="34" spans="1:22">
      <c r="A34" s="1" t="s">
        <v>55</v>
      </c>
      <c r="B34" s="6">
        <v>0</v>
      </c>
      <c r="C34" s="1">
        <v>283678.9602049074</v>
      </c>
      <c r="D34" s="1">
        <v>0</v>
      </c>
      <c r="E34" s="1">
        <v>0</v>
      </c>
      <c r="F34" s="1">
        <v>0</v>
      </c>
      <c r="G34" s="9">
        <f>SUM(NV_FINANCIAL)</f>
        <v>283678.9602049074</v>
      </c>
      <c r="L34" s="6"/>
      <c r="V34" s="9"/>
    </row>
    <row r="35" spans="1:22">
      <c r="A35" s="1" t="s">
        <v>56</v>
      </c>
      <c r="B35" s="6">
        <v>0</v>
      </c>
      <c r="C35" s="1">
        <v>1874590.3152189655</v>
      </c>
      <c r="D35" s="1">
        <v>0</v>
      </c>
      <c r="E35" s="1">
        <v>0</v>
      </c>
      <c r="F35" s="1">
        <v>0</v>
      </c>
      <c r="G35" s="9">
        <f>SUM(NH_FINANCIAL)</f>
        <v>1874590.3152189655</v>
      </c>
      <c r="L35" s="6">
        <v>0</v>
      </c>
      <c r="M35" s="1">
        <v>0</v>
      </c>
      <c r="O35" s="1">
        <v>2049993</v>
      </c>
      <c r="P35" s="1">
        <v>0</v>
      </c>
      <c r="R35" s="1">
        <v>0</v>
      </c>
      <c r="S35" s="1">
        <v>0</v>
      </c>
      <c r="U35" s="1">
        <v>0</v>
      </c>
      <c r="V35" s="9">
        <v>0</v>
      </c>
    </row>
    <row r="36" spans="1:22">
      <c r="A36" s="1" t="s">
        <v>57</v>
      </c>
      <c r="B36" s="6">
        <v>0</v>
      </c>
      <c r="C36" s="1">
        <v>55882696.267626844</v>
      </c>
      <c r="D36" s="1">
        <v>0</v>
      </c>
      <c r="E36" s="1">
        <v>0</v>
      </c>
      <c r="F36" s="1">
        <v>0</v>
      </c>
      <c r="G36" s="9">
        <f>SUM(NJ_FINANCIAL)</f>
        <v>55882696.267626844</v>
      </c>
      <c r="L36" s="6">
        <v>0</v>
      </c>
      <c r="M36" s="1">
        <v>0</v>
      </c>
      <c r="O36" s="1">
        <v>63000000</v>
      </c>
      <c r="P36" s="1">
        <v>6500000</v>
      </c>
      <c r="R36" s="1">
        <v>0</v>
      </c>
      <c r="S36" s="1">
        <v>0</v>
      </c>
      <c r="U36" s="1">
        <v>0</v>
      </c>
      <c r="V36" s="9">
        <v>0</v>
      </c>
    </row>
    <row r="37" spans="1:22">
      <c r="A37" s="1" t="s">
        <v>58</v>
      </c>
      <c r="B37" s="6">
        <v>0</v>
      </c>
      <c r="C37" s="1">
        <v>376972.28106557485</v>
      </c>
      <c r="D37" s="1">
        <v>0</v>
      </c>
      <c r="E37" s="1">
        <v>0</v>
      </c>
      <c r="F37" s="1">
        <v>0</v>
      </c>
      <c r="G37" s="9">
        <f>SUM(NM_FINANCIAL)</f>
        <v>376972.28106557485</v>
      </c>
      <c r="L37" s="6">
        <v>0</v>
      </c>
      <c r="M37" s="1">
        <v>0</v>
      </c>
      <c r="O37" s="1">
        <v>499991</v>
      </c>
      <c r="P37" s="1">
        <v>0</v>
      </c>
      <c r="R37" s="1">
        <v>0</v>
      </c>
      <c r="S37" s="1">
        <v>0</v>
      </c>
      <c r="U37" s="1">
        <v>0</v>
      </c>
      <c r="V37" s="9">
        <v>0</v>
      </c>
    </row>
    <row r="38" spans="1:22">
      <c r="A38" s="1" t="s">
        <v>59</v>
      </c>
      <c r="B38" s="6">
        <v>0</v>
      </c>
      <c r="C38" s="1">
        <v>537970827.55575466</v>
      </c>
      <c r="D38" s="1">
        <v>0</v>
      </c>
      <c r="E38" s="1">
        <v>0</v>
      </c>
      <c r="F38" s="1">
        <v>0</v>
      </c>
      <c r="G38" s="9">
        <f>SUM(NY_FINANCIAL)</f>
        <v>537970827.55575466</v>
      </c>
      <c r="L38" s="6">
        <v>556478179</v>
      </c>
      <c r="M38" s="1">
        <v>0</v>
      </c>
      <c r="O38" s="1">
        <v>0</v>
      </c>
      <c r="P38" s="1">
        <v>0</v>
      </c>
      <c r="R38" s="1">
        <v>0</v>
      </c>
      <c r="S38" s="1">
        <v>0</v>
      </c>
      <c r="U38" s="1">
        <v>0</v>
      </c>
      <c r="V38" s="9">
        <v>0</v>
      </c>
    </row>
    <row r="39" spans="1:22">
      <c r="A39" s="1" t="s">
        <v>60</v>
      </c>
      <c r="B39" s="6">
        <v>0</v>
      </c>
      <c r="C39" s="1">
        <v>19856462.973592471</v>
      </c>
      <c r="D39" s="1">
        <v>0</v>
      </c>
      <c r="E39" s="1">
        <v>0</v>
      </c>
      <c r="F39" s="1">
        <v>0</v>
      </c>
      <c r="G39" s="9">
        <f>SUM(NC_FINANCIAL)</f>
        <v>19856462.973592471</v>
      </c>
      <c r="L39" s="6">
        <v>0</v>
      </c>
      <c r="M39" s="1">
        <v>0</v>
      </c>
      <c r="O39" s="1">
        <v>20000000</v>
      </c>
      <c r="P39" s="1">
        <v>0</v>
      </c>
      <c r="R39" s="1">
        <v>0</v>
      </c>
      <c r="S39" s="1">
        <v>0</v>
      </c>
      <c r="U39" s="1">
        <v>0</v>
      </c>
      <c r="V39" s="9">
        <v>0</v>
      </c>
    </row>
    <row r="40" spans="1:22">
      <c r="A40" s="1" t="s">
        <v>61</v>
      </c>
      <c r="B40" s="6">
        <v>0</v>
      </c>
      <c r="C40" s="1">
        <v>2468.5100000000002</v>
      </c>
      <c r="D40" s="1">
        <v>0</v>
      </c>
      <c r="E40" s="1">
        <v>0</v>
      </c>
      <c r="F40" s="1">
        <v>0</v>
      </c>
      <c r="G40" s="9">
        <f>SUM(ND_FINANCIAL)</f>
        <v>2468.5100000000002</v>
      </c>
      <c r="L40" s="6"/>
      <c r="V40" s="9"/>
    </row>
    <row r="41" spans="1:22">
      <c r="A41" s="1" t="s">
        <v>62</v>
      </c>
      <c r="B41" s="6">
        <v>0</v>
      </c>
      <c r="C41" s="1">
        <v>5090773.1191857867</v>
      </c>
      <c r="D41" s="1">
        <v>0</v>
      </c>
      <c r="E41" s="1">
        <v>0</v>
      </c>
      <c r="F41" s="1">
        <v>0</v>
      </c>
      <c r="G41" s="9">
        <f>SUM(OH_FINANCIAL)</f>
        <v>5090773.1191857867</v>
      </c>
      <c r="L41" s="6">
        <v>0</v>
      </c>
      <c r="M41" s="1">
        <v>0</v>
      </c>
      <c r="O41" s="1">
        <v>5800000</v>
      </c>
      <c r="P41" s="1">
        <v>0</v>
      </c>
      <c r="R41" s="1">
        <v>0</v>
      </c>
      <c r="S41" s="1">
        <v>0</v>
      </c>
      <c r="U41" s="1">
        <v>0</v>
      </c>
      <c r="V41" s="9">
        <v>0</v>
      </c>
    </row>
    <row r="42" spans="1:22">
      <c r="A42" s="1" t="s">
        <v>63</v>
      </c>
      <c r="B42" s="6">
        <v>0</v>
      </c>
      <c r="C42" s="1">
        <v>269474.40169923898</v>
      </c>
      <c r="D42" s="1">
        <v>0</v>
      </c>
      <c r="E42" s="1">
        <v>0</v>
      </c>
      <c r="F42" s="1">
        <v>0</v>
      </c>
      <c r="G42" s="9">
        <f>SUM(OK_FINANCIAL)</f>
        <v>269474.40169923898</v>
      </c>
      <c r="L42" s="6">
        <v>0</v>
      </c>
      <c r="M42" s="1">
        <v>0</v>
      </c>
      <c r="O42" s="1">
        <v>200000</v>
      </c>
      <c r="P42" s="1">
        <v>0</v>
      </c>
      <c r="R42" s="1">
        <v>0</v>
      </c>
      <c r="S42" s="1">
        <v>0</v>
      </c>
      <c r="U42" s="1">
        <v>0</v>
      </c>
      <c r="V42" s="9">
        <v>0</v>
      </c>
    </row>
    <row r="43" spans="1:22">
      <c r="A43" s="1" t="s">
        <v>64</v>
      </c>
      <c r="B43" s="6">
        <v>0</v>
      </c>
      <c r="C43" s="1">
        <v>37908.929663322015</v>
      </c>
      <c r="D43" s="1">
        <v>0</v>
      </c>
      <c r="E43" s="1">
        <v>0</v>
      </c>
      <c r="F43" s="1">
        <v>0</v>
      </c>
      <c r="G43" s="9">
        <f>SUM(OR_FINANCIAL)</f>
        <v>37908.929663322015</v>
      </c>
      <c r="L43" s="6"/>
      <c r="V43" s="9"/>
    </row>
    <row r="44" spans="1:22">
      <c r="A44" s="1" t="s">
        <v>65</v>
      </c>
      <c r="B44" s="6">
        <v>0</v>
      </c>
      <c r="C44" s="1">
        <v>45305320.181837142</v>
      </c>
      <c r="D44" s="1">
        <v>0</v>
      </c>
      <c r="E44" s="1">
        <v>0</v>
      </c>
      <c r="F44" s="1">
        <v>0</v>
      </c>
      <c r="G44" s="9">
        <f>SUM(PA_FINANCIAL)</f>
        <v>45305320.181837142</v>
      </c>
      <c r="L44" s="6">
        <v>0</v>
      </c>
      <c r="M44" s="1">
        <v>0</v>
      </c>
      <c r="O44" s="1">
        <v>1714000</v>
      </c>
      <c r="P44" s="1">
        <v>0</v>
      </c>
      <c r="R44" s="1">
        <v>0</v>
      </c>
      <c r="S44" s="1">
        <v>0</v>
      </c>
      <c r="U44" s="1">
        <v>0</v>
      </c>
      <c r="V44" s="9">
        <v>0</v>
      </c>
    </row>
    <row r="45" spans="1:22">
      <c r="A45" s="1" t="s">
        <v>66</v>
      </c>
      <c r="B45" s="6">
        <v>0</v>
      </c>
      <c r="C45" s="1">
        <v>48703.951362923312</v>
      </c>
      <c r="D45" s="1">
        <v>0</v>
      </c>
      <c r="E45" s="1">
        <v>0</v>
      </c>
      <c r="F45" s="1">
        <v>0</v>
      </c>
      <c r="G45" s="9">
        <f>SUM(PR_FINANCIAL)</f>
        <v>48703.951362923312</v>
      </c>
      <c r="L45" s="6"/>
      <c r="V45" s="9"/>
    </row>
    <row r="46" spans="1:22">
      <c r="A46" s="1" t="s">
        <v>67</v>
      </c>
      <c r="B46" s="6">
        <v>0</v>
      </c>
      <c r="C46" s="1">
        <v>4664410.2225790117</v>
      </c>
      <c r="D46" s="1">
        <v>0</v>
      </c>
      <c r="E46" s="1">
        <v>0</v>
      </c>
      <c r="F46" s="1">
        <v>0</v>
      </c>
      <c r="G46" s="9">
        <f>SUM(RI_FINANCIAL)</f>
        <v>4664410.2225790117</v>
      </c>
      <c r="L46" s="6">
        <v>0</v>
      </c>
      <c r="M46" s="1">
        <v>0</v>
      </c>
      <c r="O46" s="1">
        <v>4500536</v>
      </c>
      <c r="P46" s="1">
        <v>0</v>
      </c>
      <c r="R46" s="1">
        <v>0</v>
      </c>
      <c r="S46" s="1">
        <v>0</v>
      </c>
      <c r="U46" s="1">
        <v>0</v>
      </c>
      <c r="V46" s="9">
        <v>0</v>
      </c>
    </row>
    <row r="47" spans="1:22">
      <c r="A47" s="1" t="s">
        <v>68</v>
      </c>
      <c r="B47" s="6">
        <v>0</v>
      </c>
      <c r="C47" s="1">
        <v>976007.89523986541</v>
      </c>
      <c r="D47" s="1">
        <v>0</v>
      </c>
      <c r="E47" s="1">
        <v>0</v>
      </c>
      <c r="F47" s="1">
        <v>0</v>
      </c>
      <c r="G47" s="9">
        <f>SUM(SC_FINANCIAL)</f>
        <v>976007.89523986541</v>
      </c>
      <c r="L47" s="6">
        <v>0</v>
      </c>
      <c r="M47" s="1">
        <v>0</v>
      </c>
      <c r="O47" s="1">
        <v>1000000</v>
      </c>
      <c r="P47" s="1">
        <v>0</v>
      </c>
      <c r="R47" s="1">
        <v>0</v>
      </c>
      <c r="S47" s="1">
        <v>0</v>
      </c>
      <c r="U47" s="1">
        <v>0</v>
      </c>
      <c r="V47" s="9">
        <v>0</v>
      </c>
    </row>
    <row r="48" spans="1:22">
      <c r="A48" s="1" t="s">
        <v>69</v>
      </c>
      <c r="B48" s="6">
        <v>0</v>
      </c>
      <c r="C48" s="1">
        <v>828388.92936768045</v>
      </c>
      <c r="D48" s="1">
        <v>0</v>
      </c>
      <c r="E48" s="1">
        <v>0</v>
      </c>
      <c r="F48" s="1">
        <v>0</v>
      </c>
      <c r="G48" s="9">
        <f>SUM(SD_FINANCIAL)</f>
        <v>828388.92936768045</v>
      </c>
      <c r="L48" s="6">
        <v>0</v>
      </c>
      <c r="M48" s="1">
        <v>0</v>
      </c>
      <c r="O48" s="1">
        <v>910000</v>
      </c>
      <c r="P48" s="1">
        <v>0</v>
      </c>
      <c r="R48" s="1">
        <v>0</v>
      </c>
      <c r="S48" s="1">
        <v>0</v>
      </c>
      <c r="U48" s="1">
        <v>0</v>
      </c>
      <c r="V48" s="9">
        <v>0</v>
      </c>
    </row>
    <row r="49" spans="1:22">
      <c r="A49" s="1" t="s">
        <v>70</v>
      </c>
      <c r="B49" s="6">
        <v>0</v>
      </c>
      <c r="C49" s="1">
        <v>1695583.988745257</v>
      </c>
      <c r="D49" s="1">
        <v>0</v>
      </c>
      <c r="E49" s="1">
        <v>0</v>
      </c>
      <c r="F49" s="1">
        <v>0</v>
      </c>
      <c r="G49" s="9">
        <f>SUM(TN_FINANCIAL)</f>
        <v>1695583.988745257</v>
      </c>
      <c r="L49" s="6"/>
      <c r="V49" s="9"/>
    </row>
    <row r="50" spans="1:22">
      <c r="A50" s="1" t="s">
        <v>71</v>
      </c>
      <c r="B50" s="6">
        <v>0</v>
      </c>
      <c r="C50" s="1">
        <v>261971.64994985829</v>
      </c>
      <c r="D50" s="1">
        <v>0</v>
      </c>
      <c r="E50" s="1">
        <v>0</v>
      </c>
      <c r="F50" s="1">
        <v>0</v>
      </c>
      <c r="G50" s="9">
        <f>SUM(TX_FINANCIAL)</f>
        <v>261971.64994985829</v>
      </c>
      <c r="L50" s="6"/>
      <c r="V50" s="9"/>
    </row>
    <row r="51" spans="1:22">
      <c r="A51" s="1" t="s">
        <v>72</v>
      </c>
      <c r="B51" s="6">
        <v>0</v>
      </c>
      <c r="C51" s="1">
        <v>715657.1658459492</v>
      </c>
      <c r="D51" s="1">
        <v>0</v>
      </c>
      <c r="E51" s="1">
        <v>0</v>
      </c>
      <c r="F51" s="1">
        <v>0</v>
      </c>
      <c r="G51" s="9">
        <f>SUM(UT_FINANCIAL)</f>
        <v>715657.1658459492</v>
      </c>
      <c r="L51" s="6">
        <v>0</v>
      </c>
      <c r="M51" s="1">
        <v>0</v>
      </c>
      <c r="O51" s="1">
        <v>749937</v>
      </c>
      <c r="P51" s="1">
        <v>0</v>
      </c>
      <c r="R51" s="1">
        <v>0</v>
      </c>
      <c r="S51" s="1">
        <v>0</v>
      </c>
      <c r="U51" s="1">
        <v>0</v>
      </c>
      <c r="V51" s="9">
        <v>0</v>
      </c>
    </row>
    <row r="52" spans="1:22">
      <c r="A52" s="1" t="s">
        <v>73</v>
      </c>
      <c r="B52" s="6">
        <v>0</v>
      </c>
      <c r="C52" s="1">
        <v>960733.90013028344</v>
      </c>
      <c r="D52" s="1">
        <v>0</v>
      </c>
      <c r="E52" s="1">
        <v>0</v>
      </c>
      <c r="F52" s="1">
        <v>0</v>
      </c>
      <c r="G52" s="9">
        <f>SUM(VT_FINANCIAL)</f>
        <v>960733.90013028344</v>
      </c>
      <c r="L52" s="6">
        <v>0</v>
      </c>
      <c r="M52" s="1">
        <v>0</v>
      </c>
      <c r="O52" s="1">
        <v>800000</v>
      </c>
      <c r="P52" s="1">
        <v>0</v>
      </c>
      <c r="R52" s="1">
        <v>0</v>
      </c>
      <c r="S52" s="1">
        <v>0</v>
      </c>
      <c r="U52" s="1">
        <v>0</v>
      </c>
      <c r="V52" s="9">
        <v>0</v>
      </c>
    </row>
    <row r="53" spans="1:22">
      <c r="A53" s="1" t="s">
        <v>74</v>
      </c>
      <c r="B53" s="6">
        <v>0</v>
      </c>
      <c r="C53" s="1">
        <v>2675864.606143611</v>
      </c>
      <c r="D53" s="1">
        <v>0</v>
      </c>
      <c r="E53" s="1">
        <v>0</v>
      </c>
      <c r="F53" s="1">
        <v>0</v>
      </c>
      <c r="G53" s="9">
        <f>SUM(VA_FINANCIAL)</f>
        <v>2675864.606143611</v>
      </c>
      <c r="L53" s="6">
        <v>0</v>
      </c>
      <c r="M53" s="1">
        <v>0</v>
      </c>
      <c r="O53" s="1">
        <v>3000000</v>
      </c>
      <c r="P53" s="1">
        <v>0</v>
      </c>
      <c r="R53" s="1">
        <v>0</v>
      </c>
      <c r="S53" s="1">
        <v>0</v>
      </c>
      <c r="U53" s="1">
        <v>0</v>
      </c>
      <c r="V53" s="9">
        <v>0</v>
      </c>
    </row>
    <row r="54" spans="1:22">
      <c r="A54" s="1" t="s">
        <v>75</v>
      </c>
      <c r="B54" s="6">
        <v>0</v>
      </c>
      <c r="C54" s="1">
        <v>5340509.8100646436</v>
      </c>
      <c r="D54" s="1">
        <v>0</v>
      </c>
      <c r="E54" s="1">
        <v>0</v>
      </c>
      <c r="F54" s="1">
        <v>0</v>
      </c>
      <c r="G54" s="9">
        <f>SUM(WA_FINANCIAL)</f>
        <v>5340509.8100646436</v>
      </c>
      <c r="L54" s="6"/>
      <c r="V54" s="9"/>
    </row>
    <row r="55" spans="1:22">
      <c r="A55" s="1" t="s">
        <v>76</v>
      </c>
      <c r="B55" s="6">
        <v>0</v>
      </c>
      <c r="C55" s="1">
        <v>2035792.6577130139</v>
      </c>
      <c r="D55" s="1">
        <v>0</v>
      </c>
      <c r="E55" s="1">
        <v>0</v>
      </c>
      <c r="F55" s="1">
        <v>0</v>
      </c>
      <c r="G55" s="9">
        <f>SUM(WV_FINANCIAL)</f>
        <v>2035792.6577130139</v>
      </c>
      <c r="L55" s="6">
        <v>0</v>
      </c>
      <c r="M55" s="1">
        <v>0</v>
      </c>
      <c r="O55" s="1">
        <v>2500000</v>
      </c>
      <c r="P55" s="1">
        <v>0</v>
      </c>
      <c r="R55" s="1">
        <v>0</v>
      </c>
      <c r="S55" s="1">
        <v>0</v>
      </c>
      <c r="U55" s="1">
        <v>0</v>
      </c>
      <c r="V55" s="9">
        <v>0</v>
      </c>
    </row>
    <row r="56" spans="1:22">
      <c r="A56" s="1" t="s">
        <v>77</v>
      </c>
      <c r="B56" s="6">
        <v>0</v>
      </c>
      <c r="C56" s="1">
        <v>108497.05277777466</v>
      </c>
      <c r="D56" s="1">
        <v>0</v>
      </c>
      <c r="E56" s="1">
        <v>0</v>
      </c>
      <c r="F56" s="1">
        <v>0</v>
      </c>
      <c r="G56" s="9">
        <f>SUM(WI_FINANCIAL)</f>
        <v>108497.05277777466</v>
      </c>
      <c r="L56" s="6"/>
      <c r="V56" s="9"/>
    </row>
    <row r="57" spans="1:22">
      <c r="A57" s="1" t="s">
        <v>78</v>
      </c>
      <c r="B57" s="6">
        <v>0</v>
      </c>
      <c r="C57" s="1">
        <v>389801.81975850457</v>
      </c>
      <c r="D57" s="1">
        <v>0</v>
      </c>
      <c r="E57" s="1">
        <v>0</v>
      </c>
      <c r="F57" s="1">
        <v>0</v>
      </c>
      <c r="G57" s="9">
        <f>SUM(WY_FINANCIAL)</f>
        <v>389801.81975850457</v>
      </c>
      <c r="L57" s="6">
        <v>0</v>
      </c>
      <c r="M57" s="1">
        <v>0</v>
      </c>
      <c r="O57" s="1">
        <v>96000</v>
      </c>
      <c r="P57" s="1">
        <v>0</v>
      </c>
      <c r="R57" s="1">
        <v>0</v>
      </c>
      <c r="S57" s="1">
        <v>0</v>
      </c>
      <c r="U57" s="1">
        <v>0</v>
      </c>
      <c r="V57" s="9">
        <v>0</v>
      </c>
    </row>
    <row r="58" spans="1:22">
      <c r="A58" s="1" t="s">
        <v>79</v>
      </c>
      <c r="B58" s="6">
        <v>0</v>
      </c>
      <c r="C58" s="1">
        <v>0</v>
      </c>
      <c r="D58" s="1">
        <v>0</v>
      </c>
      <c r="E58" s="1">
        <v>0</v>
      </c>
      <c r="F58" s="1">
        <v>0</v>
      </c>
      <c r="G58" s="9">
        <f>SUM(OT_FINANCIAL)</f>
        <v>0</v>
      </c>
      <c r="L58" s="6"/>
      <c r="V58" s="9"/>
    </row>
    <row r="59" spans="1:22">
      <c r="B59" s="6"/>
      <c r="G59" s="9"/>
      <c r="L59" s="6"/>
      <c r="V59" s="9"/>
    </row>
    <row r="60" spans="1:22">
      <c r="A60" s="1" t="s">
        <v>8</v>
      </c>
      <c r="B60" s="6">
        <f>SUM(LIFE)</f>
        <v>0</v>
      </c>
      <c r="C60" s="1">
        <f>SUM(ALLOCATED)</f>
        <v>801859656.73644018</v>
      </c>
      <c r="D60" s="1">
        <f>SUM(HEALTH)</f>
        <v>0</v>
      </c>
      <c r="E60" s="1">
        <f>SUM(UNALLOCATED)</f>
        <v>0</v>
      </c>
      <c r="F60" s="1">
        <f>SUM(LTC)</f>
        <v>0</v>
      </c>
      <c r="G60" s="9">
        <f>SUM(ALL_BLOCKS)</f>
        <v>801859656.73644018</v>
      </c>
      <c r="L60" s="6">
        <f>SUM(LIFE_CALLED)</f>
        <v>556478179</v>
      </c>
      <c r="M60" s="1">
        <f>SUM(LIFE_REFUNDED)</f>
        <v>0</v>
      </c>
      <c r="O60" s="1">
        <f>SUM(ALLOC_CALLED)</f>
        <v>198631919</v>
      </c>
      <c r="P60" s="1">
        <f>SUM(ALLOC_REFUNDED)</f>
        <v>6500906</v>
      </c>
      <c r="R60" s="1">
        <f>SUM(HEALTH_CALLED)</f>
        <v>0</v>
      </c>
      <c r="S60" s="1">
        <f>SUM(HEALTH_REFUNDED)</f>
        <v>0</v>
      </c>
      <c r="U60" s="1">
        <f>SUM(UNALLOC_CALLED)</f>
        <v>0</v>
      </c>
      <c r="V60" s="9">
        <f>SUM(UNALLOC_REFUNDED)</f>
        <v>0</v>
      </c>
    </row>
    <row r="61" spans="1:22" ht="5.0999999999999996" customHeight="1">
      <c r="B61" s="6"/>
      <c r="G61" s="9"/>
      <c r="L61" s="6"/>
      <c r="V61" s="9"/>
    </row>
    <row r="62" spans="1:22">
      <c r="B62" s="6"/>
      <c r="G62" s="9"/>
      <c r="L62" s="78" t="s">
        <v>80</v>
      </c>
      <c r="M62" s="79"/>
      <c r="N62" s="79"/>
      <c r="O62" s="79"/>
      <c r="P62" s="79"/>
      <c r="Q62" s="79"/>
      <c r="R62" s="79"/>
      <c r="S62" s="79"/>
      <c r="T62" s="79"/>
      <c r="U62" s="79"/>
      <c r="V62" s="80"/>
    </row>
    <row r="63" spans="1:22">
      <c r="B63" s="6"/>
      <c r="G63" s="9"/>
      <c r="L63" s="81"/>
      <c r="M63" s="79"/>
      <c r="N63" s="79"/>
      <c r="O63" s="79"/>
      <c r="P63" s="79"/>
      <c r="Q63" s="79"/>
      <c r="R63" s="79"/>
      <c r="S63" s="79"/>
      <c r="T63" s="79"/>
      <c r="U63" s="79"/>
      <c r="V63" s="80"/>
    </row>
    <row r="64" spans="1:22">
      <c r="B64" s="8"/>
      <c r="C64" s="5"/>
      <c r="D64" s="5"/>
      <c r="E64" s="5"/>
      <c r="F64" s="5"/>
      <c r="G64" s="11"/>
      <c r="L64" s="82"/>
      <c r="M64" s="83"/>
      <c r="N64" s="83"/>
      <c r="O64" s="83"/>
      <c r="P64" s="83"/>
      <c r="Q64" s="83"/>
      <c r="R64" s="83"/>
      <c r="S64" s="83"/>
      <c r="T64" s="83"/>
      <c r="U64" s="83"/>
      <c r="V64" s="84"/>
    </row>
  </sheetData>
  <mergeCells count="8">
    <mergeCell ref="L62:V64"/>
    <mergeCell ref="A1:G1"/>
    <mergeCell ref="B3:G3"/>
    <mergeCell ref="L3:V3"/>
    <mergeCell ref="L4:M4"/>
    <mergeCell ref="O4:P4"/>
    <mergeCell ref="R4:S4"/>
    <mergeCell ref="U4:V4"/>
  </mergeCells>
  <pageMargins left="0" right="0" top="0" bottom="0" header="0" footer="0"/>
  <pageSetup scale="48"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V64"/>
  <sheetViews>
    <sheetView zoomScale="75" workbookViewId="0">
      <selection sqref="A1:G1"/>
    </sheetView>
  </sheetViews>
  <sheetFormatPr defaultColWidth="9.109375" defaultRowHeight="14.4"/>
  <cols>
    <col min="1" max="1" width="20" style="1" customWidth="1"/>
    <col min="2" max="7" width="15" style="1" customWidth="1"/>
    <col min="8" max="8" width="1" style="1" customWidth="1"/>
    <col min="9" max="9" width="30" style="1" customWidth="1"/>
    <col min="10" max="10" width="15" style="1" customWidth="1"/>
    <col min="11" max="11" width="1" style="1" customWidth="1"/>
    <col min="12" max="13" width="15" style="1" customWidth="1"/>
    <col min="14" max="14" width="1" style="1" customWidth="1"/>
    <col min="15" max="16" width="15" style="1" customWidth="1"/>
    <col min="17" max="17" width="1" style="1" customWidth="1"/>
    <col min="18" max="19" width="15" style="1" customWidth="1"/>
    <col min="20" max="20" width="1" style="1" customWidth="1"/>
    <col min="21" max="22" width="15" style="1" customWidth="1"/>
    <col min="23" max="23" width="9.109375" style="1" customWidth="1"/>
    <col min="24" max="16384" width="9.109375" style="1"/>
  </cols>
  <sheetData>
    <row r="1" spans="1:22">
      <c r="A1" s="85" t="s">
        <v>115</v>
      </c>
      <c r="B1" s="79"/>
      <c r="C1" s="79"/>
      <c r="D1" s="79"/>
      <c r="E1" s="79"/>
      <c r="F1" s="79"/>
      <c r="G1" s="79"/>
    </row>
    <row r="3" spans="1:22">
      <c r="B3" s="86" t="s">
        <v>1</v>
      </c>
      <c r="C3" s="87"/>
      <c r="D3" s="87"/>
      <c r="E3" s="87"/>
      <c r="F3" s="87"/>
      <c r="G3" s="88"/>
      <c r="L3" s="89" t="s">
        <v>2</v>
      </c>
      <c r="M3" s="90"/>
      <c r="N3" s="90"/>
      <c r="O3" s="90"/>
      <c r="P3" s="90"/>
      <c r="Q3" s="90"/>
      <c r="R3" s="90"/>
      <c r="S3" s="90"/>
      <c r="T3" s="90"/>
      <c r="U3" s="90"/>
      <c r="V3" s="91"/>
    </row>
    <row r="4" spans="1:22">
      <c r="B4" s="6"/>
      <c r="G4" s="9"/>
      <c r="L4" s="92" t="s">
        <v>3</v>
      </c>
      <c r="M4" s="93"/>
      <c r="N4" s="3"/>
      <c r="O4" s="94" t="s">
        <v>4</v>
      </c>
      <c r="P4" s="93"/>
      <c r="Q4" s="3"/>
      <c r="R4" s="94" t="s">
        <v>5</v>
      </c>
      <c r="S4" s="93"/>
      <c r="T4" s="3"/>
      <c r="U4" s="94" t="s">
        <v>6</v>
      </c>
      <c r="V4" s="95"/>
    </row>
    <row r="5" spans="1:22" ht="60" customHeight="1">
      <c r="B5" s="7" t="s">
        <v>3</v>
      </c>
      <c r="C5" s="4" t="s">
        <v>4</v>
      </c>
      <c r="D5" s="4" t="s">
        <v>5</v>
      </c>
      <c r="E5" s="4" t="s">
        <v>6</v>
      </c>
      <c r="F5" s="4" t="s">
        <v>7</v>
      </c>
      <c r="G5" s="10" t="s">
        <v>8</v>
      </c>
      <c r="L5" s="19" t="s">
        <v>9</v>
      </c>
      <c r="M5" s="18" t="s">
        <v>10</v>
      </c>
      <c r="N5" s="18"/>
      <c r="O5" s="18" t="s">
        <v>9</v>
      </c>
      <c r="P5" s="18" t="s">
        <v>10</v>
      </c>
      <c r="Q5" s="18"/>
      <c r="R5" s="18" t="s">
        <v>9</v>
      </c>
      <c r="S5" s="18" t="s">
        <v>10</v>
      </c>
      <c r="T5" s="18"/>
      <c r="U5" s="18" t="s">
        <v>9</v>
      </c>
      <c r="V5" s="20" t="s">
        <v>10</v>
      </c>
    </row>
    <row r="6" spans="1:22">
      <c r="A6" s="1" t="s">
        <v>11</v>
      </c>
      <c r="B6" s="6">
        <v>0</v>
      </c>
      <c r="C6" s="1">
        <v>0</v>
      </c>
      <c r="D6" s="1">
        <v>0</v>
      </c>
      <c r="E6" s="1">
        <v>0</v>
      </c>
      <c r="F6" s="1">
        <v>0</v>
      </c>
      <c r="G6" s="9">
        <f>SUM(AL_FINANCIAL)</f>
        <v>0</v>
      </c>
      <c r="L6" s="6"/>
      <c r="V6" s="9"/>
    </row>
    <row r="7" spans="1:22">
      <c r="A7" s="1" t="s">
        <v>12</v>
      </c>
      <c r="B7" s="6">
        <v>0</v>
      </c>
      <c r="C7" s="1">
        <v>0</v>
      </c>
      <c r="D7" s="1">
        <v>0</v>
      </c>
      <c r="E7" s="1">
        <v>0</v>
      </c>
      <c r="F7" s="1">
        <v>0</v>
      </c>
      <c r="G7" s="9">
        <f>SUM(AK_FINANCIAL)</f>
        <v>0</v>
      </c>
      <c r="I7" s="12"/>
      <c r="J7" s="15"/>
      <c r="L7" s="6"/>
      <c r="V7" s="9"/>
    </row>
    <row r="8" spans="1:22">
      <c r="A8" s="1" t="s">
        <v>13</v>
      </c>
      <c r="B8" s="6">
        <v>0</v>
      </c>
      <c r="C8" s="1">
        <v>0</v>
      </c>
      <c r="D8" s="1">
        <v>0</v>
      </c>
      <c r="E8" s="1">
        <v>0</v>
      </c>
      <c r="F8" s="1">
        <v>0</v>
      </c>
      <c r="G8" s="9">
        <f>SUM(AZ_FINANCIAL)</f>
        <v>0</v>
      </c>
      <c r="I8" s="13" t="s">
        <v>14</v>
      </c>
      <c r="J8" s="16"/>
      <c r="L8" s="6"/>
      <c r="V8" s="9"/>
    </row>
    <row r="9" spans="1:22">
      <c r="A9" s="1" t="s">
        <v>15</v>
      </c>
      <c r="B9" s="6">
        <v>0</v>
      </c>
      <c r="C9" s="1">
        <v>0</v>
      </c>
      <c r="D9" s="1">
        <v>0</v>
      </c>
      <c r="E9" s="1">
        <v>0</v>
      </c>
      <c r="F9" s="1">
        <v>0</v>
      </c>
      <c r="G9" s="9">
        <f>SUM(AR_FINANCIAL)</f>
        <v>0</v>
      </c>
      <c r="I9" s="13"/>
      <c r="J9" s="16"/>
      <c r="L9" s="6"/>
      <c r="V9" s="9"/>
    </row>
    <row r="10" spans="1:22">
      <c r="A10" s="1" t="s">
        <v>16</v>
      </c>
      <c r="B10" s="6">
        <v>0</v>
      </c>
      <c r="C10" s="1">
        <v>0</v>
      </c>
      <c r="D10" s="1">
        <v>0</v>
      </c>
      <c r="E10" s="1">
        <v>0</v>
      </c>
      <c r="F10" s="1">
        <v>0</v>
      </c>
      <c r="G10" s="9">
        <f>SUM(CA_FINANCIAL)</f>
        <v>0</v>
      </c>
      <c r="I10" s="13" t="s">
        <v>17</v>
      </c>
      <c r="J10" s="16">
        <v>26260815</v>
      </c>
      <c r="L10" s="6"/>
      <c r="V10" s="9"/>
    </row>
    <row r="11" spans="1:22">
      <c r="A11" s="1" t="s">
        <v>18</v>
      </c>
      <c r="B11" s="6">
        <v>0</v>
      </c>
      <c r="C11" s="1">
        <v>0</v>
      </c>
      <c r="D11" s="1">
        <v>0</v>
      </c>
      <c r="E11" s="1">
        <v>0</v>
      </c>
      <c r="F11" s="1">
        <v>0</v>
      </c>
      <c r="G11" s="9">
        <f>SUM(CO_FINANCIAL)</f>
        <v>0</v>
      </c>
      <c r="I11" s="13"/>
      <c r="J11" s="16"/>
      <c r="L11" s="6"/>
      <c r="V11" s="9"/>
    </row>
    <row r="12" spans="1:22">
      <c r="A12" s="1" t="s">
        <v>19</v>
      </c>
      <c r="B12" s="6">
        <v>0</v>
      </c>
      <c r="C12" s="1">
        <v>0</v>
      </c>
      <c r="D12" s="1">
        <v>0</v>
      </c>
      <c r="E12" s="1">
        <v>0</v>
      </c>
      <c r="F12" s="1">
        <v>0</v>
      </c>
      <c r="G12" s="9">
        <f>SUM(CT_FINANCIAL)</f>
        <v>0</v>
      </c>
      <c r="I12" s="13" t="s">
        <v>20</v>
      </c>
      <c r="J12" s="16"/>
      <c r="L12" s="6"/>
      <c r="V12" s="9"/>
    </row>
    <row r="13" spans="1:22">
      <c r="A13" s="1" t="s">
        <v>21</v>
      </c>
      <c r="B13" s="6">
        <v>0</v>
      </c>
      <c r="C13" s="1">
        <v>0</v>
      </c>
      <c r="D13" s="1">
        <v>0</v>
      </c>
      <c r="E13" s="1">
        <v>0</v>
      </c>
      <c r="F13" s="1">
        <v>0</v>
      </c>
      <c r="G13" s="9">
        <f>SUM(DE_FINANCIAL)</f>
        <v>0</v>
      </c>
      <c r="I13" s="13" t="s">
        <v>22</v>
      </c>
      <c r="J13" s="16">
        <v>0</v>
      </c>
      <c r="L13" s="6"/>
      <c r="V13" s="9"/>
    </row>
    <row r="14" spans="1:22">
      <c r="A14" s="1" t="s">
        <v>23</v>
      </c>
      <c r="B14" s="6">
        <v>0</v>
      </c>
      <c r="C14" s="1">
        <v>0</v>
      </c>
      <c r="D14" s="1">
        <v>0</v>
      </c>
      <c r="E14" s="1">
        <v>0</v>
      </c>
      <c r="F14" s="1">
        <v>0</v>
      </c>
      <c r="G14" s="9">
        <f>SUM(DC_FINANCIAL)</f>
        <v>0</v>
      </c>
      <c r="I14" s="13" t="s">
        <v>24</v>
      </c>
      <c r="J14" s="16">
        <v>388973</v>
      </c>
      <c r="L14" s="6"/>
      <c r="V14" s="9"/>
    </row>
    <row r="15" spans="1:22">
      <c r="A15" s="1" t="s">
        <v>25</v>
      </c>
      <c r="B15" s="6">
        <v>0</v>
      </c>
      <c r="C15" s="1">
        <v>0</v>
      </c>
      <c r="D15" s="1">
        <v>0</v>
      </c>
      <c r="E15" s="1">
        <v>0</v>
      </c>
      <c r="F15" s="1">
        <v>0</v>
      </c>
      <c r="G15" s="9">
        <f>SUM(FL_FINANCIAL)</f>
        <v>0</v>
      </c>
      <c r="I15" s="13" t="s">
        <v>26</v>
      </c>
      <c r="J15" s="16">
        <v>819493.75902153191</v>
      </c>
      <c r="L15" s="6"/>
      <c r="V15" s="9"/>
    </row>
    <row r="16" spans="1:22">
      <c r="A16" s="1" t="s">
        <v>27</v>
      </c>
      <c r="B16" s="6">
        <v>0</v>
      </c>
      <c r="C16" s="1">
        <v>0</v>
      </c>
      <c r="D16" s="1">
        <v>0</v>
      </c>
      <c r="E16" s="1">
        <v>0</v>
      </c>
      <c r="F16" s="1">
        <v>0</v>
      </c>
      <c r="G16" s="9">
        <f>SUM(GA_FINANCIAL)</f>
        <v>0</v>
      </c>
      <c r="I16" s="13" t="s">
        <v>28</v>
      </c>
      <c r="J16" s="16">
        <v>0</v>
      </c>
      <c r="L16" s="6"/>
      <c r="V16" s="9"/>
    </row>
    <row r="17" spans="1:22">
      <c r="A17" s="1" t="s">
        <v>29</v>
      </c>
      <c r="B17" s="6">
        <v>0</v>
      </c>
      <c r="C17" s="1">
        <v>0</v>
      </c>
      <c r="D17" s="1">
        <v>0</v>
      </c>
      <c r="E17" s="1">
        <v>0</v>
      </c>
      <c r="F17" s="1">
        <v>0</v>
      </c>
      <c r="G17" s="9">
        <f>SUM(HI_FINANCIAL)</f>
        <v>0</v>
      </c>
      <c r="I17" s="13"/>
      <c r="J17" s="16"/>
      <c r="L17" s="6"/>
      <c r="V17" s="9"/>
    </row>
    <row r="18" spans="1:22">
      <c r="A18" s="1" t="s">
        <v>30</v>
      </c>
      <c r="B18" s="6">
        <v>0</v>
      </c>
      <c r="C18" s="1">
        <v>0</v>
      </c>
      <c r="D18" s="1">
        <v>0</v>
      </c>
      <c r="E18" s="1">
        <v>0</v>
      </c>
      <c r="F18" s="1">
        <v>0</v>
      </c>
      <c r="G18" s="9">
        <f>SUM(ID_FINANCIAL)</f>
        <v>0</v>
      </c>
      <c r="I18" s="13" t="s">
        <v>31</v>
      </c>
      <c r="J18" s="16"/>
      <c r="L18" s="6"/>
      <c r="V18" s="9"/>
    </row>
    <row r="19" spans="1:22">
      <c r="A19" s="1" t="s">
        <v>32</v>
      </c>
      <c r="B19" s="6">
        <v>0</v>
      </c>
      <c r="C19" s="1">
        <v>0</v>
      </c>
      <c r="D19" s="1">
        <v>0</v>
      </c>
      <c r="E19" s="1">
        <v>0</v>
      </c>
      <c r="F19" s="1">
        <v>0</v>
      </c>
      <c r="G19" s="9">
        <f>SUM(IL_FINANCIAL)</f>
        <v>0</v>
      </c>
      <c r="I19" s="13" t="s">
        <v>33</v>
      </c>
      <c r="J19" s="16">
        <v>0</v>
      </c>
      <c r="L19" s="6"/>
      <c r="V19" s="9"/>
    </row>
    <row r="20" spans="1:22">
      <c r="A20" s="1" t="s">
        <v>34</v>
      </c>
      <c r="B20" s="6">
        <v>0</v>
      </c>
      <c r="C20" s="1">
        <v>0</v>
      </c>
      <c r="D20" s="1">
        <v>0</v>
      </c>
      <c r="E20" s="1">
        <v>0</v>
      </c>
      <c r="F20" s="1">
        <v>0</v>
      </c>
      <c r="G20" s="9">
        <f>SUM(IN_FINANCIAL)</f>
        <v>0</v>
      </c>
      <c r="I20" s="13" t="s">
        <v>35</v>
      </c>
      <c r="J20" s="16">
        <v>-605559</v>
      </c>
      <c r="L20" s="6"/>
      <c r="V20" s="9"/>
    </row>
    <row r="21" spans="1:22">
      <c r="A21" s="1" t="s">
        <v>36</v>
      </c>
      <c r="B21" s="6">
        <v>0</v>
      </c>
      <c r="C21" s="1">
        <v>0</v>
      </c>
      <c r="D21" s="1">
        <v>0</v>
      </c>
      <c r="E21" s="1">
        <v>0</v>
      </c>
      <c r="F21" s="1">
        <v>0</v>
      </c>
      <c r="G21" s="9">
        <f>SUM(IA_FINANCIAL)</f>
        <v>0</v>
      </c>
      <c r="I21" s="13" t="s">
        <v>37</v>
      </c>
      <c r="J21" s="16"/>
      <c r="L21" s="6"/>
      <c r="V21" s="9"/>
    </row>
    <row r="22" spans="1:22">
      <c r="A22" s="1" t="s">
        <v>38</v>
      </c>
      <c r="B22" s="6">
        <v>0</v>
      </c>
      <c r="C22" s="1">
        <v>0</v>
      </c>
      <c r="D22" s="1">
        <v>0</v>
      </c>
      <c r="E22" s="1">
        <v>0</v>
      </c>
      <c r="F22" s="1">
        <v>0</v>
      </c>
      <c r="G22" s="9">
        <f>SUM(KS_FINANCIAL)</f>
        <v>0</v>
      </c>
      <c r="I22" s="13" t="s">
        <v>39</v>
      </c>
      <c r="J22" s="16">
        <v>3081877</v>
      </c>
      <c r="L22" s="6"/>
      <c r="V22" s="9"/>
    </row>
    <row r="23" spans="1:22">
      <c r="A23" s="1" t="s">
        <v>40</v>
      </c>
      <c r="B23" s="6">
        <v>0</v>
      </c>
      <c r="C23" s="1">
        <v>0</v>
      </c>
      <c r="D23" s="1">
        <v>0</v>
      </c>
      <c r="E23" s="1">
        <v>0</v>
      </c>
      <c r="F23" s="1">
        <v>0</v>
      </c>
      <c r="G23" s="9">
        <f>SUM(KY_FINANCIAL)</f>
        <v>0</v>
      </c>
      <c r="I23" s="13" t="s">
        <v>41</v>
      </c>
      <c r="J23" s="16"/>
      <c r="L23" s="6"/>
      <c r="V23" s="9"/>
    </row>
    <row r="24" spans="1:22">
      <c r="A24" s="1" t="s">
        <v>42</v>
      </c>
      <c r="B24" s="6">
        <v>0</v>
      </c>
      <c r="C24" s="1">
        <v>0</v>
      </c>
      <c r="D24" s="1">
        <v>0</v>
      </c>
      <c r="E24" s="1">
        <v>0</v>
      </c>
      <c r="F24" s="1">
        <v>0</v>
      </c>
      <c r="G24" s="9">
        <f>SUM(LA_FINANCIAL)</f>
        <v>0</v>
      </c>
      <c r="I24" s="13" t="s">
        <v>43</v>
      </c>
      <c r="J24" s="16">
        <v>5222500</v>
      </c>
      <c r="L24" s="6"/>
      <c r="V24" s="9"/>
    </row>
    <row r="25" spans="1:22">
      <c r="A25" s="1" t="s">
        <v>44</v>
      </c>
      <c r="B25" s="6">
        <v>0</v>
      </c>
      <c r="C25" s="1">
        <v>0</v>
      </c>
      <c r="D25" s="1">
        <v>0</v>
      </c>
      <c r="E25" s="1">
        <v>0</v>
      </c>
      <c r="F25" s="1">
        <v>0</v>
      </c>
      <c r="G25" s="9">
        <f>SUM(ME_FINANCIAL)</f>
        <v>0</v>
      </c>
      <c r="I25" s="13"/>
      <c r="J25" s="16"/>
      <c r="L25" s="6"/>
      <c r="V25" s="9"/>
    </row>
    <row r="26" spans="1:22">
      <c r="A26" s="1" t="s">
        <v>45</v>
      </c>
      <c r="B26" s="6">
        <v>0</v>
      </c>
      <c r="C26" s="1">
        <v>0</v>
      </c>
      <c r="D26" s="1">
        <v>0</v>
      </c>
      <c r="E26" s="1">
        <v>0</v>
      </c>
      <c r="F26" s="1">
        <v>0</v>
      </c>
      <c r="G26" s="9">
        <f>SUM(MD_FINANCIAL)</f>
        <v>0</v>
      </c>
      <c r="I26" s="13" t="s">
        <v>46</v>
      </c>
      <c r="J26" s="16">
        <f>SUM(ADD_FINANCIAL)-SUM(LESS_FINANCIAL)</f>
        <v>19770463.759021532</v>
      </c>
      <c r="L26" s="6"/>
      <c r="V26" s="9"/>
    </row>
    <row r="27" spans="1:22">
      <c r="A27" s="1" t="s">
        <v>47</v>
      </c>
      <c r="B27" s="6">
        <v>0</v>
      </c>
      <c r="C27" s="1">
        <v>0</v>
      </c>
      <c r="D27" s="1">
        <v>0</v>
      </c>
      <c r="E27" s="1">
        <v>0</v>
      </c>
      <c r="F27" s="1">
        <v>0</v>
      </c>
      <c r="G27" s="9">
        <f>SUM(MA_FINANCIAL)</f>
        <v>0</v>
      </c>
      <c r="I27" s="13" t="s">
        <v>48</v>
      </c>
      <c r="J27" s="16">
        <f>SUM(ALL_BLOCKS)</f>
        <v>19770463.759021532</v>
      </c>
      <c r="L27" s="6"/>
      <c r="V27" s="9"/>
    </row>
    <row r="28" spans="1:22">
      <c r="A28" s="1" t="s">
        <v>49</v>
      </c>
      <c r="B28" s="6">
        <v>0</v>
      </c>
      <c r="C28" s="1">
        <v>0</v>
      </c>
      <c r="D28" s="1">
        <v>0</v>
      </c>
      <c r="E28" s="1">
        <v>0</v>
      </c>
      <c r="F28" s="1">
        <v>0</v>
      </c>
      <c r="G28" s="9">
        <f>SUM(MI_FINANCIAL)</f>
        <v>0</v>
      </c>
      <c r="I28" s="14"/>
      <c r="J28" s="17"/>
      <c r="L28" s="6"/>
      <c r="V28" s="9"/>
    </row>
    <row r="29" spans="1:22">
      <c r="A29" s="1" t="s">
        <v>50</v>
      </c>
      <c r="B29" s="6">
        <v>0</v>
      </c>
      <c r="C29" s="1">
        <v>0</v>
      </c>
      <c r="D29" s="1">
        <v>0</v>
      </c>
      <c r="E29" s="1">
        <v>0</v>
      </c>
      <c r="F29" s="1">
        <v>0</v>
      </c>
      <c r="G29" s="9">
        <f>SUM(MN_FINANCIAL)</f>
        <v>0</v>
      </c>
      <c r="L29" s="6"/>
      <c r="V29" s="9"/>
    </row>
    <row r="30" spans="1:22">
      <c r="A30" s="1" t="s">
        <v>51</v>
      </c>
      <c r="B30" s="6">
        <v>19770463.759021532</v>
      </c>
      <c r="C30" s="1">
        <v>0</v>
      </c>
      <c r="D30" s="1">
        <v>0</v>
      </c>
      <c r="E30" s="1">
        <v>0</v>
      </c>
      <c r="F30" s="1">
        <v>0</v>
      </c>
      <c r="G30" s="9">
        <f>SUM(MS_FINANCIAL)</f>
        <v>19770463.759021532</v>
      </c>
      <c r="L30" s="6">
        <v>13800320</v>
      </c>
      <c r="M30" s="1">
        <v>0</v>
      </c>
      <c r="O30" s="1">
        <v>4950590</v>
      </c>
      <c r="P30" s="1">
        <v>0</v>
      </c>
      <c r="R30" s="1">
        <v>0</v>
      </c>
      <c r="S30" s="1">
        <v>0</v>
      </c>
      <c r="U30" s="1">
        <v>1518800</v>
      </c>
      <c r="V30" s="9">
        <v>0</v>
      </c>
    </row>
    <row r="31" spans="1:22">
      <c r="A31" s="1" t="s">
        <v>52</v>
      </c>
      <c r="B31" s="6">
        <v>0</v>
      </c>
      <c r="C31" s="1">
        <v>0</v>
      </c>
      <c r="D31" s="1">
        <v>0</v>
      </c>
      <c r="E31" s="1">
        <v>0</v>
      </c>
      <c r="F31" s="1">
        <v>0</v>
      </c>
      <c r="G31" s="9">
        <f>SUM(MO_FINANCIAL)</f>
        <v>0</v>
      </c>
      <c r="L31" s="6"/>
      <c r="V31" s="9"/>
    </row>
    <row r="32" spans="1:22">
      <c r="A32" s="1" t="s">
        <v>53</v>
      </c>
      <c r="B32" s="6">
        <v>0</v>
      </c>
      <c r="C32" s="1">
        <v>0</v>
      </c>
      <c r="D32" s="1">
        <v>0</v>
      </c>
      <c r="E32" s="1">
        <v>0</v>
      </c>
      <c r="F32" s="1">
        <v>0</v>
      </c>
      <c r="G32" s="9">
        <f>SUM(MT_FINANCIAL)</f>
        <v>0</v>
      </c>
      <c r="L32" s="6"/>
      <c r="V32" s="9"/>
    </row>
    <row r="33" spans="1:22">
      <c r="A33" s="1" t="s">
        <v>54</v>
      </c>
      <c r="B33" s="6">
        <v>0</v>
      </c>
      <c r="C33" s="1">
        <v>0</v>
      </c>
      <c r="D33" s="1">
        <v>0</v>
      </c>
      <c r="E33" s="1">
        <v>0</v>
      </c>
      <c r="F33" s="1">
        <v>0</v>
      </c>
      <c r="G33" s="9">
        <f>SUM(NE_FINANCIAL)</f>
        <v>0</v>
      </c>
      <c r="L33" s="6"/>
      <c r="V33" s="9"/>
    </row>
    <row r="34" spans="1:22">
      <c r="A34" s="1" t="s">
        <v>55</v>
      </c>
      <c r="B34" s="6">
        <v>0</v>
      </c>
      <c r="C34" s="1">
        <v>0</v>
      </c>
      <c r="D34" s="1">
        <v>0</v>
      </c>
      <c r="E34" s="1">
        <v>0</v>
      </c>
      <c r="F34" s="1">
        <v>0</v>
      </c>
      <c r="G34" s="9">
        <f>SUM(NV_FINANCIAL)</f>
        <v>0</v>
      </c>
      <c r="L34" s="6"/>
      <c r="V34" s="9"/>
    </row>
    <row r="35" spans="1:22">
      <c r="A35" s="1" t="s">
        <v>56</v>
      </c>
      <c r="B35" s="6">
        <v>0</v>
      </c>
      <c r="C35" s="1">
        <v>0</v>
      </c>
      <c r="D35" s="1">
        <v>0</v>
      </c>
      <c r="E35" s="1">
        <v>0</v>
      </c>
      <c r="F35" s="1">
        <v>0</v>
      </c>
      <c r="G35" s="9">
        <f>SUM(NH_FINANCIAL)</f>
        <v>0</v>
      </c>
      <c r="L35" s="6"/>
      <c r="V35" s="9"/>
    </row>
    <row r="36" spans="1:22">
      <c r="A36" s="1" t="s">
        <v>57</v>
      </c>
      <c r="B36" s="6">
        <v>0</v>
      </c>
      <c r="C36" s="1">
        <v>0</v>
      </c>
      <c r="D36" s="1">
        <v>0</v>
      </c>
      <c r="E36" s="1">
        <v>0</v>
      </c>
      <c r="F36" s="1">
        <v>0</v>
      </c>
      <c r="G36" s="9">
        <f>SUM(NJ_FINANCIAL)</f>
        <v>0</v>
      </c>
      <c r="L36" s="6"/>
      <c r="V36" s="9"/>
    </row>
    <row r="37" spans="1:22">
      <c r="A37" s="1" t="s">
        <v>58</v>
      </c>
      <c r="B37" s="6">
        <v>0</v>
      </c>
      <c r="C37" s="1">
        <v>0</v>
      </c>
      <c r="D37" s="1">
        <v>0</v>
      </c>
      <c r="E37" s="1">
        <v>0</v>
      </c>
      <c r="F37" s="1">
        <v>0</v>
      </c>
      <c r="G37" s="9">
        <f>SUM(NM_FINANCIAL)</f>
        <v>0</v>
      </c>
      <c r="L37" s="6"/>
      <c r="V37" s="9"/>
    </row>
    <row r="38" spans="1:22">
      <c r="A38" s="1" t="s">
        <v>59</v>
      </c>
      <c r="B38" s="6">
        <v>0</v>
      </c>
      <c r="C38" s="1">
        <v>0</v>
      </c>
      <c r="D38" s="1">
        <v>0</v>
      </c>
      <c r="E38" s="1">
        <v>0</v>
      </c>
      <c r="F38" s="1">
        <v>0</v>
      </c>
      <c r="G38" s="9">
        <f>SUM(NY_FINANCIAL)</f>
        <v>0</v>
      </c>
      <c r="L38" s="6"/>
      <c r="V38" s="9"/>
    </row>
    <row r="39" spans="1:22">
      <c r="A39" s="1" t="s">
        <v>60</v>
      </c>
      <c r="B39" s="6">
        <v>0</v>
      </c>
      <c r="C39" s="1">
        <v>0</v>
      </c>
      <c r="D39" s="1">
        <v>0</v>
      </c>
      <c r="E39" s="1">
        <v>0</v>
      </c>
      <c r="F39" s="1">
        <v>0</v>
      </c>
      <c r="G39" s="9">
        <f>SUM(NC_FINANCIAL)</f>
        <v>0</v>
      </c>
      <c r="L39" s="6"/>
      <c r="V39" s="9"/>
    </row>
    <row r="40" spans="1:22">
      <c r="A40" s="1" t="s">
        <v>61</v>
      </c>
      <c r="B40" s="6">
        <v>0</v>
      </c>
      <c r="C40" s="1">
        <v>0</v>
      </c>
      <c r="D40" s="1">
        <v>0</v>
      </c>
      <c r="E40" s="1">
        <v>0</v>
      </c>
      <c r="F40" s="1">
        <v>0</v>
      </c>
      <c r="G40" s="9">
        <f>SUM(ND_FINANCIAL)</f>
        <v>0</v>
      </c>
      <c r="L40" s="6"/>
      <c r="V40" s="9"/>
    </row>
    <row r="41" spans="1:22">
      <c r="A41" s="1" t="s">
        <v>62</v>
      </c>
      <c r="B41" s="6">
        <v>0</v>
      </c>
      <c r="C41" s="1">
        <v>0</v>
      </c>
      <c r="D41" s="1">
        <v>0</v>
      </c>
      <c r="E41" s="1">
        <v>0</v>
      </c>
      <c r="F41" s="1">
        <v>0</v>
      </c>
      <c r="G41" s="9">
        <f>SUM(OH_FINANCIAL)</f>
        <v>0</v>
      </c>
      <c r="L41" s="6"/>
      <c r="V41" s="9"/>
    </row>
    <row r="42" spans="1:22">
      <c r="A42" s="1" t="s">
        <v>63</v>
      </c>
      <c r="B42" s="6">
        <v>0</v>
      </c>
      <c r="C42" s="1">
        <v>0</v>
      </c>
      <c r="D42" s="1">
        <v>0</v>
      </c>
      <c r="E42" s="1">
        <v>0</v>
      </c>
      <c r="F42" s="1">
        <v>0</v>
      </c>
      <c r="G42" s="9">
        <f>SUM(OK_FINANCIAL)</f>
        <v>0</v>
      </c>
      <c r="L42" s="6"/>
      <c r="V42" s="9"/>
    </row>
    <row r="43" spans="1:22">
      <c r="A43" s="1" t="s">
        <v>64</v>
      </c>
      <c r="B43" s="6">
        <v>0</v>
      </c>
      <c r="C43" s="1">
        <v>0</v>
      </c>
      <c r="D43" s="1">
        <v>0</v>
      </c>
      <c r="E43" s="1">
        <v>0</v>
      </c>
      <c r="F43" s="1">
        <v>0</v>
      </c>
      <c r="G43" s="9">
        <f>SUM(OR_FINANCIAL)</f>
        <v>0</v>
      </c>
      <c r="L43" s="6"/>
      <c r="V43" s="9"/>
    </row>
    <row r="44" spans="1:22">
      <c r="A44" s="1" t="s">
        <v>65</v>
      </c>
      <c r="B44" s="6">
        <v>0</v>
      </c>
      <c r="C44" s="1">
        <v>0</v>
      </c>
      <c r="D44" s="1">
        <v>0</v>
      </c>
      <c r="E44" s="1">
        <v>0</v>
      </c>
      <c r="F44" s="1">
        <v>0</v>
      </c>
      <c r="G44" s="9">
        <f>SUM(PA_FINANCIAL)</f>
        <v>0</v>
      </c>
      <c r="L44" s="6"/>
      <c r="V44" s="9"/>
    </row>
    <row r="45" spans="1:22">
      <c r="A45" s="1" t="s">
        <v>66</v>
      </c>
      <c r="B45" s="6">
        <v>0</v>
      </c>
      <c r="C45" s="1">
        <v>0</v>
      </c>
      <c r="D45" s="1">
        <v>0</v>
      </c>
      <c r="E45" s="1">
        <v>0</v>
      </c>
      <c r="F45" s="1">
        <v>0</v>
      </c>
      <c r="G45" s="9">
        <f>SUM(PR_FINANCIAL)</f>
        <v>0</v>
      </c>
      <c r="L45" s="6"/>
      <c r="V45" s="9"/>
    </row>
    <row r="46" spans="1:22">
      <c r="A46" s="1" t="s">
        <v>67</v>
      </c>
      <c r="B46" s="6">
        <v>0</v>
      </c>
      <c r="C46" s="1">
        <v>0</v>
      </c>
      <c r="D46" s="1">
        <v>0</v>
      </c>
      <c r="E46" s="1">
        <v>0</v>
      </c>
      <c r="F46" s="1">
        <v>0</v>
      </c>
      <c r="G46" s="9">
        <f>SUM(RI_FINANCIAL)</f>
        <v>0</v>
      </c>
      <c r="L46" s="6"/>
      <c r="V46" s="9"/>
    </row>
    <row r="47" spans="1:22">
      <c r="A47" s="1" t="s">
        <v>68</v>
      </c>
      <c r="B47" s="6">
        <v>0</v>
      </c>
      <c r="C47" s="1">
        <v>0</v>
      </c>
      <c r="D47" s="1">
        <v>0</v>
      </c>
      <c r="E47" s="1">
        <v>0</v>
      </c>
      <c r="F47" s="1">
        <v>0</v>
      </c>
      <c r="G47" s="9">
        <f>SUM(SC_FINANCIAL)</f>
        <v>0</v>
      </c>
      <c r="L47" s="6"/>
      <c r="V47" s="9"/>
    </row>
    <row r="48" spans="1:22">
      <c r="A48" s="1" t="s">
        <v>69</v>
      </c>
      <c r="B48" s="6">
        <v>0</v>
      </c>
      <c r="C48" s="1">
        <v>0</v>
      </c>
      <c r="D48" s="1">
        <v>0</v>
      </c>
      <c r="E48" s="1">
        <v>0</v>
      </c>
      <c r="F48" s="1">
        <v>0</v>
      </c>
      <c r="G48" s="9">
        <f>SUM(SD_FINANCIAL)</f>
        <v>0</v>
      </c>
      <c r="L48" s="6"/>
      <c r="V48" s="9"/>
    </row>
    <row r="49" spans="1:22">
      <c r="A49" s="1" t="s">
        <v>70</v>
      </c>
      <c r="B49" s="6">
        <v>0</v>
      </c>
      <c r="C49" s="1">
        <v>0</v>
      </c>
      <c r="D49" s="1">
        <v>0</v>
      </c>
      <c r="E49" s="1">
        <v>0</v>
      </c>
      <c r="F49" s="1">
        <v>0</v>
      </c>
      <c r="G49" s="9">
        <f>SUM(TN_FINANCIAL)</f>
        <v>0</v>
      </c>
      <c r="L49" s="6"/>
      <c r="V49" s="9"/>
    </row>
    <row r="50" spans="1:22">
      <c r="A50" s="1" t="s">
        <v>71</v>
      </c>
      <c r="B50" s="6">
        <v>0</v>
      </c>
      <c r="C50" s="1">
        <v>0</v>
      </c>
      <c r="D50" s="1">
        <v>0</v>
      </c>
      <c r="E50" s="1">
        <v>0</v>
      </c>
      <c r="F50" s="1">
        <v>0</v>
      </c>
      <c r="G50" s="9">
        <f>SUM(TX_FINANCIAL)</f>
        <v>0</v>
      </c>
      <c r="L50" s="6"/>
      <c r="V50" s="9"/>
    </row>
    <row r="51" spans="1:22">
      <c r="A51" s="1" t="s">
        <v>72</v>
      </c>
      <c r="B51" s="6">
        <v>0</v>
      </c>
      <c r="C51" s="1">
        <v>0</v>
      </c>
      <c r="D51" s="1">
        <v>0</v>
      </c>
      <c r="E51" s="1">
        <v>0</v>
      </c>
      <c r="F51" s="1">
        <v>0</v>
      </c>
      <c r="G51" s="9">
        <f>SUM(UT_FINANCIAL)</f>
        <v>0</v>
      </c>
      <c r="L51" s="6"/>
      <c r="V51" s="9"/>
    </row>
    <row r="52" spans="1:22">
      <c r="A52" s="1" t="s">
        <v>73</v>
      </c>
      <c r="B52" s="6">
        <v>0</v>
      </c>
      <c r="C52" s="1">
        <v>0</v>
      </c>
      <c r="D52" s="1">
        <v>0</v>
      </c>
      <c r="E52" s="1">
        <v>0</v>
      </c>
      <c r="F52" s="1">
        <v>0</v>
      </c>
      <c r="G52" s="9">
        <f>SUM(VT_FINANCIAL)</f>
        <v>0</v>
      </c>
      <c r="L52" s="6"/>
      <c r="V52" s="9"/>
    </row>
    <row r="53" spans="1:22">
      <c r="A53" s="1" t="s">
        <v>74</v>
      </c>
      <c r="B53" s="6">
        <v>0</v>
      </c>
      <c r="C53" s="1">
        <v>0</v>
      </c>
      <c r="D53" s="1">
        <v>0</v>
      </c>
      <c r="E53" s="1">
        <v>0</v>
      </c>
      <c r="F53" s="1">
        <v>0</v>
      </c>
      <c r="G53" s="9">
        <f>SUM(VA_FINANCIAL)</f>
        <v>0</v>
      </c>
      <c r="L53" s="6"/>
      <c r="V53" s="9"/>
    </row>
    <row r="54" spans="1:22">
      <c r="A54" s="1" t="s">
        <v>75</v>
      </c>
      <c r="B54" s="6">
        <v>0</v>
      </c>
      <c r="C54" s="1">
        <v>0</v>
      </c>
      <c r="D54" s="1">
        <v>0</v>
      </c>
      <c r="E54" s="1">
        <v>0</v>
      </c>
      <c r="F54" s="1">
        <v>0</v>
      </c>
      <c r="G54" s="9">
        <f>SUM(WA_FINANCIAL)</f>
        <v>0</v>
      </c>
      <c r="L54" s="6"/>
      <c r="V54" s="9"/>
    </row>
    <row r="55" spans="1:22">
      <c r="A55" s="1" t="s">
        <v>76</v>
      </c>
      <c r="B55" s="6">
        <v>0</v>
      </c>
      <c r="C55" s="1">
        <v>0</v>
      </c>
      <c r="D55" s="1">
        <v>0</v>
      </c>
      <c r="E55" s="1">
        <v>0</v>
      </c>
      <c r="F55" s="1">
        <v>0</v>
      </c>
      <c r="G55" s="9">
        <f>SUM(WV_FINANCIAL)</f>
        <v>0</v>
      </c>
      <c r="L55" s="6"/>
      <c r="V55" s="9"/>
    </row>
    <row r="56" spans="1:22">
      <c r="A56" s="1" t="s">
        <v>77</v>
      </c>
      <c r="B56" s="6">
        <v>0</v>
      </c>
      <c r="C56" s="1">
        <v>0</v>
      </c>
      <c r="D56" s="1">
        <v>0</v>
      </c>
      <c r="E56" s="1">
        <v>0</v>
      </c>
      <c r="F56" s="1">
        <v>0</v>
      </c>
      <c r="G56" s="9">
        <f>SUM(WI_FINANCIAL)</f>
        <v>0</v>
      </c>
      <c r="L56" s="6"/>
      <c r="V56" s="9"/>
    </row>
    <row r="57" spans="1:22">
      <c r="A57" s="1" t="s">
        <v>78</v>
      </c>
      <c r="B57" s="6">
        <v>0</v>
      </c>
      <c r="C57" s="1">
        <v>0</v>
      </c>
      <c r="D57" s="1">
        <v>0</v>
      </c>
      <c r="E57" s="1">
        <v>0</v>
      </c>
      <c r="F57" s="1">
        <v>0</v>
      </c>
      <c r="G57" s="9">
        <f>SUM(WY_FINANCIAL)</f>
        <v>0</v>
      </c>
      <c r="L57" s="6"/>
      <c r="V57" s="9"/>
    </row>
    <row r="58" spans="1:22">
      <c r="A58" s="1" t="s">
        <v>79</v>
      </c>
      <c r="B58" s="6">
        <v>0</v>
      </c>
      <c r="C58" s="1">
        <v>0</v>
      </c>
      <c r="D58" s="1">
        <v>0</v>
      </c>
      <c r="E58" s="1">
        <v>0</v>
      </c>
      <c r="F58" s="1">
        <v>0</v>
      </c>
      <c r="G58" s="9">
        <f>SUM(OT_FINANCIAL)</f>
        <v>0</v>
      </c>
      <c r="L58" s="6"/>
      <c r="V58" s="9"/>
    </row>
    <row r="59" spans="1:22">
      <c r="B59" s="6"/>
      <c r="G59" s="9"/>
      <c r="L59" s="6"/>
      <c r="V59" s="9"/>
    </row>
    <row r="60" spans="1:22">
      <c r="A60" s="1" t="s">
        <v>8</v>
      </c>
      <c r="B60" s="6">
        <f>SUM(LIFE)</f>
        <v>19770463.759021532</v>
      </c>
      <c r="C60" s="1">
        <f>SUM(ALLOCATED)</f>
        <v>0</v>
      </c>
      <c r="D60" s="1">
        <f>SUM(HEALTH)</f>
        <v>0</v>
      </c>
      <c r="E60" s="1">
        <f>SUM(UNALLOCATED)</f>
        <v>0</v>
      </c>
      <c r="F60" s="1">
        <f>SUM(LTC)</f>
        <v>0</v>
      </c>
      <c r="G60" s="9">
        <f>SUM(ALL_BLOCKS)</f>
        <v>19770463.759021532</v>
      </c>
      <c r="L60" s="6">
        <f>SUM(LIFE_CALLED)</f>
        <v>13800320</v>
      </c>
      <c r="M60" s="1">
        <f>SUM(LIFE_REFUNDED)</f>
        <v>0</v>
      </c>
      <c r="O60" s="1">
        <f>SUM(ALLOC_CALLED)</f>
        <v>4950590</v>
      </c>
      <c r="P60" s="1">
        <f>SUM(ALLOC_REFUNDED)</f>
        <v>0</v>
      </c>
      <c r="R60" s="1">
        <f>SUM(HEALTH_CALLED)</f>
        <v>0</v>
      </c>
      <c r="S60" s="1">
        <f>SUM(HEALTH_REFUNDED)</f>
        <v>0</v>
      </c>
      <c r="U60" s="1">
        <f>SUM(UNALLOC_CALLED)</f>
        <v>1518800</v>
      </c>
      <c r="V60" s="9">
        <f>SUM(UNALLOC_REFUNDED)</f>
        <v>0</v>
      </c>
    </row>
    <row r="61" spans="1:22" ht="5.0999999999999996" customHeight="1">
      <c r="B61" s="6"/>
      <c r="G61" s="9"/>
      <c r="L61" s="6"/>
      <c r="V61" s="9"/>
    </row>
    <row r="62" spans="1:22">
      <c r="B62" s="6"/>
      <c r="G62" s="9"/>
      <c r="L62" s="78" t="s">
        <v>80</v>
      </c>
      <c r="M62" s="79"/>
      <c r="N62" s="79"/>
      <c r="O62" s="79"/>
      <c r="P62" s="79"/>
      <c r="Q62" s="79"/>
      <c r="R62" s="79"/>
      <c r="S62" s="79"/>
      <c r="T62" s="79"/>
      <c r="U62" s="79"/>
      <c r="V62" s="80"/>
    </row>
    <row r="63" spans="1:22">
      <c r="B63" s="6"/>
      <c r="G63" s="9"/>
      <c r="L63" s="81"/>
      <c r="M63" s="79"/>
      <c r="N63" s="79"/>
      <c r="O63" s="79"/>
      <c r="P63" s="79"/>
      <c r="Q63" s="79"/>
      <c r="R63" s="79"/>
      <c r="S63" s="79"/>
      <c r="T63" s="79"/>
      <c r="U63" s="79"/>
      <c r="V63" s="80"/>
    </row>
    <row r="64" spans="1:22">
      <c r="B64" s="8"/>
      <c r="C64" s="5"/>
      <c r="D64" s="5"/>
      <c r="E64" s="5"/>
      <c r="F64" s="5"/>
      <c r="G64" s="11"/>
      <c r="L64" s="82"/>
      <c r="M64" s="83"/>
      <c r="N64" s="83"/>
      <c r="O64" s="83"/>
      <c r="P64" s="83"/>
      <c r="Q64" s="83"/>
      <c r="R64" s="83"/>
      <c r="S64" s="83"/>
      <c r="T64" s="83"/>
      <c r="U64" s="83"/>
      <c r="V64" s="84"/>
    </row>
  </sheetData>
  <mergeCells count="8">
    <mergeCell ref="L62:V64"/>
    <mergeCell ref="A1:G1"/>
    <mergeCell ref="B3:G3"/>
    <mergeCell ref="L3:V3"/>
    <mergeCell ref="L4:M4"/>
    <mergeCell ref="O4:P4"/>
    <mergeCell ref="R4:S4"/>
    <mergeCell ref="U4:V4"/>
  </mergeCells>
  <pageMargins left="0" right="0" top="0" bottom="0" header="0" footer="0"/>
  <pageSetup scale="48"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V64"/>
  <sheetViews>
    <sheetView zoomScale="75" workbookViewId="0">
      <selection sqref="A1:G1"/>
    </sheetView>
  </sheetViews>
  <sheetFormatPr defaultColWidth="9.109375" defaultRowHeight="14.4"/>
  <cols>
    <col min="1" max="1" width="20" style="1" customWidth="1"/>
    <col min="2" max="7" width="15" style="1" customWidth="1"/>
    <col min="8" max="8" width="1" style="1" customWidth="1"/>
    <col min="9" max="9" width="30" style="1" customWidth="1"/>
    <col min="10" max="10" width="15" style="1" customWidth="1"/>
    <col min="11" max="11" width="1" style="1" customWidth="1"/>
    <col min="12" max="13" width="15" style="1" customWidth="1"/>
    <col min="14" max="14" width="1" style="1" customWidth="1"/>
    <col min="15" max="16" width="15" style="1" customWidth="1"/>
    <col min="17" max="17" width="1" style="1" customWidth="1"/>
    <col min="18" max="19" width="15" style="1" customWidth="1"/>
    <col min="20" max="20" width="1" style="1" customWidth="1"/>
    <col min="21" max="22" width="15" style="1" customWidth="1"/>
    <col min="23" max="23" width="9.109375" style="1" customWidth="1"/>
    <col min="24" max="16384" width="9.109375" style="1"/>
  </cols>
  <sheetData>
    <row r="1" spans="1:22">
      <c r="A1" s="85" t="s">
        <v>116</v>
      </c>
      <c r="B1" s="79"/>
      <c r="C1" s="79"/>
      <c r="D1" s="79"/>
      <c r="E1" s="79"/>
      <c r="F1" s="79"/>
      <c r="G1" s="79"/>
    </row>
    <row r="3" spans="1:22">
      <c r="B3" s="86" t="s">
        <v>1</v>
      </c>
      <c r="C3" s="87"/>
      <c r="D3" s="87"/>
      <c r="E3" s="87"/>
      <c r="F3" s="87"/>
      <c r="G3" s="88"/>
      <c r="L3" s="89" t="s">
        <v>2</v>
      </c>
      <c r="M3" s="90"/>
      <c r="N3" s="90"/>
      <c r="O3" s="90"/>
      <c r="P3" s="90"/>
      <c r="Q3" s="90"/>
      <c r="R3" s="90"/>
      <c r="S3" s="90"/>
      <c r="T3" s="90"/>
      <c r="U3" s="90"/>
      <c r="V3" s="91"/>
    </row>
    <row r="4" spans="1:22">
      <c r="B4" s="6"/>
      <c r="G4" s="9"/>
      <c r="L4" s="92" t="s">
        <v>3</v>
      </c>
      <c r="M4" s="93"/>
      <c r="N4" s="3"/>
      <c r="O4" s="94" t="s">
        <v>4</v>
      </c>
      <c r="P4" s="93"/>
      <c r="Q4" s="3"/>
      <c r="R4" s="94" t="s">
        <v>5</v>
      </c>
      <c r="S4" s="93"/>
      <c r="T4" s="3"/>
      <c r="U4" s="94" t="s">
        <v>6</v>
      </c>
      <c r="V4" s="95"/>
    </row>
    <row r="5" spans="1:22" ht="60" customHeight="1">
      <c r="B5" s="7" t="s">
        <v>3</v>
      </c>
      <c r="C5" s="4" t="s">
        <v>4</v>
      </c>
      <c r="D5" s="4" t="s">
        <v>5</v>
      </c>
      <c r="E5" s="4" t="s">
        <v>6</v>
      </c>
      <c r="F5" s="4" t="s">
        <v>7</v>
      </c>
      <c r="G5" s="10" t="s">
        <v>8</v>
      </c>
      <c r="L5" s="19" t="s">
        <v>9</v>
      </c>
      <c r="M5" s="18" t="s">
        <v>10</v>
      </c>
      <c r="N5" s="18"/>
      <c r="O5" s="18" t="s">
        <v>9</v>
      </c>
      <c r="P5" s="18" t="s">
        <v>10</v>
      </c>
      <c r="Q5" s="18"/>
      <c r="R5" s="18" t="s">
        <v>9</v>
      </c>
      <c r="S5" s="18" t="s">
        <v>10</v>
      </c>
      <c r="T5" s="18"/>
      <c r="U5" s="18" t="s">
        <v>9</v>
      </c>
      <c r="V5" s="20" t="s">
        <v>10</v>
      </c>
    </row>
    <row r="6" spans="1:22">
      <c r="A6" s="1" t="s">
        <v>11</v>
      </c>
      <c r="B6" s="6">
        <v>1799.6324644488068</v>
      </c>
      <c r="C6" s="1">
        <v>382253.76467821293</v>
      </c>
      <c r="D6" s="1">
        <v>0</v>
      </c>
      <c r="E6" s="1">
        <v>0</v>
      </c>
      <c r="F6" s="1">
        <v>0</v>
      </c>
      <c r="G6" s="9">
        <f>SUM(AL_FINANCIAL)</f>
        <v>384053.39714266174</v>
      </c>
      <c r="L6" s="6"/>
      <c r="V6" s="9"/>
    </row>
    <row r="7" spans="1:22">
      <c r="A7" s="1" t="s">
        <v>12</v>
      </c>
      <c r="B7" s="6">
        <v>723.03365774358747</v>
      </c>
      <c r="C7" s="1">
        <v>1871.4052157662916</v>
      </c>
      <c r="D7" s="1">
        <v>0</v>
      </c>
      <c r="E7" s="1">
        <v>0</v>
      </c>
      <c r="F7" s="1">
        <v>0</v>
      </c>
      <c r="G7" s="9">
        <f>SUM(AK_FINANCIAL)</f>
        <v>2594.4388735098792</v>
      </c>
      <c r="I7" s="12"/>
      <c r="J7" s="15"/>
      <c r="L7" s="6">
        <v>4005</v>
      </c>
      <c r="M7" s="1">
        <v>30</v>
      </c>
      <c r="O7" s="1">
        <v>6000</v>
      </c>
      <c r="P7" s="1">
        <v>20</v>
      </c>
      <c r="R7" s="1">
        <v>5</v>
      </c>
      <c r="S7" s="1">
        <v>0</v>
      </c>
      <c r="U7" s="1">
        <v>0</v>
      </c>
      <c r="V7" s="9">
        <v>0</v>
      </c>
    </row>
    <row r="8" spans="1:22">
      <c r="A8" s="1" t="s">
        <v>13</v>
      </c>
      <c r="B8" s="6">
        <v>2316.7189140999139</v>
      </c>
      <c r="C8" s="1">
        <v>49016.133866603574</v>
      </c>
      <c r="D8" s="1">
        <v>0</v>
      </c>
      <c r="E8" s="1">
        <v>0</v>
      </c>
      <c r="F8" s="1">
        <v>0</v>
      </c>
      <c r="G8" s="9">
        <f>SUM(AZ_FINANCIAL)</f>
        <v>51332.852780703484</v>
      </c>
      <c r="I8" s="13" t="s">
        <v>14</v>
      </c>
      <c r="J8" s="16"/>
      <c r="L8" s="6"/>
      <c r="V8" s="9"/>
    </row>
    <row r="9" spans="1:22">
      <c r="A9" s="1" t="s">
        <v>15</v>
      </c>
      <c r="B9" s="6">
        <v>2259.2803646248208</v>
      </c>
      <c r="C9" s="1">
        <v>13185.200961231976</v>
      </c>
      <c r="D9" s="1">
        <v>0</v>
      </c>
      <c r="E9" s="1">
        <v>0</v>
      </c>
      <c r="F9" s="1">
        <v>0</v>
      </c>
      <c r="G9" s="9">
        <f>SUM(AR_FINANCIAL)</f>
        <v>15444.481325856797</v>
      </c>
      <c r="I9" s="13"/>
      <c r="J9" s="16"/>
      <c r="L9" s="6">
        <v>36125</v>
      </c>
      <c r="M9" s="1">
        <v>0</v>
      </c>
      <c r="O9" s="1">
        <v>0</v>
      </c>
      <c r="P9" s="1">
        <v>0</v>
      </c>
      <c r="R9" s="1">
        <v>0</v>
      </c>
      <c r="S9" s="1">
        <v>0</v>
      </c>
      <c r="U9" s="1">
        <v>0</v>
      </c>
      <c r="V9" s="9">
        <v>0</v>
      </c>
    </row>
    <row r="10" spans="1:22">
      <c r="A10" s="1" t="s">
        <v>16</v>
      </c>
      <c r="B10" s="6">
        <v>31046.759389887586</v>
      </c>
      <c r="C10" s="1">
        <v>249805.78607366551</v>
      </c>
      <c r="D10" s="1">
        <v>0</v>
      </c>
      <c r="E10" s="1">
        <v>0</v>
      </c>
      <c r="F10" s="1">
        <v>0</v>
      </c>
      <c r="G10" s="9">
        <f>SUM(CA_FINANCIAL)</f>
        <v>280852.54546355311</v>
      </c>
      <c r="I10" s="13" t="s">
        <v>17</v>
      </c>
      <c r="J10" s="16">
        <v>11499999</v>
      </c>
      <c r="L10" s="6">
        <v>205036</v>
      </c>
      <c r="M10" s="1">
        <v>0</v>
      </c>
      <c r="O10" s="1">
        <v>314964</v>
      </c>
      <c r="P10" s="1">
        <v>0</v>
      </c>
      <c r="R10" s="1">
        <v>0</v>
      </c>
      <c r="S10" s="1">
        <v>0</v>
      </c>
      <c r="U10" s="1">
        <v>0</v>
      </c>
      <c r="V10" s="9">
        <v>0</v>
      </c>
    </row>
    <row r="11" spans="1:22">
      <c r="A11" s="1" t="s">
        <v>18</v>
      </c>
      <c r="B11" s="6">
        <v>0</v>
      </c>
      <c r="C11" s="1">
        <v>0</v>
      </c>
      <c r="D11" s="1">
        <v>0</v>
      </c>
      <c r="E11" s="1">
        <v>0</v>
      </c>
      <c r="F11" s="1">
        <v>0</v>
      </c>
      <c r="G11" s="9">
        <f>SUM(CO_FINANCIAL)</f>
        <v>0</v>
      </c>
      <c r="I11" s="13"/>
      <c r="J11" s="16"/>
      <c r="L11" s="6"/>
      <c r="V11" s="9"/>
    </row>
    <row r="12" spans="1:22">
      <c r="A12" s="1" t="s">
        <v>19</v>
      </c>
      <c r="B12" s="6">
        <v>9007.1263700879808</v>
      </c>
      <c r="C12" s="1">
        <v>163387.86060254782</v>
      </c>
      <c r="D12" s="1">
        <v>0</v>
      </c>
      <c r="E12" s="1">
        <v>0</v>
      </c>
      <c r="F12" s="1">
        <v>0</v>
      </c>
      <c r="G12" s="9">
        <f>SUM(CT_FINANCIAL)</f>
        <v>172394.98697263582</v>
      </c>
      <c r="I12" s="13" t="s">
        <v>20</v>
      </c>
      <c r="J12" s="16"/>
      <c r="L12" s="6">
        <v>210000</v>
      </c>
      <c r="M12" s="1">
        <v>0</v>
      </c>
      <c r="O12" s="1">
        <v>0</v>
      </c>
      <c r="P12" s="1">
        <v>0</v>
      </c>
      <c r="R12" s="1">
        <v>0</v>
      </c>
      <c r="S12" s="1">
        <v>0</v>
      </c>
      <c r="U12" s="1">
        <v>0</v>
      </c>
      <c r="V12" s="9">
        <v>0</v>
      </c>
    </row>
    <row r="13" spans="1:22">
      <c r="A13" s="1" t="s">
        <v>21</v>
      </c>
      <c r="B13" s="6">
        <v>815.68946251259217</v>
      </c>
      <c r="C13" s="1">
        <v>29731.343645641267</v>
      </c>
      <c r="D13" s="1">
        <v>0</v>
      </c>
      <c r="E13" s="1">
        <v>0</v>
      </c>
      <c r="F13" s="1">
        <v>0</v>
      </c>
      <c r="G13" s="9">
        <f>SUM(DE_FINANCIAL)</f>
        <v>30547.033108153861</v>
      </c>
      <c r="I13" s="13" t="s">
        <v>22</v>
      </c>
      <c r="J13" s="16">
        <v>11499999</v>
      </c>
      <c r="L13" s="6"/>
      <c r="V13" s="9"/>
    </row>
    <row r="14" spans="1:22">
      <c r="A14" s="1" t="s">
        <v>23</v>
      </c>
      <c r="B14" s="6">
        <v>0</v>
      </c>
      <c r="C14" s="1">
        <v>0</v>
      </c>
      <c r="D14" s="1">
        <v>0</v>
      </c>
      <c r="E14" s="1">
        <v>0</v>
      </c>
      <c r="F14" s="1">
        <v>0</v>
      </c>
      <c r="G14" s="9">
        <f>SUM(DC_FINANCIAL)</f>
        <v>0</v>
      </c>
      <c r="I14" s="13" t="s">
        <v>24</v>
      </c>
      <c r="J14" s="16">
        <v>0</v>
      </c>
      <c r="L14" s="6"/>
      <c r="V14" s="9"/>
    </row>
    <row r="15" spans="1:22">
      <c r="A15" s="1" t="s">
        <v>25</v>
      </c>
      <c r="B15" s="6">
        <v>11352.212309064294</v>
      </c>
      <c r="C15" s="1">
        <v>272677.84176931792</v>
      </c>
      <c r="D15" s="1">
        <v>0</v>
      </c>
      <c r="E15" s="1">
        <v>0</v>
      </c>
      <c r="F15" s="1">
        <v>0</v>
      </c>
      <c r="G15" s="9">
        <f>SUM(FL_FINANCIAL)</f>
        <v>284030.05407838221</v>
      </c>
      <c r="I15" s="13" t="s">
        <v>26</v>
      </c>
      <c r="J15" s="16">
        <v>2940462.4499999993</v>
      </c>
      <c r="L15" s="6"/>
      <c r="V15" s="9"/>
    </row>
    <row r="16" spans="1:22">
      <c r="A16" s="1" t="s">
        <v>27</v>
      </c>
      <c r="B16" s="6">
        <v>10137.048501976175</v>
      </c>
      <c r="C16" s="1">
        <v>15586.6937083266</v>
      </c>
      <c r="D16" s="1">
        <v>0</v>
      </c>
      <c r="E16" s="1">
        <v>0</v>
      </c>
      <c r="F16" s="1">
        <v>0</v>
      </c>
      <c r="G16" s="9">
        <f>SUM(GA_FINANCIAL)</f>
        <v>25723.742210302775</v>
      </c>
      <c r="I16" s="13" t="s">
        <v>28</v>
      </c>
      <c r="J16" s="16">
        <v>0</v>
      </c>
      <c r="L16" s="6"/>
      <c r="V16" s="9"/>
    </row>
    <row r="17" spans="1:22">
      <c r="A17" s="1" t="s">
        <v>29</v>
      </c>
      <c r="B17" s="6">
        <v>664.66850272275087</v>
      </c>
      <c r="C17" s="1">
        <v>18314.638995122856</v>
      </c>
      <c r="D17" s="1">
        <v>0</v>
      </c>
      <c r="E17" s="1">
        <v>0</v>
      </c>
      <c r="F17" s="1">
        <v>0</v>
      </c>
      <c r="G17" s="9">
        <f>SUM(HI_FINANCIAL)</f>
        <v>18979.307497845606</v>
      </c>
      <c r="I17" s="13"/>
      <c r="J17" s="16"/>
      <c r="L17" s="6">
        <v>77</v>
      </c>
      <c r="M17" s="1">
        <v>0</v>
      </c>
      <c r="O17" s="1">
        <v>1692</v>
      </c>
      <c r="P17" s="1">
        <v>0</v>
      </c>
      <c r="R17" s="1">
        <v>73</v>
      </c>
      <c r="S17" s="1">
        <v>0</v>
      </c>
      <c r="U17" s="1">
        <v>0</v>
      </c>
      <c r="V17" s="9">
        <v>0</v>
      </c>
    </row>
    <row r="18" spans="1:22">
      <c r="A18" s="1" t="s">
        <v>30</v>
      </c>
      <c r="B18" s="6">
        <v>348.25803565988809</v>
      </c>
      <c r="C18" s="1">
        <v>158024.07655813478</v>
      </c>
      <c r="D18" s="1">
        <v>0</v>
      </c>
      <c r="E18" s="1">
        <v>0</v>
      </c>
      <c r="F18" s="1">
        <v>0</v>
      </c>
      <c r="G18" s="9">
        <f>SUM(ID_FINANCIAL)</f>
        <v>158372.33459379466</v>
      </c>
      <c r="I18" s="13" t="s">
        <v>31</v>
      </c>
      <c r="J18" s="16"/>
      <c r="L18" s="6"/>
      <c r="V18" s="9"/>
    </row>
    <row r="19" spans="1:22">
      <c r="A19" s="1" t="s">
        <v>32</v>
      </c>
      <c r="B19" s="6">
        <v>13087.039744516891</v>
      </c>
      <c r="C19" s="1">
        <v>630500.0300065825</v>
      </c>
      <c r="D19" s="1">
        <v>0</v>
      </c>
      <c r="E19" s="1">
        <v>0</v>
      </c>
      <c r="F19" s="1">
        <v>0</v>
      </c>
      <c r="G19" s="9">
        <f>SUM(IL_FINANCIAL)</f>
        <v>643587.06975109933</v>
      </c>
      <c r="I19" s="13" t="s">
        <v>33</v>
      </c>
      <c r="J19" s="16">
        <v>0</v>
      </c>
      <c r="L19" s="6">
        <v>80000</v>
      </c>
      <c r="M19" s="1">
        <v>0</v>
      </c>
      <c r="O19" s="1">
        <v>895000</v>
      </c>
      <c r="P19" s="1">
        <v>0</v>
      </c>
      <c r="R19" s="1">
        <v>5000</v>
      </c>
      <c r="S19" s="1">
        <v>0</v>
      </c>
      <c r="U19" s="1">
        <v>35000</v>
      </c>
      <c r="V19" s="9">
        <v>0</v>
      </c>
    </row>
    <row r="20" spans="1:22">
      <c r="A20" s="1" t="s">
        <v>34</v>
      </c>
      <c r="B20" s="6">
        <v>6785.1273746141524</v>
      </c>
      <c r="C20" s="1">
        <v>1120676.5569827275</v>
      </c>
      <c r="D20" s="1">
        <v>0</v>
      </c>
      <c r="E20" s="1">
        <v>0</v>
      </c>
      <c r="F20" s="1">
        <v>0</v>
      </c>
      <c r="G20" s="9">
        <f>SUM(IN_FINANCIAL)</f>
        <v>1127461.6843573416</v>
      </c>
      <c r="I20" s="13" t="s">
        <v>35</v>
      </c>
      <c r="J20" s="16">
        <v>11499999</v>
      </c>
      <c r="L20" s="6"/>
      <c r="V20" s="9"/>
    </row>
    <row r="21" spans="1:22">
      <c r="A21" s="1" t="s">
        <v>36</v>
      </c>
      <c r="B21" s="6">
        <v>1909.0058210929424</v>
      </c>
      <c r="C21" s="1">
        <v>61383.605649586818</v>
      </c>
      <c r="D21" s="1">
        <v>0</v>
      </c>
      <c r="E21" s="1">
        <v>0</v>
      </c>
      <c r="F21" s="1">
        <v>0</v>
      </c>
      <c r="G21" s="9">
        <f>SUM(IA_FINANCIAL)</f>
        <v>63292.61147067976</v>
      </c>
      <c r="I21" s="13" t="s">
        <v>37</v>
      </c>
      <c r="J21" s="16"/>
      <c r="L21" s="6"/>
      <c r="V21" s="9"/>
    </row>
    <row r="22" spans="1:22">
      <c r="A22" s="1" t="s">
        <v>38</v>
      </c>
      <c r="B22" s="6">
        <v>2015.8066605397948</v>
      </c>
      <c r="C22" s="1">
        <v>15596.238715640842</v>
      </c>
      <c r="D22" s="1">
        <v>0</v>
      </c>
      <c r="E22" s="1">
        <v>0</v>
      </c>
      <c r="F22" s="1">
        <v>0</v>
      </c>
      <c r="G22" s="9">
        <f>SUM(KS_FINANCIAL)</f>
        <v>17612.045376180638</v>
      </c>
      <c r="I22" s="13" t="s">
        <v>39</v>
      </c>
      <c r="J22" s="16">
        <v>0</v>
      </c>
      <c r="L22" s="6"/>
      <c r="V22" s="9"/>
    </row>
    <row r="23" spans="1:22">
      <c r="A23" s="1" t="s">
        <v>40</v>
      </c>
      <c r="B23" s="6">
        <v>1487.9397772359164</v>
      </c>
      <c r="C23" s="1">
        <v>28971.000904697292</v>
      </c>
      <c r="D23" s="1">
        <v>0</v>
      </c>
      <c r="E23" s="1">
        <v>0</v>
      </c>
      <c r="F23" s="1">
        <v>0</v>
      </c>
      <c r="G23" s="9">
        <f>SUM(KY_FINANCIAL)</f>
        <v>30458.940681933207</v>
      </c>
      <c r="I23" s="13" t="s">
        <v>41</v>
      </c>
      <c r="J23" s="16"/>
      <c r="L23" s="6"/>
      <c r="V23" s="9"/>
    </row>
    <row r="24" spans="1:22">
      <c r="A24" s="1" t="s">
        <v>42</v>
      </c>
      <c r="B24" s="6">
        <v>0</v>
      </c>
      <c r="C24" s="1">
        <v>0</v>
      </c>
      <c r="D24" s="1">
        <v>0</v>
      </c>
      <c r="E24" s="1">
        <v>0</v>
      </c>
      <c r="F24" s="1">
        <v>0</v>
      </c>
      <c r="G24" s="9">
        <f>SUM(LA_FINANCIAL)</f>
        <v>0</v>
      </c>
      <c r="I24" s="13" t="s">
        <v>43</v>
      </c>
      <c r="J24" s="16">
        <v>0</v>
      </c>
      <c r="L24" s="6"/>
      <c r="V24" s="9"/>
    </row>
    <row r="25" spans="1:22">
      <c r="A25" s="1" t="s">
        <v>44</v>
      </c>
      <c r="B25" s="6">
        <v>1431.834669562963</v>
      </c>
      <c r="C25" s="1">
        <v>16000.25252292334</v>
      </c>
      <c r="D25" s="1">
        <v>0</v>
      </c>
      <c r="E25" s="1">
        <v>0</v>
      </c>
      <c r="F25" s="1">
        <v>0</v>
      </c>
      <c r="G25" s="9">
        <f>SUM(ME_FINANCIAL)</f>
        <v>17432.087192486302</v>
      </c>
      <c r="I25" s="13"/>
      <c r="J25" s="16"/>
      <c r="L25" s="6"/>
      <c r="V25" s="9"/>
    </row>
    <row r="26" spans="1:22">
      <c r="A26" s="1" t="s">
        <v>45</v>
      </c>
      <c r="B26" s="6">
        <v>12654.787991078008</v>
      </c>
      <c r="C26" s="1">
        <v>25691.506637563078</v>
      </c>
      <c r="D26" s="1">
        <v>0</v>
      </c>
      <c r="E26" s="1">
        <v>0</v>
      </c>
      <c r="F26" s="1">
        <v>0</v>
      </c>
      <c r="G26" s="9">
        <f>SUM(MD_FINANCIAL)</f>
        <v>38346.294628641088</v>
      </c>
      <c r="I26" s="13" t="s">
        <v>46</v>
      </c>
      <c r="J26" s="16">
        <f>SUM(ADD_FINANCIAL)-SUM(LESS_FINANCIAL)</f>
        <v>14440461.449999999</v>
      </c>
      <c r="L26" s="6"/>
      <c r="V26" s="9"/>
    </row>
    <row r="27" spans="1:22">
      <c r="A27" s="1" t="s">
        <v>47</v>
      </c>
      <c r="B27" s="6">
        <v>10992.479706298687</v>
      </c>
      <c r="C27" s="1">
        <v>108416.3319795979</v>
      </c>
      <c r="D27" s="1">
        <v>0</v>
      </c>
      <c r="E27" s="1">
        <v>0</v>
      </c>
      <c r="F27" s="1">
        <v>0</v>
      </c>
      <c r="G27" s="9">
        <f>SUM(MA_FINANCIAL)</f>
        <v>119408.8116858966</v>
      </c>
      <c r="I27" s="13" t="s">
        <v>48</v>
      </c>
      <c r="J27" s="16">
        <f>SUM(ALL_BLOCKS)</f>
        <v>14440461.449999997</v>
      </c>
      <c r="L27" s="6"/>
      <c r="V27" s="9"/>
    </row>
    <row r="28" spans="1:22">
      <c r="A28" s="1" t="s">
        <v>49</v>
      </c>
      <c r="B28" s="6">
        <v>9442.9647994595125</v>
      </c>
      <c r="C28" s="1">
        <v>123577.4923670373</v>
      </c>
      <c r="D28" s="1">
        <v>0</v>
      </c>
      <c r="E28" s="1">
        <v>0</v>
      </c>
      <c r="F28" s="1">
        <v>0</v>
      </c>
      <c r="G28" s="9">
        <f>SUM(MI_FINANCIAL)</f>
        <v>133020.45716649681</v>
      </c>
      <c r="I28" s="14"/>
      <c r="J28" s="17"/>
      <c r="L28" s="6"/>
      <c r="V28" s="9"/>
    </row>
    <row r="29" spans="1:22">
      <c r="A29" s="1" t="s">
        <v>50</v>
      </c>
      <c r="B29" s="6">
        <v>8062.0958639939954</v>
      </c>
      <c r="C29" s="1">
        <v>1058872.4774863066</v>
      </c>
      <c r="D29" s="1">
        <v>0</v>
      </c>
      <c r="E29" s="1">
        <v>0</v>
      </c>
      <c r="F29" s="1">
        <v>0</v>
      </c>
      <c r="G29" s="9">
        <f>SUM(MN_FINANCIAL)</f>
        <v>1066934.5733503005</v>
      </c>
      <c r="L29" s="6">
        <v>286000</v>
      </c>
      <c r="M29" s="1">
        <v>0</v>
      </c>
      <c r="O29" s="1">
        <v>814000</v>
      </c>
      <c r="P29" s="1">
        <v>0</v>
      </c>
      <c r="R29" s="1">
        <v>0</v>
      </c>
      <c r="S29" s="1">
        <v>0</v>
      </c>
      <c r="U29" s="1">
        <v>0</v>
      </c>
      <c r="V29" s="9">
        <v>0</v>
      </c>
    </row>
    <row r="30" spans="1:22">
      <c r="A30" s="1" t="s">
        <v>51</v>
      </c>
      <c r="B30" s="6">
        <v>1547.6222243954485</v>
      </c>
      <c r="C30" s="1">
        <v>9452.2249807436292</v>
      </c>
      <c r="D30" s="1">
        <v>0</v>
      </c>
      <c r="E30" s="1">
        <v>0</v>
      </c>
      <c r="F30" s="1">
        <v>0</v>
      </c>
      <c r="G30" s="9">
        <f>SUM(MS_FINANCIAL)</f>
        <v>10999.847205139078</v>
      </c>
      <c r="L30" s="6"/>
      <c r="V30" s="9"/>
    </row>
    <row r="31" spans="1:22">
      <c r="A31" s="1" t="s">
        <v>52</v>
      </c>
      <c r="B31" s="6">
        <v>3512.3774388894781</v>
      </c>
      <c r="C31" s="1">
        <v>78283.247043423995</v>
      </c>
      <c r="D31" s="1">
        <v>0</v>
      </c>
      <c r="E31" s="1">
        <v>0</v>
      </c>
      <c r="F31" s="1">
        <v>0</v>
      </c>
      <c r="G31" s="9">
        <f>SUM(MO_FINANCIAL)</f>
        <v>81795.624482313477</v>
      </c>
      <c r="L31" s="6"/>
      <c r="V31" s="9"/>
    </row>
    <row r="32" spans="1:22">
      <c r="A32" s="1" t="s">
        <v>53</v>
      </c>
      <c r="B32" s="6">
        <v>561.47965162386288</v>
      </c>
      <c r="C32" s="1">
        <v>27761.943400361939</v>
      </c>
      <c r="D32" s="1">
        <v>0</v>
      </c>
      <c r="E32" s="1">
        <v>0</v>
      </c>
      <c r="F32" s="1">
        <v>0</v>
      </c>
      <c r="G32" s="9">
        <f>SUM(MT_FINANCIAL)</f>
        <v>28323.423051985803</v>
      </c>
      <c r="L32" s="6"/>
      <c r="V32" s="9"/>
    </row>
    <row r="33" spans="1:22">
      <c r="A33" s="1" t="s">
        <v>54</v>
      </c>
      <c r="B33" s="6">
        <v>802.6090993740695</v>
      </c>
      <c r="C33" s="1">
        <v>397573.25326913968</v>
      </c>
      <c r="D33" s="1">
        <v>0</v>
      </c>
      <c r="E33" s="1">
        <v>0</v>
      </c>
      <c r="F33" s="1">
        <v>0</v>
      </c>
      <c r="G33" s="9">
        <f>SUM(NE_FINANCIAL)</f>
        <v>398375.86236851377</v>
      </c>
      <c r="L33" s="6"/>
      <c r="V33" s="9"/>
    </row>
    <row r="34" spans="1:22">
      <c r="A34" s="1" t="s">
        <v>55</v>
      </c>
      <c r="B34" s="6">
        <v>540.57371675506431</v>
      </c>
      <c r="C34" s="1">
        <v>87858.406522177174</v>
      </c>
      <c r="D34" s="1">
        <v>0</v>
      </c>
      <c r="E34" s="1">
        <v>0</v>
      </c>
      <c r="F34" s="1">
        <v>0</v>
      </c>
      <c r="G34" s="9">
        <f>SUM(NV_FINANCIAL)</f>
        <v>88398.980238932243</v>
      </c>
      <c r="L34" s="6"/>
      <c r="V34" s="9"/>
    </row>
    <row r="35" spans="1:22">
      <c r="A35" s="1" t="s">
        <v>56</v>
      </c>
      <c r="B35" s="6">
        <v>3878.3608939476085</v>
      </c>
      <c r="C35" s="1">
        <v>259028.93056086489</v>
      </c>
      <c r="D35" s="1">
        <v>0</v>
      </c>
      <c r="E35" s="1">
        <v>0</v>
      </c>
      <c r="F35" s="1">
        <v>0</v>
      </c>
      <c r="G35" s="9">
        <f>SUM(NH_FINANCIAL)</f>
        <v>262907.29145481251</v>
      </c>
      <c r="L35" s="6"/>
      <c r="V35" s="9"/>
    </row>
    <row r="36" spans="1:22">
      <c r="A36" s="1" t="s">
        <v>57</v>
      </c>
      <c r="B36" s="6">
        <v>12917.261060499834</v>
      </c>
      <c r="C36" s="1">
        <v>145681.2218065674</v>
      </c>
      <c r="D36" s="1">
        <v>0</v>
      </c>
      <c r="E36" s="1">
        <v>0</v>
      </c>
      <c r="F36" s="1">
        <v>0</v>
      </c>
      <c r="G36" s="9">
        <f>SUM(NJ_FINANCIAL)</f>
        <v>158598.48286706721</v>
      </c>
      <c r="L36" s="6"/>
      <c r="V36" s="9"/>
    </row>
    <row r="37" spans="1:22">
      <c r="A37" s="1" t="s">
        <v>58</v>
      </c>
      <c r="B37" s="6">
        <v>635.93615647607555</v>
      </c>
      <c r="C37" s="1">
        <v>271543.23759245529</v>
      </c>
      <c r="D37" s="1">
        <v>0</v>
      </c>
      <c r="E37" s="1">
        <v>0</v>
      </c>
      <c r="F37" s="1">
        <v>0</v>
      </c>
      <c r="G37" s="9">
        <f>SUM(NM_FINANCIAL)</f>
        <v>272179.17374893138</v>
      </c>
      <c r="L37" s="6">
        <v>49965</v>
      </c>
      <c r="M37" s="1">
        <v>0</v>
      </c>
      <c r="O37" s="1">
        <v>349994</v>
      </c>
      <c r="P37" s="1">
        <v>0</v>
      </c>
      <c r="R37" s="1">
        <v>0</v>
      </c>
      <c r="S37" s="1">
        <v>0</v>
      </c>
      <c r="U37" s="1">
        <v>0</v>
      </c>
      <c r="V37" s="9">
        <v>0</v>
      </c>
    </row>
    <row r="38" spans="1:22">
      <c r="A38" s="1" t="s">
        <v>59</v>
      </c>
      <c r="B38" s="6">
        <v>0</v>
      </c>
      <c r="C38" s="1">
        <v>0</v>
      </c>
      <c r="D38" s="1">
        <v>0</v>
      </c>
      <c r="E38" s="1">
        <v>0</v>
      </c>
      <c r="F38" s="1">
        <v>0</v>
      </c>
      <c r="G38" s="9">
        <f>SUM(NY_FINANCIAL)</f>
        <v>0</v>
      </c>
      <c r="L38" s="6"/>
      <c r="V38" s="9"/>
    </row>
    <row r="39" spans="1:22">
      <c r="A39" s="1" t="s">
        <v>60</v>
      </c>
      <c r="B39" s="6">
        <v>8696.5836764464912</v>
      </c>
      <c r="C39" s="1">
        <v>119657.92989066108</v>
      </c>
      <c r="D39" s="1">
        <v>0</v>
      </c>
      <c r="E39" s="1">
        <v>0</v>
      </c>
      <c r="F39" s="1">
        <v>0</v>
      </c>
      <c r="G39" s="9">
        <f>SUM(NC_FINANCIAL)</f>
        <v>128354.51356710757</v>
      </c>
      <c r="L39" s="6">
        <v>12800</v>
      </c>
      <c r="M39" s="1">
        <v>0</v>
      </c>
      <c r="O39" s="1">
        <v>147200</v>
      </c>
      <c r="P39" s="1">
        <v>0</v>
      </c>
      <c r="R39" s="1">
        <v>0</v>
      </c>
      <c r="S39" s="1">
        <v>0</v>
      </c>
      <c r="U39" s="1">
        <v>0</v>
      </c>
      <c r="V39" s="9">
        <v>0</v>
      </c>
    </row>
    <row r="40" spans="1:22">
      <c r="A40" s="1" t="s">
        <v>61</v>
      </c>
      <c r="B40" s="6">
        <v>552.06069327136561</v>
      </c>
      <c r="C40" s="1">
        <v>20115.992318379445</v>
      </c>
      <c r="D40" s="1">
        <v>0</v>
      </c>
      <c r="E40" s="1">
        <v>0</v>
      </c>
      <c r="F40" s="1">
        <v>0</v>
      </c>
      <c r="G40" s="9">
        <f>SUM(ND_FINANCIAL)</f>
        <v>20668.053011650813</v>
      </c>
      <c r="L40" s="6"/>
      <c r="V40" s="9"/>
    </row>
    <row r="41" spans="1:22">
      <c r="A41" s="1" t="s">
        <v>62</v>
      </c>
      <c r="B41" s="6">
        <v>14266.412093490315</v>
      </c>
      <c r="C41" s="1">
        <v>200845.76865189485</v>
      </c>
      <c r="D41" s="1">
        <v>0</v>
      </c>
      <c r="E41" s="1">
        <v>0</v>
      </c>
      <c r="F41" s="1">
        <v>0</v>
      </c>
      <c r="G41" s="9">
        <f>SUM(OH_FINANCIAL)</f>
        <v>215112.18074538515</v>
      </c>
      <c r="L41" s="6"/>
      <c r="V41" s="9"/>
    </row>
    <row r="42" spans="1:22">
      <c r="A42" s="1" t="s">
        <v>63</v>
      </c>
      <c r="B42" s="6">
        <v>1022.0756637615145</v>
      </c>
      <c r="C42" s="1">
        <v>28163.386616148615</v>
      </c>
      <c r="D42" s="1">
        <v>0</v>
      </c>
      <c r="E42" s="1">
        <v>0</v>
      </c>
      <c r="F42" s="1">
        <v>0</v>
      </c>
      <c r="G42" s="9">
        <f>SUM(OK_FINANCIAL)</f>
        <v>29185.462279910131</v>
      </c>
      <c r="L42" s="6">
        <v>5500</v>
      </c>
      <c r="M42" s="1">
        <v>0</v>
      </c>
      <c r="O42" s="1">
        <v>44500</v>
      </c>
      <c r="P42" s="1">
        <v>0</v>
      </c>
      <c r="R42" s="1">
        <v>0</v>
      </c>
      <c r="S42" s="1">
        <v>0</v>
      </c>
      <c r="U42" s="1">
        <v>0</v>
      </c>
      <c r="V42" s="9">
        <v>0</v>
      </c>
    </row>
    <row r="43" spans="1:22">
      <c r="A43" s="1" t="s">
        <v>64</v>
      </c>
      <c r="B43" s="6">
        <v>2955.5576402142351</v>
      </c>
      <c r="C43" s="1">
        <v>57065.327498658502</v>
      </c>
      <c r="D43" s="1">
        <v>0</v>
      </c>
      <c r="E43" s="1">
        <v>0</v>
      </c>
      <c r="F43" s="1">
        <v>0</v>
      </c>
      <c r="G43" s="9">
        <f>SUM(OR_FINANCIAL)</f>
        <v>60020.885138872734</v>
      </c>
      <c r="L43" s="6"/>
      <c r="V43" s="9"/>
    </row>
    <row r="44" spans="1:22">
      <c r="A44" s="1" t="s">
        <v>65</v>
      </c>
      <c r="B44" s="6">
        <v>13758.729814338165</v>
      </c>
      <c r="C44" s="1">
        <v>3793202.2854570295</v>
      </c>
      <c r="D44" s="1">
        <v>0</v>
      </c>
      <c r="E44" s="1">
        <v>0</v>
      </c>
      <c r="F44" s="1">
        <v>0</v>
      </c>
      <c r="G44" s="9">
        <f>SUM(PA_FINANCIAL)</f>
        <v>3806961.0152713675</v>
      </c>
      <c r="L44" s="6"/>
      <c r="V44" s="9"/>
    </row>
    <row r="45" spans="1:22">
      <c r="A45" s="1" t="s">
        <v>66</v>
      </c>
      <c r="B45" s="6">
        <v>0</v>
      </c>
      <c r="C45" s="1">
        <v>0</v>
      </c>
      <c r="D45" s="1">
        <v>0</v>
      </c>
      <c r="E45" s="1">
        <v>0</v>
      </c>
      <c r="F45" s="1">
        <v>0</v>
      </c>
      <c r="G45" s="9">
        <f>SUM(PR_FINANCIAL)</f>
        <v>0</v>
      </c>
      <c r="L45" s="6"/>
      <c r="V45" s="9"/>
    </row>
    <row r="46" spans="1:22">
      <c r="A46" s="1" t="s">
        <v>67</v>
      </c>
      <c r="B46" s="6">
        <v>970.57573919617062</v>
      </c>
      <c r="C46" s="1">
        <v>209785.39261775569</v>
      </c>
      <c r="D46" s="1">
        <v>0</v>
      </c>
      <c r="E46" s="1">
        <v>0</v>
      </c>
      <c r="F46" s="1">
        <v>0</v>
      </c>
      <c r="G46" s="9">
        <f>SUM(RI_FINANCIAL)</f>
        <v>210755.96835695187</v>
      </c>
      <c r="L46" s="6"/>
      <c r="V46" s="9"/>
    </row>
    <row r="47" spans="1:22">
      <c r="A47" s="1" t="s">
        <v>68</v>
      </c>
      <c r="B47" s="6">
        <v>3904.214762537862</v>
      </c>
      <c r="C47" s="1">
        <v>667149.33167845919</v>
      </c>
      <c r="D47" s="1">
        <v>0</v>
      </c>
      <c r="E47" s="1">
        <v>0</v>
      </c>
      <c r="F47" s="1">
        <v>0</v>
      </c>
      <c r="G47" s="9">
        <f>SUM(SC_FINANCIAL)</f>
        <v>671053.54644099704</v>
      </c>
      <c r="L47" s="6"/>
      <c r="V47" s="9"/>
    </row>
    <row r="48" spans="1:22">
      <c r="A48" s="1" t="s">
        <v>69</v>
      </c>
      <c r="B48" s="6">
        <v>136.67673281348777</v>
      </c>
      <c r="C48" s="1">
        <v>9203.2657938941229</v>
      </c>
      <c r="D48" s="1">
        <v>0</v>
      </c>
      <c r="E48" s="1">
        <v>0</v>
      </c>
      <c r="F48" s="1">
        <v>0</v>
      </c>
      <c r="G48" s="9">
        <f>SUM(SD_FINANCIAL)</f>
        <v>9339.9425267076113</v>
      </c>
      <c r="L48" s="6"/>
      <c r="V48" s="9"/>
    </row>
    <row r="49" spans="1:22">
      <c r="A49" s="1" t="s">
        <v>70</v>
      </c>
      <c r="B49" s="6">
        <v>5330.4469552819555</v>
      </c>
      <c r="C49" s="1">
        <v>55760.650938937433</v>
      </c>
      <c r="D49" s="1">
        <v>0</v>
      </c>
      <c r="E49" s="1">
        <v>0</v>
      </c>
      <c r="F49" s="1">
        <v>0</v>
      </c>
      <c r="G49" s="9">
        <f>SUM(TN_FINANCIAL)</f>
        <v>61091.097894219391</v>
      </c>
      <c r="L49" s="6"/>
      <c r="V49" s="9"/>
    </row>
    <row r="50" spans="1:22">
      <c r="A50" s="1" t="s">
        <v>71</v>
      </c>
      <c r="B50" s="6">
        <v>10108.940880951886</v>
      </c>
      <c r="C50" s="1">
        <v>130448.55491229151</v>
      </c>
      <c r="D50" s="1">
        <v>0</v>
      </c>
      <c r="E50" s="1">
        <v>0</v>
      </c>
      <c r="F50" s="1">
        <v>0</v>
      </c>
      <c r="G50" s="9">
        <f>SUM(TX_FINANCIAL)</f>
        <v>140557.4957932434</v>
      </c>
      <c r="L50" s="6"/>
      <c r="V50" s="9"/>
    </row>
    <row r="51" spans="1:22">
      <c r="A51" s="1" t="s">
        <v>72</v>
      </c>
      <c r="B51" s="6">
        <v>483.80135233725957</v>
      </c>
      <c r="C51" s="1">
        <v>35745.170700541072</v>
      </c>
      <c r="D51" s="1">
        <v>0</v>
      </c>
      <c r="E51" s="1">
        <v>0</v>
      </c>
      <c r="F51" s="1">
        <v>0</v>
      </c>
      <c r="G51" s="9">
        <f>SUM(UT_FINANCIAL)</f>
        <v>36228.972052878329</v>
      </c>
      <c r="L51" s="6">
        <v>0</v>
      </c>
      <c r="M51" s="1">
        <v>0</v>
      </c>
      <c r="O51" s="1">
        <v>0</v>
      </c>
      <c r="P51" s="1">
        <v>0</v>
      </c>
      <c r="R51" s="1">
        <v>325000</v>
      </c>
      <c r="S51" s="1">
        <v>0</v>
      </c>
      <c r="U51" s="1">
        <v>0</v>
      </c>
      <c r="V51" s="9">
        <v>0</v>
      </c>
    </row>
    <row r="52" spans="1:22">
      <c r="A52" s="1" t="s">
        <v>73</v>
      </c>
      <c r="B52" s="6">
        <v>2346.2563675777387</v>
      </c>
      <c r="C52" s="1">
        <v>26086.642991661865</v>
      </c>
      <c r="D52" s="1">
        <v>0</v>
      </c>
      <c r="E52" s="1">
        <v>0</v>
      </c>
      <c r="F52" s="1">
        <v>0</v>
      </c>
      <c r="G52" s="9">
        <f>SUM(VT_FINANCIAL)</f>
        <v>28432.899359239604</v>
      </c>
      <c r="L52" s="6"/>
      <c r="V52" s="9"/>
    </row>
    <row r="53" spans="1:22">
      <c r="A53" s="1" t="s">
        <v>74</v>
      </c>
      <c r="B53" s="6">
        <v>37858.883010188052</v>
      </c>
      <c r="C53" s="1">
        <v>2300954.378364895</v>
      </c>
      <c r="D53" s="1">
        <v>0</v>
      </c>
      <c r="E53" s="1">
        <v>0</v>
      </c>
      <c r="F53" s="1">
        <v>0</v>
      </c>
      <c r="G53" s="9">
        <f>SUM(VA_FINANCIAL)</f>
        <v>2338813.2613750831</v>
      </c>
      <c r="L53" s="6"/>
      <c r="V53" s="9"/>
    </row>
    <row r="54" spans="1:22">
      <c r="A54" s="1" t="s">
        <v>75</v>
      </c>
      <c r="B54" s="6">
        <v>2547.1101924792069</v>
      </c>
      <c r="C54" s="1">
        <v>39424.15866288932</v>
      </c>
      <c r="D54" s="1">
        <v>0</v>
      </c>
      <c r="E54" s="1">
        <v>0</v>
      </c>
      <c r="F54" s="1">
        <v>0</v>
      </c>
      <c r="G54" s="9">
        <f>SUM(WA_FINANCIAL)</f>
        <v>41971.268855368529</v>
      </c>
      <c r="L54" s="6"/>
      <c r="V54" s="9"/>
    </row>
    <row r="55" spans="1:22">
      <c r="A55" s="1" t="s">
        <v>76</v>
      </c>
      <c r="B55" s="6">
        <v>929.62875049806917</v>
      </c>
      <c r="C55" s="1">
        <v>47409.251534309027</v>
      </c>
      <c r="D55" s="1">
        <v>0</v>
      </c>
      <c r="E55" s="1">
        <v>0</v>
      </c>
      <c r="F55" s="1">
        <v>0</v>
      </c>
      <c r="G55" s="9">
        <f>SUM(WV_FINANCIAL)</f>
        <v>48338.880284807099</v>
      </c>
      <c r="L55" s="6">
        <v>0</v>
      </c>
      <c r="M55" s="1">
        <v>0</v>
      </c>
      <c r="O55" s="1">
        <v>75000</v>
      </c>
      <c r="P55" s="1">
        <v>0</v>
      </c>
      <c r="R55" s="1">
        <v>0</v>
      </c>
      <c r="S55" s="1">
        <v>0</v>
      </c>
      <c r="U55" s="1">
        <v>0</v>
      </c>
      <c r="V55" s="9">
        <v>0</v>
      </c>
    </row>
    <row r="56" spans="1:22">
      <c r="A56" s="1" t="s">
        <v>77</v>
      </c>
      <c r="B56" s="6">
        <v>7247.7291211556312</v>
      </c>
      <c r="C56" s="1">
        <v>589468.57488654205</v>
      </c>
      <c r="D56" s="1">
        <v>0</v>
      </c>
      <c r="E56" s="1">
        <v>0</v>
      </c>
      <c r="F56" s="1">
        <v>0</v>
      </c>
      <c r="G56" s="9">
        <f>SUM(WI_FINANCIAL)</f>
        <v>596716.30400769773</v>
      </c>
      <c r="L56" s="6"/>
      <c r="V56" s="9"/>
    </row>
    <row r="57" spans="1:22">
      <c r="A57" s="1" t="s">
        <v>78</v>
      </c>
      <c r="B57" s="6">
        <v>90.058902130206789</v>
      </c>
      <c r="C57" s="1">
        <v>13311.209010230526</v>
      </c>
      <c r="D57" s="1">
        <v>0</v>
      </c>
      <c r="E57" s="1">
        <v>0</v>
      </c>
      <c r="F57" s="1">
        <v>0</v>
      </c>
      <c r="G57" s="9">
        <f>SUM(WY_FINANCIAL)</f>
        <v>13401.267912360734</v>
      </c>
      <c r="L57" s="6"/>
      <c r="V57" s="9"/>
    </row>
    <row r="58" spans="1:22">
      <c r="A58" s="1" t="s">
        <v>79</v>
      </c>
      <c r="B58" s="6">
        <v>0</v>
      </c>
      <c r="C58" s="1">
        <v>0</v>
      </c>
      <c r="D58" s="1">
        <v>0</v>
      </c>
      <c r="E58" s="1">
        <v>0</v>
      </c>
      <c r="F58" s="1">
        <v>0</v>
      </c>
      <c r="G58" s="9">
        <f>SUM(OT_FINANCIAL)</f>
        <v>0</v>
      </c>
      <c r="L58" s="6"/>
      <c r="V58" s="9"/>
    </row>
    <row r="59" spans="1:22">
      <c r="B59" s="6"/>
      <c r="G59" s="9"/>
      <c r="L59" s="6"/>
      <c r="V59" s="9"/>
    </row>
    <row r="60" spans="1:22">
      <c r="A60" s="1" t="s">
        <v>8</v>
      </c>
      <c r="B60" s="6">
        <f>SUM(LIFE)</f>
        <v>275941.47297185229</v>
      </c>
      <c r="C60" s="1">
        <f>SUM(ALLOCATED)</f>
        <v>14164519.977028148</v>
      </c>
      <c r="D60" s="1">
        <f>SUM(HEALTH)</f>
        <v>0</v>
      </c>
      <c r="E60" s="1">
        <f>SUM(UNALLOCATED)</f>
        <v>0</v>
      </c>
      <c r="F60" s="1">
        <f>SUM(LTC)</f>
        <v>0</v>
      </c>
      <c r="G60" s="9">
        <f>SUM(ALL_BLOCKS)</f>
        <v>14440461.449999997</v>
      </c>
      <c r="L60" s="6">
        <f>SUM(LIFE_CALLED)</f>
        <v>889508</v>
      </c>
      <c r="M60" s="1">
        <f>SUM(LIFE_REFUNDED)</f>
        <v>30</v>
      </c>
      <c r="O60" s="1">
        <f>SUM(ALLOC_CALLED)</f>
        <v>2648350</v>
      </c>
      <c r="P60" s="1">
        <f>SUM(ALLOC_REFUNDED)</f>
        <v>20</v>
      </c>
      <c r="R60" s="1">
        <f>SUM(HEALTH_CALLED)</f>
        <v>330078</v>
      </c>
      <c r="S60" s="1">
        <f>SUM(HEALTH_REFUNDED)</f>
        <v>0</v>
      </c>
      <c r="U60" s="1">
        <f>SUM(UNALLOC_CALLED)</f>
        <v>35000</v>
      </c>
      <c r="V60" s="9">
        <f>SUM(UNALLOC_REFUNDED)</f>
        <v>0</v>
      </c>
    </row>
    <row r="61" spans="1:22" ht="5.0999999999999996" customHeight="1">
      <c r="B61" s="6"/>
      <c r="G61" s="9"/>
      <c r="L61" s="6"/>
      <c r="V61" s="9"/>
    </row>
    <row r="62" spans="1:22">
      <c r="B62" s="6"/>
      <c r="G62" s="9"/>
      <c r="L62" s="78" t="s">
        <v>80</v>
      </c>
      <c r="M62" s="79"/>
      <c r="N62" s="79"/>
      <c r="O62" s="79"/>
      <c r="P62" s="79"/>
      <c r="Q62" s="79"/>
      <c r="R62" s="79"/>
      <c r="S62" s="79"/>
      <c r="T62" s="79"/>
      <c r="U62" s="79"/>
      <c r="V62" s="80"/>
    </row>
    <row r="63" spans="1:22">
      <c r="B63" s="6"/>
      <c r="G63" s="9"/>
      <c r="L63" s="81"/>
      <c r="M63" s="79"/>
      <c r="N63" s="79"/>
      <c r="O63" s="79"/>
      <c r="P63" s="79"/>
      <c r="Q63" s="79"/>
      <c r="R63" s="79"/>
      <c r="S63" s="79"/>
      <c r="T63" s="79"/>
      <c r="U63" s="79"/>
      <c r="V63" s="80"/>
    </row>
    <row r="64" spans="1:22">
      <c r="B64" s="8"/>
      <c r="C64" s="5"/>
      <c r="D64" s="5"/>
      <c r="E64" s="5"/>
      <c r="F64" s="5"/>
      <c r="G64" s="11"/>
      <c r="L64" s="82"/>
      <c r="M64" s="83"/>
      <c r="N64" s="83"/>
      <c r="O64" s="83"/>
      <c r="P64" s="83"/>
      <c r="Q64" s="83"/>
      <c r="R64" s="83"/>
      <c r="S64" s="83"/>
      <c r="T64" s="83"/>
      <c r="U64" s="83"/>
      <c r="V64" s="84"/>
    </row>
  </sheetData>
  <mergeCells count="8">
    <mergeCell ref="L62:V64"/>
    <mergeCell ref="A1:G1"/>
    <mergeCell ref="B3:G3"/>
    <mergeCell ref="L3:V3"/>
    <mergeCell ref="L4:M4"/>
    <mergeCell ref="O4:P4"/>
    <mergeCell ref="R4:S4"/>
    <mergeCell ref="U4:V4"/>
  </mergeCells>
  <pageMargins left="0" right="0" top="0" bottom="0" header="0" footer="0"/>
  <pageSetup scale="48"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V64"/>
  <sheetViews>
    <sheetView zoomScale="75" workbookViewId="0">
      <selection sqref="A1:G1"/>
    </sheetView>
  </sheetViews>
  <sheetFormatPr defaultColWidth="9.109375" defaultRowHeight="14.4"/>
  <cols>
    <col min="1" max="1" width="20" style="1" customWidth="1"/>
    <col min="2" max="7" width="15" style="1" customWidth="1"/>
    <col min="8" max="8" width="1" style="1" customWidth="1"/>
    <col min="9" max="9" width="30" style="1" customWidth="1"/>
    <col min="10" max="10" width="15" style="1" customWidth="1"/>
    <col min="11" max="11" width="1" style="1" customWidth="1"/>
    <col min="12" max="13" width="15" style="1" customWidth="1"/>
    <col min="14" max="14" width="1" style="1" customWidth="1"/>
    <col min="15" max="16" width="15" style="1" customWidth="1"/>
    <col min="17" max="17" width="1" style="1" customWidth="1"/>
    <col min="18" max="19" width="15" style="1" customWidth="1"/>
    <col min="20" max="20" width="1" style="1" customWidth="1"/>
    <col min="21" max="22" width="15" style="1" customWidth="1"/>
    <col min="23" max="23" width="9.109375" style="1" customWidth="1"/>
    <col min="24" max="16384" width="9.109375" style="1"/>
  </cols>
  <sheetData>
    <row r="1" spans="1:22">
      <c r="A1" s="85" t="s">
        <v>117</v>
      </c>
      <c r="B1" s="79"/>
      <c r="C1" s="79"/>
      <c r="D1" s="79"/>
      <c r="E1" s="79"/>
      <c r="F1" s="79"/>
      <c r="G1" s="79"/>
    </row>
    <row r="3" spans="1:22">
      <c r="B3" s="86" t="s">
        <v>1</v>
      </c>
      <c r="C3" s="87"/>
      <c r="D3" s="87"/>
      <c r="E3" s="87"/>
      <c r="F3" s="87"/>
      <c r="G3" s="88"/>
      <c r="L3" s="89" t="s">
        <v>2</v>
      </c>
      <c r="M3" s="90"/>
      <c r="N3" s="90"/>
      <c r="O3" s="90"/>
      <c r="P3" s="90"/>
      <c r="Q3" s="90"/>
      <c r="R3" s="90"/>
      <c r="S3" s="90"/>
      <c r="T3" s="90"/>
      <c r="U3" s="90"/>
      <c r="V3" s="91"/>
    </row>
    <row r="4" spans="1:22">
      <c r="B4" s="6"/>
      <c r="G4" s="9"/>
      <c r="L4" s="92" t="s">
        <v>3</v>
      </c>
      <c r="M4" s="93"/>
      <c r="N4" s="3"/>
      <c r="O4" s="94" t="s">
        <v>4</v>
      </c>
      <c r="P4" s="93"/>
      <c r="Q4" s="3"/>
      <c r="R4" s="94" t="s">
        <v>5</v>
      </c>
      <c r="S4" s="93"/>
      <c r="T4" s="3"/>
      <c r="U4" s="94" t="s">
        <v>6</v>
      </c>
      <c r="V4" s="95"/>
    </row>
    <row r="5" spans="1:22" ht="60" customHeight="1">
      <c r="B5" s="7" t="s">
        <v>3</v>
      </c>
      <c r="C5" s="4" t="s">
        <v>4</v>
      </c>
      <c r="D5" s="4" t="s">
        <v>5</v>
      </c>
      <c r="E5" s="4" t="s">
        <v>6</v>
      </c>
      <c r="F5" s="4" t="s">
        <v>7</v>
      </c>
      <c r="G5" s="10" t="s">
        <v>8</v>
      </c>
      <c r="L5" s="19" t="s">
        <v>9</v>
      </c>
      <c r="M5" s="18" t="s">
        <v>10</v>
      </c>
      <c r="N5" s="18"/>
      <c r="O5" s="18" t="s">
        <v>9</v>
      </c>
      <c r="P5" s="18" t="s">
        <v>10</v>
      </c>
      <c r="Q5" s="18"/>
      <c r="R5" s="18" t="s">
        <v>9</v>
      </c>
      <c r="S5" s="18" t="s">
        <v>10</v>
      </c>
      <c r="T5" s="18"/>
      <c r="U5" s="18" t="s">
        <v>9</v>
      </c>
      <c r="V5" s="20" t="s">
        <v>10</v>
      </c>
    </row>
    <row r="6" spans="1:22">
      <c r="A6" s="1" t="s">
        <v>11</v>
      </c>
      <c r="B6" s="6">
        <v>21200.36318150732</v>
      </c>
      <c r="C6" s="1">
        <v>38.520311795796026</v>
      </c>
      <c r="D6" s="1">
        <v>0</v>
      </c>
      <c r="E6" s="1">
        <v>0</v>
      </c>
      <c r="F6" s="1">
        <v>0</v>
      </c>
      <c r="G6" s="9">
        <f>SUM(AL_FINANCIAL)</f>
        <v>21238.883493303118</v>
      </c>
      <c r="L6" s="6"/>
      <c r="V6" s="9"/>
    </row>
    <row r="7" spans="1:22">
      <c r="A7" s="1" t="s">
        <v>12</v>
      </c>
      <c r="B7" s="6">
        <v>0</v>
      </c>
      <c r="C7" s="1">
        <v>0</v>
      </c>
      <c r="D7" s="1">
        <v>0</v>
      </c>
      <c r="E7" s="1">
        <v>0</v>
      </c>
      <c r="F7" s="1">
        <v>0</v>
      </c>
      <c r="G7" s="9">
        <f>SUM(AK_FINANCIAL)</f>
        <v>0</v>
      </c>
      <c r="I7" s="12"/>
      <c r="J7" s="15"/>
      <c r="L7" s="6"/>
      <c r="V7" s="9"/>
    </row>
    <row r="8" spans="1:22">
      <c r="A8" s="1" t="s">
        <v>13</v>
      </c>
      <c r="B8" s="6">
        <v>12092.716539992469</v>
      </c>
      <c r="C8" s="1">
        <v>62.845634994093302</v>
      </c>
      <c r="D8" s="1">
        <v>0</v>
      </c>
      <c r="E8" s="1">
        <v>0</v>
      </c>
      <c r="F8" s="1">
        <v>0</v>
      </c>
      <c r="G8" s="9">
        <f>SUM(AZ_FINANCIAL)</f>
        <v>12155.562174986562</v>
      </c>
      <c r="I8" s="13" t="s">
        <v>14</v>
      </c>
      <c r="J8" s="16"/>
      <c r="L8" s="6"/>
      <c r="V8" s="9"/>
    </row>
    <row r="9" spans="1:22">
      <c r="A9" s="1" t="s">
        <v>15</v>
      </c>
      <c r="B9" s="6">
        <v>4660.6168227693252</v>
      </c>
      <c r="C9" s="1">
        <v>38.517494403052275</v>
      </c>
      <c r="D9" s="1">
        <v>0</v>
      </c>
      <c r="E9" s="1">
        <v>0</v>
      </c>
      <c r="F9" s="1">
        <v>0</v>
      </c>
      <c r="G9" s="9">
        <f>SUM(AR_FINANCIAL)</f>
        <v>4699.1343171723775</v>
      </c>
      <c r="I9" s="13"/>
      <c r="J9" s="16"/>
      <c r="L9" s="6">
        <v>4523</v>
      </c>
      <c r="M9" s="1">
        <v>0</v>
      </c>
      <c r="O9" s="1">
        <v>0</v>
      </c>
      <c r="P9" s="1">
        <v>0</v>
      </c>
      <c r="R9" s="1">
        <v>0</v>
      </c>
      <c r="S9" s="1">
        <v>0</v>
      </c>
      <c r="U9" s="1">
        <v>0</v>
      </c>
      <c r="V9" s="9">
        <v>0</v>
      </c>
    </row>
    <row r="10" spans="1:22">
      <c r="A10" s="1" t="s">
        <v>16</v>
      </c>
      <c r="B10" s="6">
        <v>93122.38880827614</v>
      </c>
      <c r="C10" s="1">
        <v>3215.3812868727482</v>
      </c>
      <c r="D10" s="1">
        <v>0</v>
      </c>
      <c r="E10" s="1">
        <v>0</v>
      </c>
      <c r="F10" s="1">
        <v>0</v>
      </c>
      <c r="G10" s="9">
        <f>SUM(CA_FINANCIAL)</f>
        <v>96337.770095148895</v>
      </c>
      <c r="I10" s="13" t="s">
        <v>17</v>
      </c>
      <c r="J10" s="16">
        <v>629575000</v>
      </c>
      <c r="L10" s="6"/>
      <c r="V10" s="9"/>
    </row>
    <row r="11" spans="1:22">
      <c r="A11" s="1" t="s">
        <v>18</v>
      </c>
      <c r="B11" s="6">
        <v>18189.826780828131</v>
      </c>
      <c r="C11" s="1">
        <v>2844.4412587496513</v>
      </c>
      <c r="D11" s="1">
        <v>0</v>
      </c>
      <c r="E11" s="1">
        <v>0</v>
      </c>
      <c r="F11" s="1">
        <v>0</v>
      </c>
      <c r="G11" s="9">
        <f>SUM(CO_FINANCIAL)</f>
        <v>21034.268039577782</v>
      </c>
      <c r="I11" s="13"/>
      <c r="J11" s="16"/>
      <c r="L11" s="6"/>
      <c r="V11" s="9"/>
    </row>
    <row r="12" spans="1:22">
      <c r="A12" s="1" t="s">
        <v>19</v>
      </c>
      <c r="B12" s="6">
        <v>12519.37660454067</v>
      </c>
      <c r="C12" s="1">
        <v>121.64576457853285</v>
      </c>
      <c r="D12" s="1">
        <v>0</v>
      </c>
      <c r="E12" s="1">
        <v>0</v>
      </c>
      <c r="F12" s="1">
        <v>0</v>
      </c>
      <c r="G12" s="9">
        <f>SUM(CT_FINANCIAL)</f>
        <v>12641.022369119202</v>
      </c>
      <c r="I12" s="13" t="s">
        <v>20</v>
      </c>
      <c r="J12" s="16"/>
      <c r="L12" s="6"/>
      <c r="V12" s="9"/>
    </row>
    <row r="13" spans="1:22">
      <c r="A13" s="1" t="s">
        <v>21</v>
      </c>
      <c r="B13" s="6">
        <v>10376.222740459049</v>
      </c>
      <c r="C13" s="1">
        <v>760.27423362097363</v>
      </c>
      <c r="D13" s="1">
        <v>0</v>
      </c>
      <c r="E13" s="1">
        <v>0</v>
      </c>
      <c r="F13" s="1">
        <v>0</v>
      </c>
      <c r="G13" s="9">
        <f>SUM(DE_FINANCIAL)</f>
        <v>11136.496974080022</v>
      </c>
      <c r="I13" s="13" t="s">
        <v>22</v>
      </c>
      <c r="J13" s="16">
        <v>0</v>
      </c>
      <c r="L13" s="6"/>
      <c r="V13" s="9"/>
    </row>
    <row r="14" spans="1:22">
      <c r="A14" s="1" t="s">
        <v>23</v>
      </c>
      <c r="B14" s="6">
        <v>5264.7210434097315</v>
      </c>
      <c r="C14" s="1">
        <v>490.59010108015207</v>
      </c>
      <c r="D14" s="1">
        <v>0</v>
      </c>
      <c r="E14" s="1">
        <v>0</v>
      </c>
      <c r="F14" s="1">
        <v>0</v>
      </c>
      <c r="G14" s="9">
        <f>SUM(DC_FINANCIAL)</f>
        <v>5755.3111444898832</v>
      </c>
      <c r="I14" s="13" t="s">
        <v>24</v>
      </c>
      <c r="J14" s="16">
        <v>0</v>
      </c>
      <c r="L14" s="6">
        <v>2326</v>
      </c>
      <c r="M14" s="1">
        <v>0</v>
      </c>
      <c r="O14" s="1">
        <v>3076</v>
      </c>
      <c r="P14" s="1">
        <v>0</v>
      </c>
      <c r="R14" s="1">
        <v>0</v>
      </c>
      <c r="S14" s="1">
        <v>0</v>
      </c>
      <c r="U14" s="1">
        <v>0</v>
      </c>
      <c r="V14" s="9">
        <v>0</v>
      </c>
    </row>
    <row r="15" spans="1:22">
      <c r="A15" s="1" t="s">
        <v>25</v>
      </c>
      <c r="B15" s="6">
        <v>86764.96364113556</v>
      </c>
      <c r="C15" s="1">
        <v>7533.6730352702225</v>
      </c>
      <c r="D15" s="1">
        <v>0</v>
      </c>
      <c r="E15" s="1">
        <v>0</v>
      </c>
      <c r="F15" s="1">
        <v>0</v>
      </c>
      <c r="G15" s="9">
        <f>SUM(FL_FINANCIAL)</f>
        <v>94298.636676405789</v>
      </c>
      <c r="I15" s="13" t="s">
        <v>26</v>
      </c>
      <c r="J15" s="16">
        <v>1276371.1400000013</v>
      </c>
      <c r="L15" s="6"/>
      <c r="V15" s="9"/>
    </row>
    <row r="16" spans="1:22">
      <c r="A16" s="1" t="s">
        <v>27</v>
      </c>
      <c r="B16" s="6">
        <v>17486.047886899429</v>
      </c>
      <c r="C16" s="1">
        <v>478.45881754298722</v>
      </c>
      <c r="D16" s="1">
        <v>0</v>
      </c>
      <c r="E16" s="1">
        <v>1194.1196759865231</v>
      </c>
      <c r="F16" s="1">
        <v>0</v>
      </c>
      <c r="G16" s="9">
        <f>SUM(GA_FINANCIAL)</f>
        <v>19158.626380428941</v>
      </c>
      <c r="I16" s="13" t="s">
        <v>28</v>
      </c>
      <c r="J16" s="16">
        <v>0</v>
      </c>
      <c r="L16" s="6"/>
      <c r="V16" s="9"/>
    </row>
    <row r="17" spans="1:22">
      <c r="A17" s="1" t="s">
        <v>29</v>
      </c>
      <c r="B17" s="6">
        <v>0</v>
      </c>
      <c r="C17" s="1">
        <v>0</v>
      </c>
      <c r="D17" s="1">
        <v>0</v>
      </c>
      <c r="E17" s="1">
        <v>0</v>
      </c>
      <c r="F17" s="1">
        <v>0</v>
      </c>
      <c r="G17" s="9">
        <f>SUM(HI_FINANCIAL)</f>
        <v>0</v>
      </c>
      <c r="I17" s="13"/>
      <c r="J17" s="16"/>
      <c r="L17" s="6"/>
      <c r="V17" s="9"/>
    </row>
    <row r="18" spans="1:22">
      <c r="A18" s="1" t="s">
        <v>30</v>
      </c>
      <c r="B18" s="6">
        <v>444.33650000157172</v>
      </c>
      <c r="C18" s="1">
        <v>0</v>
      </c>
      <c r="D18" s="1">
        <v>0</v>
      </c>
      <c r="E18" s="1">
        <v>0</v>
      </c>
      <c r="F18" s="1">
        <v>0</v>
      </c>
      <c r="G18" s="9">
        <f>SUM(ID_FINANCIAL)</f>
        <v>444.33650000157172</v>
      </c>
      <c r="I18" s="13" t="s">
        <v>31</v>
      </c>
      <c r="J18" s="16"/>
      <c r="L18" s="6"/>
      <c r="V18" s="9"/>
    </row>
    <row r="19" spans="1:22">
      <c r="A19" s="1" t="s">
        <v>32</v>
      </c>
      <c r="B19" s="6">
        <v>75689.47685472414</v>
      </c>
      <c r="C19" s="1">
        <v>6522.0187239954885</v>
      </c>
      <c r="D19" s="1">
        <v>0</v>
      </c>
      <c r="E19" s="1">
        <v>360.87016875076063</v>
      </c>
      <c r="F19" s="1">
        <v>0</v>
      </c>
      <c r="G19" s="9">
        <f>SUM(IL_FINANCIAL)</f>
        <v>82572.36574747038</v>
      </c>
      <c r="I19" s="13" t="s">
        <v>33</v>
      </c>
      <c r="J19" s="16">
        <v>0</v>
      </c>
      <c r="L19" s="6"/>
      <c r="V19" s="9"/>
    </row>
    <row r="20" spans="1:22">
      <c r="A20" s="1" t="s">
        <v>34</v>
      </c>
      <c r="B20" s="6">
        <v>9904.0121364298811</v>
      </c>
      <c r="C20" s="1">
        <v>1879.4307575169905</v>
      </c>
      <c r="D20" s="1">
        <v>0</v>
      </c>
      <c r="E20" s="1">
        <v>0</v>
      </c>
      <c r="F20" s="1">
        <v>0</v>
      </c>
      <c r="G20" s="9">
        <f>SUM(IN_FINANCIAL)</f>
        <v>11783.442893946871</v>
      </c>
      <c r="I20" s="13" t="s">
        <v>35</v>
      </c>
      <c r="J20" s="16">
        <v>629575000</v>
      </c>
      <c r="L20" s="6"/>
      <c r="V20" s="9"/>
    </row>
    <row r="21" spans="1:22">
      <c r="A21" s="1" t="s">
        <v>36</v>
      </c>
      <c r="B21" s="6">
        <v>1417.381599702599</v>
      </c>
      <c r="C21" s="1">
        <v>176.41230210890723</v>
      </c>
      <c r="D21" s="1">
        <v>0</v>
      </c>
      <c r="E21" s="1">
        <v>0</v>
      </c>
      <c r="F21" s="1">
        <v>0</v>
      </c>
      <c r="G21" s="9">
        <f>SUM(IA_FINANCIAL)</f>
        <v>1593.7939018115062</v>
      </c>
      <c r="I21" s="13" t="s">
        <v>37</v>
      </c>
      <c r="J21" s="16"/>
      <c r="L21" s="6"/>
      <c r="V21" s="9"/>
    </row>
    <row r="22" spans="1:22">
      <c r="A22" s="1" t="s">
        <v>38</v>
      </c>
      <c r="B22" s="6">
        <v>4541.5534324040636</v>
      </c>
      <c r="C22" s="1">
        <v>10.137396054473356</v>
      </c>
      <c r="D22" s="1">
        <v>0</v>
      </c>
      <c r="E22" s="1">
        <v>0</v>
      </c>
      <c r="F22" s="1">
        <v>0</v>
      </c>
      <c r="G22" s="9">
        <f>SUM(KS_FINANCIAL)</f>
        <v>4551.690828458537</v>
      </c>
      <c r="I22" s="13" t="s">
        <v>39</v>
      </c>
      <c r="J22" s="16">
        <v>0</v>
      </c>
      <c r="L22" s="6"/>
      <c r="V22" s="9"/>
    </row>
    <row r="23" spans="1:22">
      <c r="A23" s="1" t="s">
        <v>40</v>
      </c>
      <c r="B23" s="6">
        <v>24521.021388672641</v>
      </c>
      <c r="C23" s="1">
        <v>3405.9789940446499</v>
      </c>
      <c r="D23" s="1">
        <v>0</v>
      </c>
      <c r="E23" s="1">
        <v>0</v>
      </c>
      <c r="F23" s="1">
        <v>0</v>
      </c>
      <c r="G23" s="9">
        <f>SUM(KY_FINANCIAL)</f>
        <v>27927.000382717291</v>
      </c>
      <c r="I23" s="13" t="s">
        <v>41</v>
      </c>
      <c r="J23" s="16"/>
      <c r="L23" s="6"/>
      <c r="V23" s="9"/>
    </row>
    <row r="24" spans="1:22">
      <c r="A24" s="1" t="s">
        <v>42</v>
      </c>
      <c r="B24" s="6">
        <v>1947.8588781107271</v>
      </c>
      <c r="C24" s="1">
        <v>0</v>
      </c>
      <c r="D24" s="1">
        <v>0</v>
      </c>
      <c r="E24" s="1">
        <v>0</v>
      </c>
      <c r="F24" s="1">
        <v>0</v>
      </c>
      <c r="G24" s="9">
        <f>SUM(LA_FINANCIAL)</f>
        <v>1947.8588781107271</v>
      </c>
      <c r="I24" s="13" t="s">
        <v>43</v>
      </c>
      <c r="J24" s="16">
        <v>0</v>
      </c>
      <c r="L24" s="6"/>
      <c r="V24" s="9"/>
    </row>
    <row r="25" spans="1:22">
      <c r="A25" s="1" t="s">
        <v>44</v>
      </c>
      <c r="B25" s="6">
        <v>6515.7437060130296</v>
      </c>
      <c r="C25" s="1">
        <v>5149.3431901907579</v>
      </c>
      <c r="D25" s="1">
        <v>0</v>
      </c>
      <c r="E25" s="1">
        <v>0</v>
      </c>
      <c r="F25" s="1">
        <v>0</v>
      </c>
      <c r="G25" s="9">
        <f>SUM(ME_FINANCIAL)</f>
        <v>11665.086896203788</v>
      </c>
      <c r="I25" s="13"/>
      <c r="J25" s="16"/>
      <c r="L25" s="6"/>
      <c r="V25" s="9"/>
    </row>
    <row r="26" spans="1:22">
      <c r="A26" s="1" t="s">
        <v>45</v>
      </c>
      <c r="B26" s="6">
        <v>30055.140758027785</v>
      </c>
      <c r="C26" s="1">
        <v>693.34624885298501</v>
      </c>
      <c r="D26" s="1">
        <v>0</v>
      </c>
      <c r="E26" s="1">
        <v>0</v>
      </c>
      <c r="F26" s="1">
        <v>0</v>
      </c>
      <c r="G26" s="9">
        <f>SUM(MD_FINANCIAL)</f>
        <v>30748.487006880769</v>
      </c>
      <c r="I26" s="13" t="s">
        <v>46</v>
      </c>
      <c r="J26" s="16">
        <f>SUM(ADD_FINANCIAL)-SUM(LESS_FINANCIAL)</f>
        <v>1276371.1399999857</v>
      </c>
      <c r="L26" s="6">
        <v>34200</v>
      </c>
      <c r="M26" s="1">
        <v>0</v>
      </c>
      <c r="O26" s="1">
        <v>800</v>
      </c>
      <c r="P26" s="1">
        <v>0</v>
      </c>
      <c r="R26" s="1">
        <v>0</v>
      </c>
      <c r="S26" s="1">
        <v>0</v>
      </c>
      <c r="U26" s="1">
        <v>0</v>
      </c>
      <c r="V26" s="9">
        <v>0</v>
      </c>
    </row>
    <row r="27" spans="1:22">
      <c r="A27" s="1" t="s">
        <v>47</v>
      </c>
      <c r="B27" s="6">
        <v>69635.441162725401</v>
      </c>
      <c r="C27" s="1">
        <v>2576.7627145051815</v>
      </c>
      <c r="D27" s="1">
        <v>0</v>
      </c>
      <c r="E27" s="1">
        <v>0</v>
      </c>
      <c r="F27" s="1">
        <v>0</v>
      </c>
      <c r="G27" s="9">
        <f>SUM(MA_FINANCIAL)</f>
        <v>72212.203877230582</v>
      </c>
      <c r="I27" s="13" t="s">
        <v>48</v>
      </c>
      <c r="J27" s="16">
        <f>SUM(ALL_BLOCKS)</f>
        <v>1276371.1400000004</v>
      </c>
      <c r="L27" s="6"/>
      <c r="V27" s="9"/>
    </row>
    <row r="28" spans="1:22">
      <c r="A28" s="1" t="s">
        <v>49</v>
      </c>
      <c r="B28" s="6">
        <v>20066.935039530545</v>
      </c>
      <c r="C28" s="1">
        <v>1484.0368204623519</v>
      </c>
      <c r="D28" s="1">
        <v>0</v>
      </c>
      <c r="E28" s="1">
        <v>748.10052834782493</v>
      </c>
      <c r="F28" s="1">
        <v>0</v>
      </c>
      <c r="G28" s="9">
        <f>SUM(MI_FINANCIAL)</f>
        <v>22299.072388340723</v>
      </c>
      <c r="I28" s="14"/>
      <c r="J28" s="17"/>
      <c r="L28" s="6"/>
      <c r="V28" s="9"/>
    </row>
    <row r="29" spans="1:22">
      <c r="A29" s="1" t="s">
        <v>50</v>
      </c>
      <c r="B29" s="6">
        <v>5207.9463484135267</v>
      </c>
      <c r="C29" s="1">
        <v>68.925720453896417</v>
      </c>
      <c r="D29" s="1">
        <v>0</v>
      </c>
      <c r="E29" s="1">
        <v>0</v>
      </c>
      <c r="F29" s="1">
        <v>0</v>
      </c>
      <c r="G29" s="9">
        <f>SUM(MN_FINANCIAL)</f>
        <v>5276.872068867423</v>
      </c>
      <c r="L29" s="6"/>
      <c r="V29" s="9"/>
    </row>
    <row r="30" spans="1:22">
      <c r="A30" s="1" t="s">
        <v>51</v>
      </c>
      <c r="B30" s="6">
        <v>1721.1770519248237</v>
      </c>
      <c r="C30" s="1">
        <v>0</v>
      </c>
      <c r="D30" s="1">
        <v>0</v>
      </c>
      <c r="E30" s="1">
        <v>0</v>
      </c>
      <c r="F30" s="1">
        <v>0</v>
      </c>
      <c r="G30" s="9">
        <f>SUM(MS_FINANCIAL)</f>
        <v>1721.1770519248237</v>
      </c>
      <c r="L30" s="6"/>
      <c r="V30" s="9"/>
    </row>
    <row r="31" spans="1:22">
      <c r="A31" s="1" t="s">
        <v>52</v>
      </c>
      <c r="B31" s="6">
        <v>7464.6286714659209</v>
      </c>
      <c r="C31" s="1">
        <v>269.63487596549902</v>
      </c>
      <c r="D31" s="1">
        <v>0</v>
      </c>
      <c r="E31" s="1">
        <v>0</v>
      </c>
      <c r="F31" s="1">
        <v>0</v>
      </c>
      <c r="G31" s="9">
        <f>SUM(MO_FINANCIAL)</f>
        <v>7734.2635474314202</v>
      </c>
      <c r="L31" s="6"/>
      <c r="V31" s="9"/>
    </row>
    <row r="32" spans="1:22">
      <c r="A32" s="1" t="s">
        <v>53</v>
      </c>
      <c r="B32" s="6">
        <v>583.75585327520241</v>
      </c>
      <c r="C32" s="1">
        <v>0</v>
      </c>
      <c r="D32" s="1">
        <v>0</v>
      </c>
      <c r="E32" s="1">
        <v>0</v>
      </c>
      <c r="F32" s="1">
        <v>0</v>
      </c>
      <c r="G32" s="9">
        <f>SUM(MT_FINANCIAL)</f>
        <v>583.75585327520241</v>
      </c>
      <c r="L32" s="6"/>
      <c r="V32" s="9"/>
    </row>
    <row r="33" spans="1:22">
      <c r="A33" s="1" t="s">
        <v>54</v>
      </c>
      <c r="B33" s="6">
        <v>1385.1663803660733</v>
      </c>
      <c r="C33" s="1">
        <v>0</v>
      </c>
      <c r="D33" s="1">
        <v>0</v>
      </c>
      <c r="E33" s="1">
        <v>0</v>
      </c>
      <c r="F33" s="1">
        <v>0</v>
      </c>
      <c r="G33" s="9">
        <f>SUM(NE_FINANCIAL)</f>
        <v>1385.1663803660733</v>
      </c>
      <c r="L33" s="6"/>
      <c r="V33" s="9"/>
    </row>
    <row r="34" spans="1:22">
      <c r="A34" s="1" t="s">
        <v>55</v>
      </c>
      <c r="B34" s="6">
        <v>1897.7080316094211</v>
      </c>
      <c r="C34" s="1">
        <v>0</v>
      </c>
      <c r="D34" s="1">
        <v>0</v>
      </c>
      <c r="E34" s="1">
        <v>0</v>
      </c>
      <c r="F34" s="1">
        <v>0</v>
      </c>
      <c r="G34" s="9">
        <f>SUM(NV_FINANCIAL)</f>
        <v>1897.7080316094211</v>
      </c>
      <c r="L34" s="6"/>
      <c r="V34" s="9"/>
    </row>
    <row r="35" spans="1:22">
      <c r="A35" s="1" t="s">
        <v>56</v>
      </c>
      <c r="B35" s="6">
        <v>9409.2942696320315</v>
      </c>
      <c r="C35" s="1">
        <v>285.86737600045603</v>
      </c>
      <c r="D35" s="1">
        <v>0</v>
      </c>
      <c r="E35" s="1">
        <v>0</v>
      </c>
      <c r="F35" s="1">
        <v>0</v>
      </c>
      <c r="G35" s="9">
        <f>SUM(NH_FINANCIAL)</f>
        <v>9695.1616456324882</v>
      </c>
      <c r="L35" s="6"/>
      <c r="V35" s="9"/>
    </row>
    <row r="36" spans="1:22">
      <c r="A36" s="1" t="s">
        <v>57</v>
      </c>
      <c r="B36" s="6">
        <v>76212.291690024998</v>
      </c>
      <c r="C36" s="1">
        <v>4987.2908479852495</v>
      </c>
      <c r="D36" s="1">
        <v>0</v>
      </c>
      <c r="E36" s="1">
        <v>2637.5875582230933</v>
      </c>
      <c r="F36" s="1">
        <v>0</v>
      </c>
      <c r="G36" s="9">
        <f>SUM(NJ_FINANCIAL)</f>
        <v>83837.170096233342</v>
      </c>
      <c r="L36" s="6"/>
      <c r="V36" s="9"/>
    </row>
    <row r="37" spans="1:22">
      <c r="A37" s="1" t="s">
        <v>58</v>
      </c>
      <c r="B37" s="6">
        <v>1096.2975045185503</v>
      </c>
      <c r="C37" s="1">
        <v>0</v>
      </c>
      <c r="D37" s="1">
        <v>0</v>
      </c>
      <c r="E37" s="1">
        <v>0</v>
      </c>
      <c r="F37" s="1">
        <v>0</v>
      </c>
      <c r="G37" s="9">
        <f>SUM(NM_FINANCIAL)</f>
        <v>1096.2975045185503</v>
      </c>
      <c r="L37" s="6"/>
      <c r="V37" s="9"/>
    </row>
    <row r="38" spans="1:22">
      <c r="A38" s="1" t="s">
        <v>59</v>
      </c>
      <c r="B38" s="6">
        <v>66077.781985260372</v>
      </c>
      <c r="C38" s="1">
        <v>8241.2230776572706</v>
      </c>
      <c r="D38" s="1">
        <v>0</v>
      </c>
      <c r="E38" s="1">
        <v>2625.4326901761783</v>
      </c>
      <c r="F38" s="1">
        <v>0</v>
      </c>
      <c r="G38" s="9">
        <f>SUM(NY_FINANCIAL)</f>
        <v>76944.437753093822</v>
      </c>
      <c r="L38" s="6"/>
      <c r="V38" s="9"/>
    </row>
    <row r="39" spans="1:22">
      <c r="A39" s="1" t="s">
        <v>60</v>
      </c>
      <c r="B39" s="6">
        <v>28042.292841207513</v>
      </c>
      <c r="C39" s="1">
        <v>24494.431904819925</v>
      </c>
      <c r="D39" s="1">
        <v>0</v>
      </c>
      <c r="E39" s="1">
        <v>3367.4268659084501</v>
      </c>
      <c r="F39" s="1">
        <v>0</v>
      </c>
      <c r="G39" s="9">
        <f>SUM(NC_FINANCIAL)</f>
        <v>55904.151611935886</v>
      </c>
      <c r="L39" s="6"/>
      <c r="V39" s="9"/>
    </row>
    <row r="40" spans="1:22">
      <c r="A40" s="1" t="s">
        <v>61</v>
      </c>
      <c r="B40" s="6">
        <v>148.44650564386592</v>
      </c>
      <c r="C40" s="1">
        <v>0</v>
      </c>
      <c r="D40" s="1">
        <v>0</v>
      </c>
      <c r="E40" s="1">
        <v>0</v>
      </c>
      <c r="F40" s="1">
        <v>0</v>
      </c>
      <c r="G40" s="9">
        <f>SUM(ND_FINANCIAL)</f>
        <v>148.44650564386592</v>
      </c>
      <c r="L40" s="6"/>
      <c r="V40" s="9"/>
    </row>
    <row r="41" spans="1:22">
      <c r="A41" s="1" t="s">
        <v>62</v>
      </c>
      <c r="B41" s="6">
        <v>39535.601098444437</v>
      </c>
      <c r="C41" s="1">
        <v>429.80090420338553</v>
      </c>
      <c r="D41" s="1">
        <v>0</v>
      </c>
      <c r="E41" s="1">
        <v>3699.9370291093323</v>
      </c>
      <c r="F41" s="1">
        <v>0</v>
      </c>
      <c r="G41" s="9">
        <f>SUM(OH_FINANCIAL)</f>
        <v>43665.339031757154</v>
      </c>
      <c r="L41" s="6"/>
      <c r="V41" s="9"/>
    </row>
    <row r="42" spans="1:22">
      <c r="A42" s="1" t="s">
        <v>63</v>
      </c>
      <c r="B42" s="6">
        <v>3203.5714454908834</v>
      </c>
      <c r="C42" s="1">
        <v>6.082730592704209</v>
      </c>
      <c r="D42" s="1">
        <v>0</v>
      </c>
      <c r="E42" s="1">
        <v>0</v>
      </c>
      <c r="F42" s="1">
        <v>0</v>
      </c>
      <c r="G42" s="9">
        <f>SUM(OK_FINANCIAL)</f>
        <v>3209.6541760835876</v>
      </c>
      <c r="L42" s="6"/>
      <c r="V42" s="9"/>
    </row>
    <row r="43" spans="1:22">
      <c r="A43" s="1" t="s">
        <v>64</v>
      </c>
      <c r="B43" s="6">
        <v>3519.5864074616584</v>
      </c>
      <c r="C43" s="1">
        <v>0</v>
      </c>
      <c r="D43" s="1">
        <v>0</v>
      </c>
      <c r="E43" s="1">
        <v>0</v>
      </c>
      <c r="F43" s="1">
        <v>0</v>
      </c>
      <c r="G43" s="9">
        <f>SUM(OR_FINANCIAL)</f>
        <v>3519.5864074616584</v>
      </c>
      <c r="L43" s="6"/>
      <c r="V43" s="9"/>
    </row>
    <row r="44" spans="1:22">
      <c r="A44" s="1" t="s">
        <v>65</v>
      </c>
      <c r="B44" s="6">
        <v>214485.48782082714</v>
      </c>
      <c r="C44" s="1">
        <v>22140.476691127853</v>
      </c>
      <c r="D44" s="1">
        <v>0</v>
      </c>
      <c r="E44" s="1">
        <v>13441.201397507341</v>
      </c>
      <c r="F44" s="1">
        <v>0</v>
      </c>
      <c r="G44" s="9">
        <f>SUM(PA_FINANCIAL)</f>
        <v>250067.16590946232</v>
      </c>
      <c r="L44" s="6"/>
      <c r="V44" s="9"/>
    </row>
    <row r="45" spans="1:22">
      <c r="A45" s="1" t="s">
        <v>66</v>
      </c>
      <c r="B45" s="6">
        <v>0</v>
      </c>
      <c r="C45" s="1">
        <v>0</v>
      </c>
      <c r="D45" s="1">
        <v>0</v>
      </c>
      <c r="E45" s="1">
        <v>0</v>
      </c>
      <c r="F45" s="1">
        <v>0</v>
      </c>
      <c r="G45" s="9">
        <f>SUM(PR_FINANCIAL)</f>
        <v>0</v>
      </c>
      <c r="L45" s="6"/>
      <c r="V45" s="9"/>
    </row>
    <row r="46" spans="1:22">
      <c r="A46" s="1" t="s">
        <v>67</v>
      </c>
      <c r="B46" s="6">
        <v>9465.290217201582</v>
      </c>
      <c r="C46" s="1">
        <v>208.80807290035617</v>
      </c>
      <c r="D46" s="1">
        <v>0</v>
      </c>
      <c r="E46" s="1">
        <v>0</v>
      </c>
      <c r="F46" s="1">
        <v>0</v>
      </c>
      <c r="G46" s="9">
        <f>SUM(RI_FINANCIAL)</f>
        <v>9674.0982901019379</v>
      </c>
      <c r="L46" s="6"/>
      <c r="V46" s="9"/>
    </row>
    <row r="47" spans="1:22">
      <c r="A47" s="1" t="s">
        <v>68</v>
      </c>
      <c r="B47" s="6">
        <v>14241.950983454335</v>
      </c>
      <c r="C47" s="1">
        <v>275.71606174374227</v>
      </c>
      <c r="D47" s="1">
        <v>0</v>
      </c>
      <c r="E47" s="1">
        <v>0</v>
      </c>
      <c r="F47" s="1">
        <v>0</v>
      </c>
      <c r="G47" s="9">
        <f>SUM(SC_FINANCIAL)</f>
        <v>14517.667045198077</v>
      </c>
      <c r="L47" s="6"/>
      <c r="V47" s="9"/>
    </row>
    <row r="48" spans="1:22">
      <c r="A48" s="1" t="s">
        <v>69</v>
      </c>
      <c r="B48" s="6">
        <v>172.51891196449282</v>
      </c>
      <c r="C48" s="1">
        <v>0</v>
      </c>
      <c r="D48" s="1">
        <v>0</v>
      </c>
      <c r="E48" s="1">
        <v>0</v>
      </c>
      <c r="F48" s="1">
        <v>0</v>
      </c>
      <c r="G48" s="9">
        <f>SUM(SD_FINANCIAL)</f>
        <v>172.51891196449282</v>
      </c>
      <c r="L48" s="6"/>
      <c r="V48" s="9"/>
    </row>
    <row r="49" spans="1:22">
      <c r="A49" s="1" t="s">
        <v>70</v>
      </c>
      <c r="B49" s="6">
        <v>55717.817149563125</v>
      </c>
      <c r="C49" s="1">
        <v>10564.550637353035</v>
      </c>
      <c r="D49" s="1">
        <v>0</v>
      </c>
      <c r="E49" s="1">
        <v>0</v>
      </c>
      <c r="F49" s="1">
        <v>0</v>
      </c>
      <c r="G49" s="9">
        <f>SUM(TN_FINANCIAL)</f>
        <v>66282.367786916162</v>
      </c>
      <c r="L49" s="6"/>
      <c r="V49" s="9"/>
    </row>
    <row r="50" spans="1:22">
      <c r="A50" s="1" t="s">
        <v>71</v>
      </c>
      <c r="B50" s="6">
        <v>22376.386915284387</v>
      </c>
      <c r="C50" s="1">
        <v>277.75346628558134</v>
      </c>
      <c r="D50" s="1">
        <v>0</v>
      </c>
      <c r="E50" s="1">
        <v>0</v>
      </c>
      <c r="F50" s="1">
        <v>0</v>
      </c>
      <c r="G50" s="9">
        <f>SUM(TX_FINANCIAL)</f>
        <v>22654.140381569967</v>
      </c>
      <c r="L50" s="6"/>
      <c r="V50" s="9"/>
    </row>
    <row r="51" spans="1:22">
      <c r="A51" s="1" t="s">
        <v>72</v>
      </c>
      <c r="B51" s="6">
        <v>720.16615575875494</v>
      </c>
      <c r="C51" s="1">
        <v>0</v>
      </c>
      <c r="D51" s="1">
        <v>0</v>
      </c>
      <c r="E51" s="1">
        <v>0</v>
      </c>
      <c r="F51" s="1">
        <v>0</v>
      </c>
      <c r="G51" s="9">
        <f>SUM(UT_FINANCIAL)</f>
        <v>720.16615575875494</v>
      </c>
      <c r="L51" s="6"/>
      <c r="V51" s="9"/>
    </row>
    <row r="52" spans="1:22">
      <c r="A52" s="1" t="s">
        <v>73</v>
      </c>
      <c r="B52" s="6">
        <v>1425.2870575671182</v>
      </c>
      <c r="C52" s="1">
        <v>0</v>
      </c>
      <c r="D52" s="1">
        <v>0</v>
      </c>
      <c r="E52" s="1">
        <v>0</v>
      </c>
      <c r="F52" s="1">
        <v>0</v>
      </c>
      <c r="G52" s="9">
        <f>SUM(VT_FINANCIAL)</f>
        <v>1425.2870575671182</v>
      </c>
      <c r="L52" s="6"/>
      <c r="V52" s="9"/>
    </row>
    <row r="53" spans="1:22">
      <c r="A53" s="1" t="s">
        <v>74</v>
      </c>
      <c r="B53" s="6">
        <v>25102.912423246769</v>
      </c>
      <c r="C53" s="1">
        <v>1390.7767664631951</v>
      </c>
      <c r="D53" s="1">
        <v>0</v>
      </c>
      <c r="E53" s="1">
        <v>0</v>
      </c>
      <c r="F53" s="1">
        <v>0</v>
      </c>
      <c r="G53" s="9">
        <f>SUM(VA_FINANCIAL)</f>
        <v>26493.689189709963</v>
      </c>
      <c r="L53" s="6"/>
      <c r="V53" s="9"/>
    </row>
    <row r="54" spans="1:22">
      <c r="A54" s="1" t="s">
        <v>75</v>
      </c>
      <c r="B54" s="6">
        <v>10840.255144554691</v>
      </c>
      <c r="C54" s="1">
        <v>2990.3453035754947</v>
      </c>
      <c r="D54" s="1">
        <v>0</v>
      </c>
      <c r="E54" s="1">
        <v>0</v>
      </c>
      <c r="F54" s="1">
        <v>0</v>
      </c>
      <c r="G54" s="9">
        <f>SUM(WA_FINANCIAL)</f>
        <v>13830.600448130186</v>
      </c>
      <c r="L54" s="6"/>
      <c r="V54" s="9"/>
    </row>
    <row r="55" spans="1:22">
      <c r="A55" s="1" t="s">
        <v>76</v>
      </c>
      <c r="B55" s="6">
        <v>3289.8955304856772</v>
      </c>
      <c r="C55" s="1">
        <v>0</v>
      </c>
      <c r="D55" s="1">
        <v>0</v>
      </c>
      <c r="E55" s="1">
        <v>0</v>
      </c>
      <c r="F55" s="1">
        <v>0</v>
      </c>
      <c r="G55" s="9">
        <f>SUM(WV_FINANCIAL)</f>
        <v>3289.8955304856772</v>
      </c>
      <c r="L55" s="6"/>
      <c r="V55" s="9"/>
    </row>
    <row r="56" spans="1:22">
      <c r="A56" s="1" t="s">
        <v>77</v>
      </c>
      <c r="B56" s="6">
        <v>4374.6523644977042</v>
      </c>
      <c r="C56" s="1">
        <v>48.652296917490681</v>
      </c>
      <c r="D56" s="1">
        <v>0</v>
      </c>
      <c r="E56" s="1">
        <v>0</v>
      </c>
      <c r="F56" s="1">
        <v>0</v>
      </c>
      <c r="G56" s="9">
        <f>SUM(WI_FINANCIAL)</f>
        <v>4423.3046614151945</v>
      </c>
      <c r="L56" s="6"/>
      <c r="V56" s="9"/>
    </row>
    <row r="57" spans="1:22">
      <c r="A57" s="1" t="s">
        <v>78</v>
      </c>
      <c r="B57" s="6">
        <v>0</v>
      </c>
      <c r="C57" s="1">
        <v>0</v>
      </c>
      <c r="D57" s="1">
        <v>0</v>
      </c>
      <c r="E57" s="1">
        <v>0</v>
      </c>
      <c r="F57" s="1">
        <v>0</v>
      </c>
      <c r="G57" s="9">
        <f>SUM(WY_FINANCIAL)</f>
        <v>0</v>
      </c>
      <c r="L57" s="6"/>
      <c r="V57" s="9"/>
    </row>
    <row r="58" spans="1:22">
      <c r="A58" s="1" t="s">
        <v>79</v>
      </c>
      <c r="B58" s="6">
        <v>0</v>
      </c>
      <c r="C58" s="1">
        <v>0</v>
      </c>
      <c r="D58" s="1">
        <v>0</v>
      </c>
      <c r="E58" s="1">
        <v>0</v>
      </c>
      <c r="F58" s="1">
        <v>0</v>
      </c>
      <c r="G58" s="9">
        <f>SUM(OT_FINANCIAL)</f>
        <v>0</v>
      </c>
      <c r="L58" s="6"/>
      <c r="V58" s="9"/>
    </row>
    <row r="59" spans="1:22">
      <c r="B59" s="6"/>
      <c r="G59" s="9"/>
      <c r="L59" s="6"/>
      <c r="V59" s="9"/>
    </row>
    <row r="60" spans="1:22">
      <c r="A60" s="1" t="s">
        <v>8</v>
      </c>
      <c r="B60" s="6">
        <f>SUM(LIFE)</f>
        <v>1134134.3122653055</v>
      </c>
      <c r="C60" s="1">
        <f>SUM(ALLOCATED)</f>
        <v>114162.15182068512</v>
      </c>
      <c r="D60" s="1">
        <f>SUM(HEALTH)</f>
        <v>0</v>
      </c>
      <c r="E60" s="1">
        <f>SUM(UNALLOCATED)</f>
        <v>28074.675914009502</v>
      </c>
      <c r="F60" s="1">
        <f>SUM(LTC)</f>
        <v>0</v>
      </c>
      <c r="G60" s="9">
        <f>SUM(ALL_BLOCKS)</f>
        <v>1276371.1400000004</v>
      </c>
      <c r="L60" s="6">
        <f>SUM(LIFE_CALLED)</f>
        <v>41049</v>
      </c>
      <c r="M60" s="1">
        <f>SUM(LIFE_REFUNDED)</f>
        <v>0</v>
      </c>
      <c r="O60" s="1">
        <f>SUM(ALLOC_CALLED)</f>
        <v>3876</v>
      </c>
      <c r="P60" s="1">
        <f>SUM(ALLOC_REFUNDED)</f>
        <v>0</v>
      </c>
      <c r="R60" s="1">
        <f>SUM(HEALTH_CALLED)</f>
        <v>0</v>
      </c>
      <c r="S60" s="1">
        <f>SUM(HEALTH_REFUNDED)</f>
        <v>0</v>
      </c>
      <c r="U60" s="1">
        <f>SUM(UNALLOC_CALLED)</f>
        <v>0</v>
      </c>
      <c r="V60" s="9">
        <f>SUM(UNALLOC_REFUNDED)</f>
        <v>0</v>
      </c>
    </row>
    <row r="61" spans="1:22" ht="5.0999999999999996" customHeight="1">
      <c r="B61" s="6"/>
      <c r="G61" s="9"/>
      <c r="L61" s="6"/>
      <c r="V61" s="9"/>
    </row>
    <row r="62" spans="1:22">
      <c r="B62" s="6"/>
      <c r="G62" s="9"/>
      <c r="L62" s="78" t="s">
        <v>80</v>
      </c>
      <c r="M62" s="79"/>
      <c r="N62" s="79"/>
      <c r="O62" s="79"/>
      <c r="P62" s="79"/>
      <c r="Q62" s="79"/>
      <c r="R62" s="79"/>
      <c r="S62" s="79"/>
      <c r="T62" s="79"/>
      <c r="U62" s="79"/>
      <c r="V62" s="80"/>
    </row>
    <row r="63" spans="1:22">
      <c r="B63" s="6"/>
      <c r="G63" s="9"/>
      <c r="L63" s="81"/>
      <c r="M63" s="79"/>
      <c r="N63" s="79"/>
      <c r="O63" s="79"/>
      <c r="P63" s="79"/>
      <c r="Q63" s="79"/>
      <c r="R63" s="79"/>
      <c r="S63" s="79"/>
      <c r="T63" s="79"/>
      <c r="U63" s="79"/>
      <c r="V63" s="80"/>
    </row>
    <row r="64" spans="1:22">
      <c r="B64" s="8"/>
      <c r="C64" s="5"/>
      <c r="D64" s="5"/>
      <c r="E64" s="5"/>
      <c r="F64" s="5"/>
      <c r="G64" s="11"/>
      <c r="L64" s="82"/>
      <c r="M64" s="83"/>
      <c r="N64" s="83"/>
      <c r="O64" s="83"/>
      <c r="P64" s="83"/>
      <c r="Q64" s="83"/>
      <c r="R64" s="83"/>
      <c r="S64" s="83"/>
      <c r="T64" s="83"/>
      <c r="U64" s="83"/>
      <c r="V64" s="84"/>
    </row>
  </sheetData>
  <mergeCells count="8">
    <mergeCell ref="L62:V64"/>
    <mergeCell ref="A1:G1"/>
    <mergeCell ref="B3:G3"/>
    <mergeCell ref="L3:V3"/>
    <mergeCell ref="L4:M4"/>
    <mergeCell ref="O4:P4"/>
    <mergeCell ref="R4:S4"/>
    <mergeCell ref="U4:V4"/>
  </mergeCells>
  <pageMargins left="0" right="0" top="0" bottom="0" header="0" footer="0"/>
  <pageSetup scale="48"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V64"/>
  <sheetViews>
    <sheetView zoomScale="75" workbookViewId="0">
      <selection sqref="A1:G1"/>
    </sheetView>
  </sheetViews>
  <sheetFormatPr defaultColWidth="9.109375" defaultRowHeight="14.4"/>
  <cols>
    <col min="1" max="1" width="20" style="1" customWidth="1"/>
    <col min="2" max="7" width="15" style="1" customWidth="1"/>
    <col min="8" max="8" width="1" style="1" customWidth="1"/>
    <col min="9" max="9" width="30" style="1" customWidth="1"/>
    <col min="10" max="10" width="15" style="1" customWidth="1"/>
    <col min="11" max="11" width="1" style="1" customWidth="1"/>
    <col min="12" max="13" width="15" style="1" customWidth="1"/>
    <col min="14" max="14" width="1" style="1" customWidth="1"/>
    <col min="15" max="16" width="15" style="1" customWidth="1"/>
    <col min="17" max="17" width="1" style="1" customWidth="1"/>
    <col min="18" max="19" width="15" style="1" customWidth="1"/>
    <col min="20" max="20" width="1" style="1" customWidth="1"/>
    <col min="21" max="22" width="15" style="1" customWidth="1"/>
    <col min="23" max="23" width="9.109375" style="1" customWidth="1"/>
    <col min="24" max="16384" width="9.109375" style="1"/>
  </cols>
  <sheetData>
    <row r="1" spans="1:22">
      <c r="A1" s="85" t="s">
        <v>118</v>
      </c>
      <c r="B1" s="79"/>
      <c r="C1" s="79"/>
      <c r="D1" s="79"/>
      <c r="E1" s="79"/>
      <c r="F1" s="79"/>
      <c r="G1" s="79"/>
    </row>
    <row r="3" spans="1:22">
      <c r="B3" s="86" t="s">
        <v>1</v>
      </c>
      <c r="C3" s="87"/>
      <c r="D3" s="87"/>
      <c r="E3" s="87"/>
      <c r="F3" s="87"/>
      <c r="G3" s="88"/>
      <c r="L3" s="89" t="s">
        <v>2</v>
      </c>
      <c r="M3" s="90"/>
      <c r="N3" s="90"/>
      <c r="O3" s="90"/>
      <c r="P3" s="90"/>
      <c r="Q3" s="90"/>
      <c r="R3" s="90"/>
      <c r="S3" s="90"/>
      <c r="T3" s="90"/>
      <c r="U3" s="90"/>
      <c r="V3" s="91"/>
    </row>
    <row r="4" spans="1:22">
      <c r="B4" s="6"/>
      <c r="G4" s="9"/>
      <c r="L4" s="92" t="s">
        <v>3</v>
      </c>
      <c r="M4" s="93"/>
      <c r="N4" s="3"/>
      <c r="O4" s="94" t="s">
        <v>4</v>
      </c>
      <c r="P4" s="93"/>
      <c r="Q4" s="3"/>
      <c r="R4" s="94" t="s">
        <v>5</v>
      </c>
      <c r="S4" s="93"/>
      <c r="T4" s="3"/>
      <c r="U4" s="94" t="s">
        <v>6</v>
      </c>
      <c r="V4" s="95"/>
    </row>
    <row r="5" spans="1:22" ht="60" customHeight="1">
      <c r="B5" s="7" t="s">
        <v>3</v>
      </c>
      <c r="C5" s="4" t="s">
        <v>4</v>
      </c>
      <c r="D5" s="4" t="s">
        <v>5</v>
      </c>
      <c r="E5" s="4" t="s">
        <v>6</v>
      </c>
      <c r="F5" s="4" t="s">
        <v>7</v>
      </c>
      <c r="G5" s="10" t="s">
        <v>8</v>
      </c>
      <c r="L5" s="19" t="s">
        <v>9</v>
      </c>
      <c r="M5" s="18" t="s">
        <v>10</v>
      </c>
      <c r="N5" s="18"/>
      <c r="O5" s="18" t="s">
        <v>9</v>
      </c>
      <c r="P5" s="18" t="s">
        <v>10</v>
      </c>
      <c r="Q5" s="18"/>
      <c r="R5" s="18" t="s">
        <v>9</v>
      </c>
      <c r="S5" s="18" t="s">
        <v>10</v>
      </c>
      <c r="T5" s="18"/>
      <c r="U5" s="18" t="s">
        <v>9</v>
      </c>
      <c r="V5" s="20" t="s">
        <v>10</v>
      </c>
    </row>
    <row r="6" spans="1:22">
      <c r="A6" s="1" t="s">
        <v>11</v>
      </c>
      <c r="B6" s="6">
        <v>472.66592606319318</v>
      </c>
      <c r="C6" s="1">
        <v>29.860300819050536</v>
      </c>
      <c r="D6" s="1">
        <v>0</v>
      </c>
      <c r="E6" s="1">
        <v>0</v>
      </c>
      <c r="F6" s="1">
        <v>0</v>
      </c>
      <c r="G6" s="9">
        <f>SUM(AL_FINANCIAL)</f>
        <v>502.52622688224369</v>
      </c>
      <c r="L6" s="6"/>
      <c r="V6" s="9"/>
    </row>
    <row r="7" spans="1:22">
      <c r="A7" s="1" t="s">
        <v>12</v>
      </c>
      <c r="B7" s="6">
        <v>56.965968690487045</v>
      </c>
      <c r="C7" s="1">
        <v>8.2835661522373556</v>
      </c>
      <c r="D7" s="1">
        <v>0</v>
      </c>
      <c r="E7" s="1">
        <v>0</v>
      </c>
      <c r="F7" s="1">
        <v>0</v>
      </c>
      <c r="G7" s="9">
        <f>SUM(AK_FINANCIAL)</f>
        <v>65.249534842724401</v>
      </c>
      <c r="I7" s="12"/>
      <c r="J7" s="15"/>
      <c r="L7" s="6">
        <v>337</v>
      </c>
      <c r="M7" s="1">
        <v>4800</v>
      </c>
      <c r="O7" s="1">
        <v>40</v>
      </c>
      <c r="P7" s="1">
        <v>0</v>
      </c>
      <c r="R7" s="1">
        <v>10</v>
      </c>
      <c r="S7" s="1">
        <v>0</v>
      </c>
      <c r="U7" s="1">
        <v>0</v>
      </c>
      <c r="V7" s="9">
        <v>0</v>
      </c>
    </row>
    <row r="8" spans="1:22">
      <c r="A8" s="1" t="s">
        <v>13</v>
      </c>
      <c r="B8" s="6">
        <v>1917.2627463264744</v>
      </c>
      <c r="C8" s="1">
        <v>128.55786830523584</v>
      </c>
      <c r="D8" s="1">
        <v>0</v>
      </c>
      <c r="E8" s="1">
        <v>0</v>
      </c>
      <c r="F8" s="1">
        <v>0</v>
      </c>
      <c r="G8" s="9">
        <f>SUM(AZ_FINANCIAL)</f>
        <v>2045.8206146317102</v>
      </c>
      <c r="I8" s="13" t="s">
        <v>14</v>
      </c>
      <c r="J8" s="16"/>
      <c r="L8" s="6"/>
      <c r="V8" s="9"/>
    </row>
    <row r="9" spans="1:22">
      <c r="A9" s="1" t="s">
        <v>15</v>
      </c>
      <c r="B9" s="6">
        <v>392.42935110358349</v>
      </c>
      <c r="C9" s="1">
        <v>9.1835993654157733</v>
      </c>
      <c r="D9" s="1">
        <v>0</v>
      </c>
      <c r="E9" s="1">
        <v>0</v>
      </c>
      <c r="F9" s="1">
        <v>0</v>
      </c>
      <c r="G9" s="9">
        <f>SUM(AR_FINANCIAL)</f>
        <v>401.61295046899926</v>
      </c>
      <c r="I9" s="13"/>
      <c r="J9" s="16"/>
      <c r="L9" s="6">
        <v>5587</v>
      </c>
      <c r="M9" s="1">
        <v>0</v>
      </c>
      <c r="O9" s="1">
        <v>0</v>
      </c>
      <c r="P9" s="1">
        <v>0</v>
      </c>
      <c r="R9" s="1">
        <v>0</v>
      </c>
      <c r="S9" s="1">
        <v>0</v>
      </c>
      <c r="U9" s="1">
        <v>0</v>
      </c>
      <c r="V9" s="9">
        <v>0</v>
      </c>
    </row>
    <row r="10" spans="1:22">
      <c r="A10" s="1" t="s">
        <v>16</v>
      </c>
      <c r="B10" s="6">
        <v>5795.1946298203184</v>
      </c>
      <c r="C10" s="1">
        <v>701.92352633718747</v>
      </c>
      <c r="D10" s="1">
        <v>0</v>
      </c>
      <c r="E10" s="1">
        <v>0</v>
      </c>
      <c r="F10" s="1">
        <v>0</v>
      </c>
      <c r="G10" s="9">
        <f>SUM(CA_FINANCIAL)</f>
        <v>6497.1181561575058</v>
      </c>
      <c r="I10" s="13" t="s">
        <v>17</v>
      </c>
      <c r="J10" s="16">
        <v>0</v>
      </c>
      <c r="L10" s="6"/>
      <c r="V10" s="9"/>
    </row>
    <row r="11" spans="1:22">
      <c r="A11" s="1" t="s">
        <v>18</v>
      </c>
      <c r="B11" s="6">
        <v>0</v>
      </c>
      <c r="C11" s="1">
        <v>0</v>
      </c>
      <c r="D11" s="1">
        <v>0</v>
      </c>
      <c r="E11" s="1">
        <v>0</v>
      </c>
      <c r="F11" s="1">
        <v>0</v>
      </c>
      <c r="G11" s="9">
        <f>SUM(CO_FINANCIAL)</f>
        <v>0</v>
      </c>
      <c r="I11" s="13"/>
      <c r="J11" s="16"/>
      <c r="L11" s="6"/>
      <c r="V11" s="9"/>
    </row>
    <row r="12" spans="1:22">
      <c r="A12" s="1" t="s">
        <v>19</v>
      </c>
      <c r="B12" s="6">
        <v>430.37725463655943</v>
      </c>
      <c r="C12" s="1">
        <v>87.453679230016633</v>
      </c>
      <c r="D12" s="1">
        <v>0</v>
      </c>
      <c r="E12" s="1">
        <v>0</v>
      </c>
      <c r="F12" s="1">
        <v>0</v>
      </c>
      <c r="G12" s="9">
        <f>SUM(CT_FINANCIAL)</f>
        <v>517.83093386657606</v>
      </c>
      <c r="I12" s="13" t="s">
        <v>20</v>
      </c>
      <c r="J12" s="16"/>
      <c r="L12" s="6">
        <v>106000</v>
      </c>
      <c r="M12" s="1">
        <v>0</v>
      </c>
      <c r="O12" s="1">
        <v>210000</v>
      </c>
      <c r="P12" s="1">
        <v>0</v>
      </c>
      <c r="R12" s="1">
        <v>0</v>
      </c>
      <c r="S12" s="1">
        <v>0</v>
      </c>
      <c r="U12" s="1">
        <v>0</v>
      </c>
      <c r="V12" s="9">
        <v>0</v>
      </c>
    </row>
    <row r="13" spans="1:22">
      <c r="A13" s="1" t="s">
        <v>21</v>
      </c>
      <c r="B13" s="6">
        <v>125.75662729314615</v>
      </c>
      <c r="C13" s="1">
        <v>29.181787346455138</v>
      </c>
      <c r="D13" s="1">
        <v>0</v>
      </c>
      <c r="E13" s="1">
        <v>0</v>
      </c>
      <c r="F13" s="1">
        <v>0</v>
      </c>
      <c r="G13" s="9">
        <f>SUM(DE_FINANCIAL)</f>
        <v>154.93841463960129</v>
      </c>
      <c r="I13" s="13" t="s">
        <v>22</v>
      </c>
      <c r="J13" s="16">
        <v>0</v>
      </c>
      <c r="L13" s="6"/>
      <c r="V13" s="9"/>
    </row>
    <row r="14" spans="1:22">
      <c r="A14" s="1" t="s">
        <v>23</v>
      </c>
      <c r="B14" s="6">
        <v>0</v>
      </c>
      <c r="C14" s="1">
        <v>0</v>
      </c>
      <c r="D14" s="1">
        <v>0</v>
      </c>
      <c r="E14" s="1">
        <v>0</v>
      </c>
      <c r="F14" s="1">
        <v>0</v>
      </c>
      <c r="G14" s="9">
        <f>SUM(DC_FINANCIAL)</f>
        <v>0</v>
      </c>
      <c r="I14" s="13" t="s">
        <v>24</v>
      </c>
      <c r="J14" s="16">
        <v>0</v>
      </c>
      <c r="L14" s="6"/>
      <c r="V14" s="9"/>
    </row>
    <row r="15" spans="1:22">
      <c r="A15" s="1" t="s">
        <v>25</v>
      </c>
      <c r="B15" s="6">
        <v>4955.7293882024242</v>
      </c>
      <c r="C15" s="1">
        <v>661.81648731888254</v>
      </c>
      <c r="D15" s="1">
        <v>0</v>
      </c>
      <c r="E15" s="1">
        <v>0</v>
      </c>
      <c r="F15" s="1">
        <v>0</v>
      </c>
      <c r="G15" s="9">
        <f>SUM(FL_FINANCIAL)</f>
        <v>5617.5458755213067</v>
      </c>
      <c r="I15" s="13" t="s">
        <v>26</v>
      </c>
      <c r="J15" s="16">
        <v>380962.74000000011</v>
      </c>
      <c r="L15" s="6"/>
      <c r="V15" s="9"/>
    </row>
    <row r="16" spans="1:22">
      <c r="A16" s="1" t="s">
        <v>27</v>
      </c>
      <c r="B16" s="6">
        <v>584.47946686664909</v>
      </c>
      <c r="C16" s="1">
        <v>38.335605502551346</v>
      </c>
      <c r="D16" s="1">
        <v>0</v>
      </c>
      <c r="E16" s="1">
        <v>0</v>
      </c>
      <c r="F16" s="1">
        <v>0</v>
      </c>
      <c r="G16" s="9">
        <f>SUM(GA_FINANCIAL)</f>
        <v>622.81507236920038</v>
      </c>
      <c r="I16" s="13" t="s">
        <v>28</v>
      </c>
      <c r="J16" s="16">
        <v>0</v>
      </c>
      <c r="L16" s="6"/>
      <c r="V16" s="9"/>
    </row>
    <row r="17" spans="1:22">
      <c r="A17" s="1" t="s">
        <v>29</v>
      </c>
      <c r="B17" s="6">
        <v>288.77183211837632</v>
      </c>
      <c r="C17" s="1">
        <v>55.775824940285361</v>
      </c>
      <c r="D17" s="1">
        <v>0</v>
      </c>
      <c r="E17" s="1">
        <v>0</v>
      </c>
      <c r="F17" s="1">
        <v>0</v>
      </c>
      <c r="G17" s="9">
        <f>SUM(HI_FINANCIAL)</f>
        <v>344.54765705866168</v>
      </c>
      <c r="I17" s="13"/>
      <c r="J17" s="16"/>
      <c r="L17" s="6">
        <v>0</v>
      </c>
      <c r="M17" s="1">
        <v>12871</v>
      </c>
      <c r="O17" s="1">
        <v>0</v>
      </c>
      <c r="P17" s="1">
        <v>2463</v>
      </c>
      <c r="R17" s="1">
        <v>0</v>
      </c>
      <c r="S17" s="1">
        <v>0</v>
      </c>
      <c r="U17" s="1">
        <v>0</v>
      </c>
      <c r="V17" s="9">
        <v>0</v>
      </c>
    </row>
    <row r="18" spans="1:22">
      <c r="A18" s="1" t="s">
        <v>30</v>
      </c>
      <c r="B18" s="6">
        <v>202.3853514738355</v>
      </c>
      <c r="C18" s="1">
        <v>8.6112703671656803</v>
      </c>
      <c r="D18" s="1">
        <v>0</v>
      </c>
      <c r="E18" s="1">
        <v>0</v>
      </c>
      <c r="F18" s="1">
        <v>0</v>
      </c>
      <c r="G18" s="9">
        <f>SUM(ID_FINANCIAL)</f>
        <v>210.99662184100117</v>
      </c>
      <c r="I18" s="13" t="s">
        <v>31</v>
      </c>
      <c r="J18" s="16"/>
      <c r="L18" s="6"/>
      <c r="V18" s="9"/>
    </row>
    <row r="19" spans="1:22">
      <c r="A19" s="1" t="s">
        <v>32</v>
      </c>
      <c r="B19" s="6">
        <v>1797.41345066961</v>
      </c>
      <c r="C19" s="1">
        <v>95.499456227894825</v>
      </c>
      <c r="D19" s="1">
        <v>0</v>
      </c>
      <c r="E19" s="1">
        <v>0</v>
      </c>
      <c r="F19" s="1">
        <v>0</v>
      </c>
      <c r="G19" s="9">
        <f>SUM(IL_FINANCIAL)</f>
        <v>1892.9129068975049</v>
      </c>
      <c r="I19" s="13" t="s">
        <v>33</v>
      </c>
      <c r="J19" s="16">
        <v>0</v>
      </c>
      <c r="L19" s="6"/>
      <c r="V19" s="9"/>
    </row>
    <row r="20" spans="1:22">
      <c r="A20" s="1" t="s">
        <v>34</v>
      </c>
      <c r="B20" s="6">
        <v>1125.2876183745157</v>
      </c>
      <c r="C20" s="1">
        <v>83.638629609381837</v>
      </c>
      <c r="D20" s="1">
        <v>0</v>
      </c>
      <c r="E20" s="1">
        <v>0</v>
      </c>
      <c r="F20" s="1">
        <v>0</v>
      </c>
      <c r="G20" s="9">
        <f>SUM(IN_FINANCIAL)</f>
        <v>1208.9262479838976</v>
      </c>
      <c r="I20" s="13" t="s">
        <v>35</v>
      </c>
      <c r="J20" s="16">
        <v>0</v>
      </c>
      <c r="L20" s="6"/>
      <c r="V20" s="9"/>
    </row>
    <row r="21" spans="1:22">
      <c r="A21" s="1" t="s">
        <v>36</v>
      </c>
      <c r="B21" s="6">
        <v>1431.4623919970763</v>
      </c>
      <c r="C21" s="1">
        <v>116.92411646858386</v>
      </c>
      <c r="D21" s="1">
        <v>0</v>
      </c>
      <c r="E21" s="1">
        <v>0</v>
      </c>
      <c r="F21" s="1">
        <v>0</v>
      </c>
      <c r="G21" s="9">
        <f>SUM(IA_FINANCIAL)</f>
        <v>1548.3865084656602</v>
      </c>
      <c r="I21" s="13" t="s">
        <v>37</v>
      </c>
      <c r="J21" s="16"/>
      <c r="L21" s="6"/>
      <c r="V21" s="9"/>
    </row>
    <row r="22" spans="1:22">
      <c r="A22" s="1" t="s">
        <v>38</v>
      </c>
      <c r="B22" s="6">
        <v>272.98502145484872</v>
      </c>
      <c r="C22" s="1">
        <v>28.740635367011322</v>
      </c>
      <c r="D22" s="1">
        <v>0</v>
      </c>
      <c r="E22" s="1">
        <v>0</v>
      </c>
      <c r="F22" s="1">
        <v>0</v>
      </c>
      <c r="G22" s="9">
        <f>SUM(KS_FINANCIAL)</f>
        <v>301.72565682186007</v>
      </c>
      <c r="I22" s="13" t="s">
        <v>39</v>
      </c>
      <c r="J22" s="16">
        <v>0</v>
      </c>
      <c r="L22" s="6"/>
      <c r="V22" s="9"/>
    </row>
    <row r="23" spans="1:22">
      <c r="A23" s="1" t="s">
        <v>40</v>
      </c>
      <c r="B23" s="6">
        <v>824.60096203023659</v>
      </c>
      <c r="C23" s="1">
        <v>70.375232515432515</v>
      </c>
      <c r="D23" s="1">
        <v>0</v>
      </c>
      <c r="E23" s="1">
        <v>0</v>
      </c>
      <c r="F23" s="1">
        <v>0</v>
      </c>
      <c r="G23" s="9">
        <f>SUM(KY_FINANCIAL)</f>
        <v>894.97619454566916</v>
      </c>
      <c r="I23" s="13" t="s">
        <v>41</v>
      </c>
      <c r="J23" s="16"/>
      <c r="L23" s="6"/>
      <c r="V23" s="9"/>
    </row>
    <row r="24" spans="1:22">
      <c r="A24" s="1" t="s">
        <v>42</v>
      </c>
      <c r="B24" s="6">
        <v>0</v>
      </c>
      <c r="C24" s="1">
        <v>0</v>
      </c>
      <c r="D24" s="1">
        <v>0</v>
      </c>
      <c r="E24" s="1">
        <v>0</v>
      </c>
      <c r="F24" s="1">
        <v>0</v>
      </c>
      <c r="G24" s="9">
        <f>SUM(LA_FINANCIAL)</f>
        <v>0</v>
      </c>
      <c r="I24" s="13" t="s">
        <v>43</v>
      </c>
      <c r="J24" s="16">
        <v>333632.99999999994</v>
      </c>
      <c r="L24" s="6"/>
      <c r="V24" s="9"/>
    </row>
    <row r="25" spans="1:22">
      <c r="A25" s="1" t="s">
        <v>44</v>
      </c>
      <c r="B25" s="6">
        <v>348.65768800618207</v>
      </c>
      <c r="C25" s="1">
        <v>47.856055537685677</v>
      </c>
      <c r="D25" s="1">
        <v>0</v>
      </c>
      <c r="E25" s="1">
        <v>0</v>
      </c>
      <c r="F25" s="1">
        <v>0</v>
      </c>
      <c r="G25" s="9">
        <f>SUM(ME_FINANCIAL)</f>
        <v>396.51374354386775</v>
      </c>
      <c r="I25" s="13"/>
      <c r="J25" s="16"/>
      <c r="L25" s="6"/>
      <c r="V25" s="9"/>
    </row>
    <row r="26" spans="1:22">
      <c r="A26" s="1" t="s">
        <v>45</v>
      </c>
      <c r="B26" s="6">
        <v>731.31304206343066</v>
      </c>
      <c r="C26" s="1">
        <v>65.801841601207173</v>
      </c>
      <c r="D26" s="1">
        <v>0</v>
      </c>
      <c r="E26" s="1">
        <v>0</v>
      </c>
      <c r="F26" s="1">
        <v>0</v>
      </c>
      <c r="G26" s="9">
        <f>SUM(MD_FINANCIAL)</f>
        <v>797.11488366463777</v>
      </c>
      <c r="I26" s="13" t="s">
        <v>46</v>
      </c>
      <c r="J26" s="16">
        <f>SUM(ADD_FINANCIAL)-SUM(LESS_FINANCIAL)</f>
        <v>47329.740000000165</v>
      </c>
      <c r="L26" s="6"/>
      <c r="V26" s="9"/>
    </row>
    <row r="27" spans="1:22">
      <c r="A27" s="1" t="s">
        <v>47</v>
      </c>
      <c r="B27" s="6">
        <v>1713.3808526730227</v>
      </c>
      <c r="C27" s="1">
        <v>159.13758859360451</v>
      </c>
      <c r="D27" s="1">
        <v>0</v>
      </c>
      <c r="E27" s="1">
        <v>0</v>
      </c>
      <c r="F27" s="1">
        <v>0</v>
      </c>
      <c r="G27" s="9">
        <f>SUM(MA_FINANCIAL)</f>
        <v>1872.5184412666272</v>
      </c>
      <c r="I27" s="13" t="s">
        <v>48</v>
      </c>
      <c r="J27" s="16">
        <f>SUM(ALL_BLOCKS)</f>
        <v>47329.740000000027</v>
      </c>
      <c r="L27" s="6"/>
      <c r="V27" s="9"/>
    </row>
    <row r="28" spans="1:22">
      <c r="A28" s="1" t="s">
        <v>49</v>
      </c>
      <c r="B28" s="6">
        <v>792.79295418059883</v>
      </c>
      <c r="C28" s="1">
        <v>56.316360804998169</v>
      </c>
      <c r="D28" s="1">
        <v>0</v>
      </c>
      <c r="E28" s="1">
        <v>0</v>
      </c>
      <c r="F28" s="1">
        <v>0</v>
      </c>
      <c r="G28" s="9">
        <f>SUM(MI_FINANCIAL)</f>
        <v>849.10931498559694</v>
      </c>
      <c r="I28" s="14"/>
      <c r="J28" s="17"/>
      <c r="L28" s="6"/>
      <c r="V28" s="9"/>
    </row>
    <row r="29" spans="1:22">
      <c r="A29" s="1" t="s">
        <v>50</v>
      </c>
      <c r="B29" s="6">
        <v>517.09699297705492</v>
      </c>
      <c r="C29" s="1">
        <v>61.896079155344523</v>
      </c>
      <c r="D29" s="1">
        <v>0</v>
      </c>
      <c r="E29" s="1">
        <v>0</v>
      </c>
      <c r="F29" s="1">
        <v>0</v>
      </c>
      <c r="G29" s="9">
        <f>SUM(MN_FINANCIAL)</f>
        <v>578.99307213239945</v>
      </c>
      <c r="L29" s="6"/>
      <c r="V29" s="9"/>
    </row>
    <row r="30" spans="1:22">
      <c r="A30" s="1" t="s">
        <v>51</v>
      </c>
      <c r="B30" s="6">
        <v>132.52032831226256</v>
      </c>
      <c r="C30" s="1">
        <v>0</v>
      </c>
      <c r="D30" s="1">
        <v>0</v>
      </c>
      <c r="E30" s="1">
        <v>0</v>
      </c>
      <c r="F30" s="1">
        <v>0</v>
      </c>
      <c r="G30" s="9">
        <f>SUM(MS_FINANCIAL)</f>
        <v>132.52032831226256</v>
      </c>
      <c r="L30" s="6"/>
      <c r="V30" s="9"/>
    </row>
    <row r="31" spans="1:22">
      <c r="A31" s="1" t="s">
        <v>52</v>
      </c>
      <c r="B31" s="6">
        <v>637.81107936456192</v>
      </c>
      <c r="C31" s="1">
        <v>197.0407700296214</v>
      </c>
      <c r="D31" s="1">
        <v>0</v>
      </c>
      <c r="E31" s="1">
        <v>0</v>
      </c>
      <c r="F31" s="1">
        <v>0</v>
      </c>
      <c r="G31" s="9">
        <f>SUM(MO_FINANCIAL)</f>
        <v>834.85184939418332</v>
      </c>
      <c r="L31" s="6"/>
      <c r="V31" s="9"/>
    </row>
    <row r="32" spans="1:22">
      <c r="A32" s="1" t="s">
        <v>53</v>
      </c>
      <c r="B32" s="6">
        <v>102.95579366687298</v>
      </c>
      <c r="C32" s="1">
        <v>0</v>
      </c>
      <c r="D32" s="1">
        <v>0</v>
      </c>
      <c r="E32" s="1">
        <v>0</v>
      </c>
      <c r="F32" s="1">
        <v>0</v>
      </c>
      <c r="G32" s="9">
        <f>SUM(MT_FINANCIAL)</f>
        <v>102.95579366687298</v>
      </c>
      <c r="L32" s="6">
        <v>300000</v>
      </c>
      <c r="M32" s="1">
        <v>0</v>
      </c>
      <c r="O32" s="1">
        <v>0</v>
      </c>
      <c r="P32" s="1">
        <v>0</v>
      </c>
      <c r="R32" s="1">
        <v>0</v>
      </c>
      <c r="S32" s="1">
        <v>0</v>
      </c>
      <c r="U32" s="1">
        <v>0</v>
      </c>
      <c r="V32" s="9">
        <v>0</v>
      </c>
    </row>
    <row r="33" spans="1:22">
      <c r="A33" s="1" t="s">
        <v>54</v>
      </c>
      <c r="B33" s="6">
        <v>451.77266715650831</v>
      </c>
      <c r="C33" s="1">
        <v>13.047300901587477</v>
      </c>
      <c r="D33" s="1">
        <v>0</v>
      </c>
      <c r="E33" s="1">
        <v>0</v>
      </c>
      <c r="F33" s="1">
        <v>0</v>
      </c>
      <c r="G33" s="9">
        <f>SUM(NE_FINANCIAL)</f>
        <v>464.81996805809581</v>
      </c>
      <c r="L33" s="6"/>
      <c r="V33" s="9"/>
    </row>
    <row r="34" spans="1:22">
      <c r="A34" s="1" t="s">
        <v>55</v>
      </c>
      <c r="B34" s="6">
        <v>554.96358780478613</v>
      </c>
      <c r="C34" s="1">
        <v>7.7035187164677623</v>
      </c>
      <c r="D34" s="1">
        <v>0</v>
      </c>
      <c r="E34" s="1">
        <v>0</v>
      </c>
      <c r="F34" s="1">
        <v>0</v>
      </c>
      <c r="G34" s="9">
        <f>SUM(NV_FINANCIAL)</f>
        <v>562.66710652125391</v>
      </c>
      <c r="L34" s="6"/>
      <c r="V34" s="9"/>
    </row>
    <row r="35" spans="1:22">
      <c r="A35" s="1" t="s">
        <v>56</v>
      </c>
      <c r="B35" s="6">
        <v>351.1477685851255</v>
      </c>
      <c r="C35" s="1">
        <v>19.888836890253913</v>
      </c>
      <c r="D35" s="1">
        <v>0</v>
      </c>
      <c r="E35" s="1">
        <v>0</v>
      </c>
      <c r="F35" s="1">
        <v>0</v>
      </c>
      <c r="G35" s="9">
        <f>SUM(NH_FINANCIAL)</f>
        <v>371.03660547537942</v>
      </c>
      <c r="L35" s="6"/>
      <c r="V35" s="9"/>
    </row>
    <row r="36" spans="1:22">
      <c r="A36" s="1" t="s">
        <v>57</v>
      </c>
      <c r="B36" s="6">
        <v>2616.000748205166</v>
      </c>
      <c r="C36" s="1">
        <v>145.3805082641245</v>
      </c>
      <c r="D36" s="1">
        <v>0</v>
      </c>
      <c r="E36" s="1">
        <v>0</v>
      </c>
      <c r="F36" s="1">
        <v>0</v>
      </c>
      <c r="G36" s="9">
        <f>SUM(NJ_FINANCIAL)</f>
        <v>2761.3812564692907</v>
      </c>
      <c r="L36" s="6"/>
      <c r="V36" s="9"/>
    </row>
    <row r="37" spans="1:22">
      <c r="A37" s="1" t="s">
        <v>58</v>
      </c>
      <c r="B37" s="6">
        <v>348.35955772001626</v>
      </c>
      <c r="C37" s="1">
        <v>35.936875416421543</v>
      </c>
      <c r="D37" s="1">
        <v>0</v>
      </c>
      <c r="E37" s="1">
        <v>0</v>
      </c>
      <c r="F37" s="1">
        <v>0</v>
      </c>
      <c r="G37" s="9">
        <f>SUM(NM_FINANCIAL)</f>
        <v>384.29643313643783</v>
      </c>
      <c r="L37" s="6">
        <v>200000</v>
      </c>
      <c r="M37" s="1">
        <v>0</v>
      </c>
      <c r="O37" s="1">
        <v>502555</v>
      </c>
      <c r="P37" s="1">
        <v>0</v>
      </c>
      <c r="R37" s="1">
        <v>0</v>
      </c>
      <c r="S37" s="1">
        <v>0</v>
      </c>
      <c r="U37" s="1">
        <v>0</v>
      </c>
      <c r="V37" s="9">
        <v>0</v>
      </c>
    </row>
    <row r="38" spans="1:22">
      <c r="A38" s="1" t="s">
        <v>59</v>
      </c>
      <c r="B38" s="6">
        <v>0</v>
      </c>
      <c r="C38" s="1">
        <v>0</v>
      </c>
      <c r="D38" s="1">
        <v>0</v>
      </c>
      <c r="E38" s="1">
        <v>0</v>
      </c>
      <c r="F38" s="1">
        <v>0</v>
      </c>
      <c r="G38" s="9">
        <f>SUM(NY_FINANCIAL)</f>
        <v>0</v>
      </c>
      <c r="L38" s="6"/>
      <c r="V38" s="9"/>
    </row>
    <row r="39" spans="1:22">
      <c r="A39" s="1" t="s">
        <v>60</v>
      </c>
      <c r="B39" s="6">
        <v>642.70559758578111</v>
      </c>
      <c r="C39" s="1">
        <v>71.840871833924382</v>
      </c>
      <c r="D39" s="1">
        <v>0</v>
      </c>
      <c r="E39" s="1">
        <v>0</v>
      </c>
      <c r="F39" s="1">
        <v>0</v>
      </c>
      <c r="G39" s="9">
        <f>SUM(NC_FINANCIAL)</f>
        <v>714.54646941970555</v>
      </c>
      <c r="L39" s="6"/>
      <c r="V39" s="9"/>
    </row>
    <row r="40" spans="1:22">
      <c r="A40" s="1" t="s">
        <v>61</v>
      </c>
      <c r="B40" s="6">
        <v>224.25408743241337</v>
      </c>
      <c r="C40" s="1">
        <v>0</v>
      </c>
      <c r="D40" s="1">
        <v>0</v>
      </c>
      <c r="E40" s="1">
        <v>0</v>
      </c>
      <c r="F40" s="1">
        <v>0</v>
      </c>
      <c r="G40" s="9">
        <f>SUM(ND_FINANCIAL)</f>
        <v>224.25408743241337</v>
      </c>
      <c r="L40" s="6"/>
      <c r="V40" s="9"/>
    </row>
    <row r="41" spans="1:22">
      <c r="A41" s="1" t="s">
        <v>62</v>
      </c>
      <c r="B41" s="6">
        <v>1394.9459735831188</v>
      </c>
      <c r="C41" s="1">
        <v>61.680792996283117</v>
      </c>
      <c r="D41" s="1">
        <v>0</v>
      </c>
      <c r="E41" s="1">
        <v>0</v>
      </c>
      <c r="F41" s="1">
        <v>0</v>
      </c>
      <c r="G41" s="9">
        <f>SUM(OH_FINANCIAL)</f>
        <v>1456.6267665794019</v>
      </c>
      <c r="L41" s="6"/>
      <c r="V41" s="9"/>
    </row>
    <row r="42" spans="1:22">
      <c r="A42" s="1" t="s">
        <v>63</v>
      </c>
      <c r="B42" s="6">
        <v>529.2734775733702</v>
      </c>
      <c r="C42" s="1">
        <v>15.048766779570201</v>
      </c>
      <c r="D42" s="1">
        <v>0</v>
      </c>
      <c r="E42" s="1">
        <v>0</v>
      </c>
      <c r="F42" s="1">
        <v>0</v>
      </c>
      <c r="G42" s="9">
        <f>SUM(OK_FINANCIAL)</f>
        <v>544.3222443529404</v>
      </c>
      <c r="L42" s="6"/>
      <c r="V42" s="9"/>
    </row>
    <row r="43" spans="1:22">
      <c r="A43" s="1" t="s">
        <v>64</v>
      </c>
      <c r="B43" s="6">
        <v>377.16090689290741</v>
      </c>
      <c r="C43" s="1">
        <v>67.264595534309649</v>
      </c>
      <c r="D43" s="1">
        <v>0</v>
      </c>
      <c r="E43" s="1">
        <v>0</v>
      </c>
      <c r="F43" s="1">
        <v>0</v>
      </c>
      <c r="G43" s="9">
        <f>SUM(OR_FINANCIAL)</f>
        <v>444.42550242721705</v>
      </c>
      <c r="L43" s="6"/>
      <c r="V43" s="9"/>
    </row>
    <row r="44" spans="1:22">
      <c r="A44" s="1" t="s">
        <v>65</v>
      </c>
      <c r="B44" s="6">
        <v>2230.5304831399262</v>
      </c>
      <c r="C44" s="1">
        <v>94.574081289843775</v>
      </c>
      <c r="D44" s="1">
        <v>0</v>
      </c>
      <c r="E44" s="1">
        <v>0</v>
      </c>
      <c r="F44" s="1">
        <v>0</v>
      </c>
      <c r="G44" s="9">
        <f>SUM(PA_FINANCIAL)</f>
        <v>2325.1045644297701</v>
      </c>
      <c r="L44" s="6"/>
      <c r="V44" s="9"/>
    </row>
    <row r="45" spans="1:22">
      <c r="A45" s="1" t="s">
        <v>66</v>
      </c>
      <c r="B45" s="6">
        <v>33.649569152645</v>
      </c>
      <c r="C45" s="1">
        <v>0</v>
      </c>
      <c r="D45" s="1">
        <v>0</v>
      </c>
      <c r="E45" s="1">
        <v>0</v>
      </c>
      <c r="F45" s="1">
        <v>0</v>
      </c>
      <c r="G45" s="9">
        <f>SUM(PR_FINANCIAL)</f>
        <v>33.649569152645</v>
      </c>
      <c r="L45" s="6"/>
      <c r="V45" s="9"/>
    </row>
    <row r="46" spans="1:22">
      <c r="A46" s="1" t="s">
        <v>67</v>
      </c>
      <c r="B46" s="6">
        <v>125.89190723030458</v>
      </c>
      <c r="C46" s="1">
        <v>16.807938375052657</v>
      </c>
      <c r="D46" s="1">
        <v>0</v>
      </c>
      <c r="E46" s="1">
        <v>0</v>
      </c>
      <c r="F46" s="1">
        <v>0</v>
      </c>
      <c r="G46" s="9">
        <f>SUM(RI_FINANCIAL)</f>
        <v>142.69984560535724</v>
      </c>
      <c r="L46" s="6"/>
      <c r="V46" s="9"/>
    </row>
    <row r="47" spans="1:22">
      <c r="A47" s="1" t="s">
        <v>68</v>
      </c>
      <c r="B47" s="6">
        <v>319.98549994863879</v>
      </c>
      <c r="C47" s="1">
        <v>21.484208811705088</v>
      </c>
      <c r="D47" s="1">
        <v>0</v>
      </c>
      <c r="E47" s="1">
        <v>0</v>
      </c>
      <c r="F47" s="1">
        <v>0</v>
      </c>
      <c r="G47" s="9">
        <f>SUM(SC_FINANCIAL)</f>
        <v>341.46970876034391</v>
      </c>
      <c r="L47" s="6"/>
      <c r="V47" s="9"/>
    </row>
    <row r="48" spans="1:22">
      <c r="A48" s="1" t="s">
        <v>69</v>
      </c>
      <c r="B48" s="6">
        <v>256.85638111554704</v>
      </c>
      <c r="C48" s="1">
        <v>2.0708961659710763</v>
      </c>
      <c r="D48" s="1">
        <v>0</v>
      </c>
      <c r="E48" s="1">
        <v>0</v>
      </c>
      <c r="F48" s="1">
        <v>0</v>
      </c>
      <c r="G48" s="9">
        <f>SUM(SD_FINANCIAL)</f>
        <v>258.92727728151812</v>
      </c>
      <c r="L48" s="6"/>
      <c r="V48" s="9"/>
    </row>
    <row r="49" spans="1:22">
      <c r="A49" s="1" t="s">
        <v>70</v>
      </c>
      <c r="B49" s="6">
        <v>548.00776691588044</v>
      </c>
      <c r="C49" s="1">
        <v>12.628632699975725</v>
      </c>
      <c r="D49" s="1">
        <v>0</v>
      </c>
      <c r="E49" s="1">
        <v>0</v>
      </c>
      <c r="F49" s="1">
        <v>0</v>
      </c>
      <c r="G49" s="9">
        <f>SUM(TN_FINANCIAL)</f>
        <v>560.63639961585613</v>
      </c>
      <c r="L49" s="6"/>
      <c r="V49" s="9"/>
    </row>
    <row r="50" spans="1:22">
      <c r="A50" s="1" t="s">
        <v>71</v>
      </c>
      <c r="B50" s="6">
        <v>2824.6187871270486</v>
      </c>
      <c r="C50" s="1">
        <v>243.58969515887702</v>
      </c>
      <c r="D50" s="1">
        <v>0</v>
      </c>
      <c r="E50" s="1">
        <v>0</v>
      </c>
      <c r="F50" s="1">
        <v>0</v>
      </c>
      <c r="G50" s="9">
        <f>SUM(TX_FINANCIAL)</f>
        <v>3068.2084822859256</v>
      </c>
      <c r="L50" s="6"/>
      <c r="V50" s="9"/>
    </row>
    <row r="51" spans="1:22">
      <c r="A51" s="1" t="s">
        <v>72</v>
      </c>
      <c r="B51" s="6">
        <v>802.54582200104142</v>
      </c>
      <c r="C51" s="1">
        <v>24.133596308984295</v>
      </c>
      <c r="D51" s="1">
        <v>0</v>
      </c>
      <c r="E51" s="1">
        <v>0</v>
      </c>
      <c r="F51" s="1">
        <v>0</v>
      </c>
      <c r="G51" s="9">
        <f>SUM(UT_FINANCIAL)</f>
        <v>826.67941831002577</v>
      </c>
      <c r="L51" s="6"/>
      <c r="V51" s="9"/>
    </row>
    <row r="52" spans="1:22">
      <c r="A52" s="1" t="s">
        <v>73</v>
      </c>
      <c r="B52" s="6">
        <v>82.431386056270185</v>
      </c>
      <c r="C52" s="1">
        <v>5.2385971834387632</v>
      </c>
      <c r="D52" s="1">
        <v>0</v>
      </c>
      <c r="E52" s="1">
        <v>0</v>
      </c>
      <c r="F52" s="1">
        <v>0</v>
      </c>
      <c r="G52" s="9">
        <f>SUM(VT_FINANCIAL)</f>
        <v>87.669983239708955</v>
      </c>
      <c r="L52" s="6"/>
      <c r="V52" s="9"/>
    </row>
    <row r="53" spans="1:22">
      <c r="A53" s="1" t="s">
        <v>74</v>
      </c>
      <c r="B53" s="6">
        <v>673.79666950989031</v>
      </c>
      <c r="C53" s="1">
        <v>60.130093122817527</v>
      </c>
      <c r="D53" s="1">
        <v>0</v>
      </c>
      <c r="E53" s="1">
        <v>0</v>
      </c>
      <c r="F53" s="1">
        <v>0</v>
      </c>
      <c r="G53" s="9">
        <f>SUM(VA_FINANCIAL)</f>
        <v>733.92676263270778</v>
      </c>
      <c r="L53" s="6"/>
      <c r="V53" s="9"/>
    </row>
    <row r="54" spans="1:22">
      <c r="A54" s="1" t="s">
        <v>75</v>
      </c>
      <c r="B54" s="6">
        <v>709.34844245063687</v>
      </c>
      <c r="C54" s="1">
        <v>260.03554560403791</v>
      </c>
      <c r="D54" s="1">
        <v>0</v>
      </c>
      <c r="E54" s="1">
        <v>0</v>
      </c>
      <c r="F54" s="1">
        <v>0</v>
      </c>
      <c r="G54" s="9">
        <f>SUM(WA_FINANCIAL)</f>
        <v>969.38398805467477</v>
      </c>
      <c r="L54" s="6"/>
      <c r="V54" s="9"/>
    </row>
    <row r="55" spans="1:22">
      <c r="A55" s="1" t="s">
        <v>76</v>
      </c>
      <c r="B55" s="6">
        <v>246.1831571597811</v>
      </c>
      <c r="C55" s="1">
        <v>13.746482191382938</v>
      </c>
      <c r="D55" s="1">
        <v>0</v>
      </c>
      <c r="E55" s="1">
        <v>0</v>
      </c>
      <c r="F55" s="1">
        <v>0</v>
      </c>
      <c r="G55" s="9">
        <f>SUM(WV_FINANCIAL)</f>
        <v>259.92963935116404</v>
      </c>
      <c r="L55" s="6"/>
      <c r="V55" s="9"/>
    </row>
    <row r="56" spans="1:22">
      <c r="A56" s="1" t="s">
        <v>77</v>
      </c>
      <c r="B56" s="6">
        <v>1195.4173690633961</v>
      </c>
      <c r="C56" s="1">
        <v>87.933206917029224</v>
      </c>
      <c r="D56" s="1">
        <v>0</v>
      </c>
      <c r="E56" s="1">
        <v>0</v>
      </c>
      <c r="F56" s="1">
        <v>0</v>
      </c>
      <c r="G56" s="9">
        <f>SUM(WI_FINANCIAL)</f>
        <v>1283.3505759804252</v>
      </c>
      <c r="L56" s="6"/>
      <c r="V56" s="9"/>
    </row>
    <row r="57" spans="1:22">
      <c r="A57" s="1" t="s">
        <v>78</v>
      </c>
      <c r="B57" s="6">
        <v>98.503147496435759</v>
      </c>
      <c r="C57" s="1">
        <v>18.717197970786913</v>
      </c>
      <c r="D57" s="1">
        <v>0</v>
      </c>
      <c r="E57" s="1">
        <v>0</v>
      </c>
      <c r="F57" s="1">
        <v>0</v>
      </c>
      <c r="G57" s="9">
        <f>SUM(WY_FINANCIAL)</f>
        <v>117.22034546722267</v>
      </c>
      <c r="L57" s="6"/>
      <c r="V57" s="9"/>
    </row>
    <row r="58" spans="1:22">
      <c r="A58" s="1" t="s">
        <v>79</v>
      </c>
      <c r="B58" s="6">
        <v>0</v>
      </c>
      <c r="C58" s="1">
        <v>0</v>
      </c>
      <c r="D58" s="1">
        <v>0</v>
      </c>
      <c r="E58" s="1">
        <v>0</v>
      </c>
      <c r="F58" s="1">
        <v>0</v>
      </c>
      <c r="G58" s="9">
        <f>SUM(OT_FINANCIAL)</f>
        <v>0</v>
      </c>
      <c r="L58" s="6"/>
      <c r="V58" s="9"/>
    </row>
    <row r="59" spans="1:22">
      <c r="B59" s="6"/>
      <c r="G59" s="9"/>
      <c r="L59" s="6"/>
      <c r="V59" s="9"/>
    </row>
    <row r="60" spans="1:22">
      <c r="A60" s="1" t="s">
        <v>8</v>
      </c>
      <c r="B60" s="6">
        <f>SUM(LIFE)</f>
        <v>43288.647479271953</v>
      </c>
      <c r="C60" s="1">
        <f>SUM(ALLOCATED)</f>
        <v>4041.0925207280943</v>
      </c>
      <c r="D60" s="1">
        <f>SUM(HEALTH)</f>
        <v>0</v>
      </c>
      <c r="E60" s="1">
        <f>SUM(UNALLOCATED)</f>
        <v>0</v>
      </c>
      <c r="F60" s="1">
        <f>SUM(LTC)</f>
        <v>0</v>
      </c>
      <c r="G60" s="9">
        <f>SUM(ALL_BLOCKS)</f>
        <v>47329.740000000027</v>
      </c>
      <c r="L60" s="6">
        <f>SUM(LIFE_CALLED)</f>
        <v>611924</v>
      </c>
      <c r="M60" s="1">
        <f>SUM(LIFE_REFUNDED)</f>
        <v>17671</v>
      </c>
      <c r="O60" s="1">
        <f>SUM(ALLOC_CALLED)</f>
        <v>712595</v>
      </c>
      <c r="P60" s="1">
        <f>SUM(ALLOC_REFUNDED)</f>
        <v>2463</v>
      </c>
      <c r="R60" s="1">
        <f>SUM(HEALTH_CALLED)</f>
        <v>10</v>
      </c>
      <c r="S60" s="1">
        <f>SUM(HEALTH_REFUNDED)</f>
        <v>0</v>
      </c>
      <c r="U60" s="1">
        <f>SUM(UNALLOC_CALLED)</f>
        <v>0</v>
      </c>
      <c r="V60" s="9">
        <f>SUM(UNALLOC_REFUNDED)</f>
        <v>0</v>
      </c>
    </row>
    <row r="61" spans="1:22" ht="5.0999999999999996" customHeight="1">
      <c r="B61" s="6"/>
      <c r="G61" s="9"/>
      <c r="L61" s="6"/>
      <c r="V61" s="9"/>
    </row>
    <row r="62" spans="1:22">
      <c r="B62" s="6"/>
      <c r="G62" s="9"/>
      <c r="L62" s="78" t="s">
        <v>80</v>
      </c>
      <c r="M62" s="79"/>
      <c r="N62" s="79"/>
      <c r="O62" s="79"/>
      <c r="P62" s="79"/>
      <c r="Q62" s="79"/>
      <c r="R62" s="79"/>
      <c r="S62" s="79"/>
      <c r="T62" s="79"/>
      <c r="U62" s="79"/>
      <c r="V62" s="80"/>
    </row>
    <row r="63" spans="1:22">
      <c r="B63" s="6"/>
      <c r="G63" s="9"/>
      <c r="L63" s="81"/>
      <c r="M63" s="79"/>
      <c r="N63" s="79"/>
      <c r="O63" s="79"/>
      <c r="P63" s="79"/>
      <c r="Q63" s="79"/>
      <c r="R63" s="79"/>
      <c r="S63" s="79"/>
      <c r="T63" s="79"/>
      <c r="U63" s="79"/>
      <c r="V63" s="80"/>
    </row>
    <row r="64" spans="1:22">
      <c r="B64" s="8"/>
      <c r="C64" s="5"/>
      <c r="D64" s="5"/>
      <c r="E64" s="5"/>
      <c r="F64" s="5"/>
      <c r="G64" s="11"/>
      <c r="L64" s="82"/>
      <c r="M64" s="83"/>
      <c r="N64" s="83"/>
      <c r="O64" s="83"/>
      <c r="P64" s="83"/>
      <c r="Q64" s="83"/>
      <c r="R64" s="83"/>
      <c r="S64" s="83"/>
      <c r="T64" s="83"/>
      <c r="U64" s="83"/>
      <c r="V64" s="84"/>
    </row>
  </sheetData>
  <mergeCells count="8">
    <mergeCell ref="L62:V64"/>
    <mergeCell ref="A1:G1"/>
    <mergeCell ref="B3:G3"/>
    <mergeCell ref="L3:V3"/>
    <mergeCell ref="L4:M4"/>
    <mergeCell ref="O4:P4"/>
    <mergeCell ref="R4:S4"/>
    <mergeCell ref="U4:V4"/>
  </mergeCells>
  <pageMargins left="0" right="0" top="0" bottom="0" header="0" footer="0"/>
  <pageSetup scale="4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V64"/>
  <sheetViews>
    <sheetView zoomScale="75" workbookViewId="0">
      <selection sqref="A1:G1"/>
    </sheetView>
  </sheetViews>
  <sheetFormatPr defaultColWidth="9.109375" defaultRowHeight="14.4"/>
  <cols>
    <col min="1" max="1" width="20" style="1" customWidth="1"/>
    <col min="2" max="7" width="15" style="1" customWidth="1"/>
    <col min="8" max="8" width="1" style="1" customWidth="1"/>
    <col min="9" max="9" width="30" style="1" customWidth="1"/>
    <col min="10" max="10" width="15" style="1" customWidth="1"/>
    <col min="11" max="11" width="1" style="1" customWidth="1"/>
    <col min="12" max="13" width="15" style="1" customWidth="1"/>
    <col min="14" max="14" width="1" style="1" customWidth="1"/>
    <col min="15" max="16" width="15" style="1" customWidth="1"/>
    <col min="17" max="17" width="1" style="1" customWidth="1"/>
    <col min="18" max="19" width="15" style="1" customWidth="1"/>
    <col min="20" max="20" width="1" style="1" customWidth="1"/>
    <col min="21" max="22" width="15" style="1" customWidth="1"/>
    <col min="23" max="23" width="9.109375" style="1" customWidth="1"/>
    <col min="24" max="16384" width="9.109375" style="1"/>
  </cols>
  <sheetData>
    <row r="1" spans="1:22">
      <c r="A1" s="85" t="s">
        <v>83</v>
      </c>
      <c r="B1" s="79"/>
      <c r="C1" s="79"/>
      <c r="D1" s="79"/>
      <c r="E1" s="79"/>
      <c r="F1" s="79"/>
      <c r="G1" s="79"/>
    </row>
    <row r="3" spans="1:22">
      <c r="B3" s="86" t="s">
        <v>1</v>
      </c>
      <c r="C3" s="87"/>
      <c r="D3" s="87"/>
      <c r="E3" s="87"/>
      <c r="F3" s="87"/>
      <c r="G3" s="88"/>
      <c r="L3" s="89" t="s">
        <v>2</v>
      </c>
      <c r="M3" s="90"/>
      <c r="N3" s="90"/>
      <c r="O3" s="90"/>
      <c r="P3" s="90"/>
      <c r="Q3" s="90"/>
      <c r="R3" s="90"/>
      <c r="S3" s="90"/>
      <c r="T3" s="90"/>
      <c r="U3" s="90"/>
      <c r="V3" s="91"/>
    </row>
    <row r="4" spans="1:22">
      <c r="B4" s="6"/>
      <c r="G4" s="9"/>
      <c r="L4" s="92" t="s">
        <v>3</v>
      </c>
      <c r="M4" s="93"/>
      <c r="N4" s="3"/>
      <c r="O4" s="94" t="s">
        <v>4</v>
      </c>
      <c r="P4" s="93"/>
      <c r="Q4" s="3"/>
      <c r="R4" s="94" t="s">
        <v>5</v>
      </c>
      <c r="S4" s="93"/>
      <c r="T4" s="3"/>
      <c r="U4" s="94" t="s">
        <v>6</v>
      </c>
      <c r="V4" s="95"/>
    </row>
    <row r="5" spans="1:22" ht="60" customHeight="1">
      <c r="B5" s="7" t="s">
        <v>3</v>
      </c>
      <c r="C5" s="4" t="s">
        <v>4</v>
      </c>
      <c r="D5" s="4" t="s">
        <v>5</v>
      </c>
      <c r="E5" s="4" t="s">
        <v>6</v>
      </c>
      <c r="F5" s="4" t="s">
        <v>7</v>
      </c>
      <c r="G5" s="10" t="s">
        <v>8</v>
      </c>
      <c r="L5" s="19" t="s">
        <v>9</v>
      </c>
      <c r="M5" s="18" t="s">
        <v>10</v>
      </c>
      <c r="N5" s="18"/>
      <c r="O5" s="18" t="s">
        <v>9</v>
      </c>
      <c r="P5" s="18" t="s">
        <v>10</v>
      </c>
      <c r="Q5" s="18"/>
      <c r="R5" s="18" t="s">
        <v>9</v>
      </c>
      <c r="S5" s="18" t="s">
        <v>10</v>
      </c>
      <c r="T5" s="18"/>
      <c r="U5" s="18" t="s">
        <v>9</v>
      </c>
      <c r="V5" s="20" t="s">
        <v>10</v>
      </c>
    </row>
    <row r="6" spans="1:22">
      <c r="A6" s="1" t="s">
        <v>11</v>
      </c>
      <c r="B6" s="6">
        <v>0</v>
      </c>
      <c r="C6" s="1">
        <v>0</v>
      </c>
      <c r="D6" s="1">
        <v>0</v>
      </c>
      <c r="E6" s="1">
        <v>0</v>
      </c>
      <c r="F6" s="1">
        <v>0</v>
      </c>
      <c r="G6" s="9">
        <f>SUM(AL_FINANCIAL)</f>
        <v>0</v>
      </c>
      <c r="L6" s="6"/>
      <c r="V6" s="9"/>
    </row>
    <row r="7" spans="1:22">
      <c r="A7" s="1" t="s">
        <v>12</v>
      </c>
      <c r="B7" s="6">
        <v>0</v>
      </c>
      <c r="C7" s="1">
        <v>0</v>
      </c>
      <c r="D7" s="1">
        <v>0</v>
      </c>
      <c r="E7" s="1">
        <v>0</v>
      </c>
      <c r="F7" s="1">
        <v>0</v>
      </c>
      <c r="G7" s="9">
        <f>SUM(AK_FINANCIAL)</f>
        <v>0</v>
      </c>
      <c r="I7" s="12"/>
      <c r="J7" s="15"/>
      <c r="L7" s="6"/>
      <c r="V7" s="9"/>
    </row>
    <row r="8" spans="1:22">
      <c r="A8" s="1" t="s">
        <v>13</v>
      </c>
      <c r="B8" s="6">
        <v>323.43484233469621</v>
      </c>
      <c r="C8" s="1">
        <v>0</v>
      </c>
      <c r="D8" s="1">
        <v>26876.601993394204</v>
      </c>
      <c r="E8" s="1">
        <v>0</v>
      </c>
      <c r="F8" s="1">
        <v>0</v>
      </c>
      <c r="G8" s="9">
        <f>SUM(AZ_FINANCIAL)</f>
        <v>27200.036835728901</v>
      </c>
      <c r="I8" s="13" t="s">
        <v>14</v>
      </c>
      <c r="J8" s="16"/>
      <c r="L8" s="6"/>
      <c r="V8" s="9"/>
    </row>
    <row r="9" spans="1:22">
      <c r="A9" s="1" t="s">
        <v>15</v>
      </c>
      <c r="B9" s="6">
        <v>21.3324304098693</v>
      </c>
      <c r="C9" s="1">
        <v>0</v>
      </c>
      <c r="D9" s="1">
        <v>1772.6699991231321</v>
      </c>
      <c r="E9" s="1">
        <v>0</v>
      </c>
      <c r="F9" s="1">
        <v>0</v>
      </c>
      <c r="G9" s="9">
        <f>SUM(AR_FINANCIAL)</f>
        <v>1794.0024295330015</v>
      </c>
      <c r="I9" s="13"/>
      <c r="J9" s="16"/>
      <c r="L9" s="6"/>
      <c r="V9" s="9"/>
    </row>
    <row r="10" spans="1:22">
      <c r="A10" s="1" t="s">
        <v>16</v>
      </c>
      <c r="B10" s="6">
        <v>0</v>
      </c>
      <c r="C10" s="1">
        <v>0</v>
      </c>
      <c r="D10" s="1">
        <v>0</v>
      </c>
      <c r="E10" s="1">
        <v>0</v>
      </c>
      <c r="F10" s="1">
        <v>0</v>
      </c>
      <c r="G10" s="9">
        <f>SUM(CA_FINANCIAL)</f>
        <v>0</v>
      </c>
      <c r="I10" s="13" t="s">
        <v>17</v>
      </c>
      <c r="J10" s="16">
        <v>0</v>
      </c>
      <c r="L10" s="6"/>
      <c r="V10" s="9"/>
    </row>
    <row r="11" spans="1:22">
      <c r="A11" s="1" t="s">
        <v>18</v>
      </c>
      <c r="B11" s="6">
        <v>0.61833131622809567</v>
      </c>
      <c r="C11" s="1">
        <v>0</v>
      </c>
      <c r="D11" s="1">
        <v>51.381739105018333</v>
      </c>
      <c r="E11" s="1">
        <v>0</v>
      </c>
      <c r="F11" s="1">
        <v>0</v>
      </c>
      <c r="G11" s="9">
        <f>SUM(CO_FINANCIAL)</f>
        <v>52.000070421246427</v>
      </c>
      <c r="I11" s="13"/>
      <c r="J11" s="16"/>
      <c r="L11" s="6"/>
      <c r="V11" s="9"/>
    </row>
    <row r="12" spans="1:22">
      <c r="A12" s="1" t="s">
        <v>19</v>
      </c>
      <c r="B12" s="6">
        <v>0</v>
      </c>
      <c r="C12" s="1">
        <v>0</v>
      </c>
      <c r="D12" s="1">
        <v>0</v>
      </c>
      <c r="E12" s="1">
        <v>0</v>
      </c>
      <c r="F12" s="1">
        <v>0</v>
      </c>
      <c r="G12" s="9">
        <f>SUM(CT_FINANCIAL)</f>
        <v>0</v>
      </c>
      <c r="I12" s="13" t="s">
        <v>20</v>
      </c>
      <c r="J12" s="16"/>
      <c r="L12" s="6"/>
      <c r="V12" s="9"/>
    </row>
    <row r="13" spans="1:22">
      <c r="A13" s="1" t="s">
        <v>21</v>
      </c>
      <c r="B13" s="6">
        <v>0</v>
      </c>
      <c r="C13" s="1">
        <v>0</v>
      </c>
      <c r="D13" s="1">
        <v>0</v>
      </c>
      <c r="E13" s="1">
        <v>0</v>
      </c>
      <c r="F13" s="1">
        <v>0</v>
      </c>
      <c r="G13" s="9">
        <f>SUM(DE_FINANCIAL)</f>
        <v>0</v>
      </c>
      <c r="I13" s="13" t="s">
        <v>22</v>
      </c>
      <c r="J13" s="16">
        <v>0</v>
      </c>
      <c r="L13" s="6"/>
      <c r="V13" s="9"/>
    </row>
    <row r="14" spans="1:22">
      <c r="A14" s="1" t="s">
        <v>23</v>
      </c>
      <c r="B14" s="6">
        <v>0</v>
      </c>
      <c r="C14" s="1">
        <v>0</v>
      </c>
      <c r="D14" s="1">
        <v>0</v>
      </c>
      <c r="E14" s="1">
        <v>0</v>
      </c>
      <c r="F14" s="1">
        <v>0</v>
      </c>
      <c r="G14" s="9">
        <f>SUM(DC_FINANCIAL)</f>
        <v>0</v>
      </c>
      <c r="I14" s="13" t="s">
        <v>24</v>
      </c>
      <c r="J14" s="16">
        <v>0</v>
      </c>
      <c r="L14" s="6"/>
      <c r="V14" s="9"/>
    </row>
    <row r="15" spans="1:22">
      <c r="A15" s="1" t="s">
        <v>25</v>
      </c>
      <c r="B15" s="6">
        <v>0</v>
      </c>
      <c r="C15" s="1">
        <v>0</v>
      </c>
      <c r="D15" s="1">
        <v>0</v>
      </c>
      <c r="E15" s="1">
        <v>0</v>
      </c>
      <c r="F15" s="1">
        <v>0</v>
      </c>
      <c r="G15" s="9">
        <f>SUM(FL_FINANCIAL)</f>
        <v>0</v>
      </c>
      <c r="I15" s="13" t="s">
        <v>26</v>
      </c>
      <c r="J15" s="16">
        <v>273213.37</v>
      </c>
      <c r="L15" s="6"/>
      <c r="V15" s="9"/>
    </row>
    <row r="16" spans="1:22">
      <c r="A16" s="1" t="s">
        <v>27</v>
      </c>
      <c r="B16" s="6">
        <v>0.13080085535594332</v>
      </c>
      <c r="C16" s="1">
        <v>0</v>
      </c>
      <c r="D16" s="1">
        <v>10.869214041446185</v>
      </c>
      <c r="E16" s="1">
        <v>0</v>
      </c>
      <c r="F16" s="1">
        <v>0</v>
      </c>
      <c r="G16" s="9">
        <f>SUM(GA_FINANCIAL)</f>
        <v>11.000014896802128</v>
      </c>
      <c r="I16" s="13" t="s">
        <v>28</v>
      </c>
      <c r="J16" s="16">
        <v>0</v>
      </c>
      <c r="L16" s="6"/>
      <c r="V16" s="9"/>
    </row>
    <row r="17" spans="1:22">
      <c r="A17" s="1" t="s">
        <v>29</v>
      </c>
      <c r="B17" s="6">
        <v>0</v>
      </c>
      <c r="C17" s="1">
        <v>0</v>
      </c>
      <c r="D17" s="1">
        <v>0</v>
      </c>
      <c r="E17" s="1">
        <v>0</v>
      </c>
      <c r="F17" s="1">
        <v>0</v>
      </c>
      <c r="G17" s="9">
        <f>SUM(HI_FINANCIAL)</f>
        <v>0</v>
      </c>
      <c r="I17" s="13"/>
      <c r="J17" s="16"/>
      <c r="L17" s="6"/>
      <c r="V17" s="9"/>
    </row>
    <row r="18" spans="1:22">
      <c r="A18" s="1" t="s">
        <v>30</v>
      </c>
      <c r="B18" s="6">
        <v>0</v>
      </c>
      <c r="C18" s="1">
        <v>0</v>
      </c>
      <c r="D18" s="1">
        <v>0</v>
      </c>
      <c r="E18" s="1">
        <v>0</v>
      </c>
      <c r="F18" s="1">
        <v>0</v>
      </c>
      <c r="G18" s="9">
        <f>SUM(ID_FINANCIAL)</f>
        <v>0</v>
      </c>
      <c r="I18" s="13" t="s">
        <v>31</v>
      </c>
      <c r="J18" s="16"/>
      <c r="L18" s="6"/>
      <c r="V18" s="9"/>
    </row>
    <row r="19" spans="1:22">
      <c r="A19" s="1" t="s">
        <v>32</v>
      </c>
      <c r="B19" s="6">
        <v>278.10640046043659</v>
      </c>
      <c r="C19" s="1">
        <v>0</v>
      </c>
      <c r="D19" s="1">
        <v>23109.925272849396</v>
      </c>
      <c r="E19" s="1">
        <v>0</v>
      </c>
      <c r="F19" s="1">
        <v>0</v>
      </c>
      <c r="G19" s="9">
        <f>SUM(IL_FINANCIAL)</f>
        <v>23388.031673309833</v>
      </c>
      <c r="I19" s="13" t="s">
        <v>33</v>
      </c>
      <c r="J19" s="16">
        <v>0</v>
      </c>
      <c r="L19" s="6"/>
      <c r="V19" s="9"/>
    </row>
    <row r="20" spans="1:22">
      <c r="A20" s="1" t="s">
        <v>34</v>
      </c>
      <c r="B20" s="6">
        <v>452.23801189974881</v>
      </c>
      <c r="C20" s="1">
        <v>0</v>
      </c>
      <c r="D20" s="1">
        <v>37579.81349311649</v>
      </c>
      <c r="E20" s="1">
        <v>0</v>
      </c>
      <c r="F20" s="1">
        <v>0</v>
      </c>
      <c r="G20" s="9">
        <f>SUM(IN_FINANCIAL)</f>
        <v>38032.051505016236</v>
      </c>
      <c r="I20" s="13" t="s">
        <v>35</v>
      </c>
      <c r="J20" s="16">
        <v>0</v>
      </c>
      <c r="L20" s="6"/>
      <c r="V20" s="9"/>
    </row>
    <row r="21" spans="1:22">
      <c r="A21" s="1" t="s">
        <v>36</v>
      </c>
      <c r="B21" s="6">
        <v>72.796621499007728</v>
      </c>
      <c r="C21" s="1">
        <v>0</v>
      </c>
      <c r="D21" s="1">
        <v>6049.2116692485042</v>
      </c>
      <c r="E21" s="1">
        <v>0</v>
      </c>
      <c r="F21" s="1">
        <v>0</v>
      </c>
      <c r="G21" s="9">
        <f>SUM(IA_FINANCIAL)</f>
        <v>6122.0082907475116</v>
      </c>
      <c r="I21" s="13" t="s">
        <v>37</v>
      </c>
      <c r="J21" s="16"/>
      <c r="L21" s="6"/>
      <c r="V21" s="9"/>
    </row>
    <row r="22" spans="1:22">
      <c r="A22" s="1" t="s">
        <v>38</v>
      </c>
      <c r="B22" s="6">
        <v>0</v>
      </c>
      <c r="C22" s="1">
        <v>0</v>
      </c>
      <c r="D22" s="1">
        <v>0</v>
      </c>
      <c r="E22" s="1">
        <v>0</v>
      </c>
      <c r="F22" s="1">
        <v>0</v>
      </c>
      <c r="G22" s="9">
        <f>SUM(KS_FINANCIAL)</f>
        <v>0</v>
      </c>
      <c r="I22" s="13" t="s">
        <v>39</v>
      </c>
      <c r="J22" s="16">
        <v>0</v>
      </c>
      <c r="L22" s="6"/>
      <c r="V22" s="9"/>
    </row>
    <row r="23" spans="1:22">
      <c r="A23" s="1" t="s">
        <v>40</v>
      </c>
      <c r="B23" s="6">
        <v>0.17836480275810451</v>
      </c>
      <c r="C23" s="1">
        <v>0</v>
      </c>
      <c r="D23" s="1">
        <v>14.82165551106298</v>
      </c>
      <c r="E23" s="1">
        <v>0</v>
      </c>
      <c r="F23" s="1">
        <v>0</v>
      </c>
      <c r="G23" s="9">
        <f>SUM(KY_FINANCIAL)</f>
        <v>15.000020313821084</v>
      </c>
      <c r="I23" s="13" t="s">
        <v>41</v>
      </c>
      <c r="J23" s="16"/>
      <c r="L23" s="6"/>
      <c r="V23" s="9"/>
    </row>
    <row r="24" spans="1:22">
      <c r="A24" s="1" t="s">
        <v>42</v>
      </c>
      <c r="B24" s="6">
        <v>0</v>
      </c>
      <c r="C24" s="1">
        <v>0</v>
      </c>
      <c r="D24" s="1">
        <v>0</v>
      </c>
      <c r="E24" s="1">
        <v>0</v>
      </c>
      <c r="F24" s="1">
        <v>0</v>
      </c>
      <c r="G24" s="9">
        <f>SUM(LA_FINANCIAL)</f>
        <v>0</v>
      </c>
      <c r="I24" s="13" t="s">
        <v>43</v>
      </c>
      <c r="J24" s="16">
        <v>0</v>
      </c>
      <c r="L24" s="6"/>
      <c r="V24" s="9"/>
    </row>
    <row r="25" spans="1:22">
      <c r="A25" s="1" t="s">
        <v>44</v>
      </c>
      <c r="B25" s="6">
        <v>0</v>
      </c>
      <c r="C25" s="1">
        <v>0</v>
      </c>
      <c r="D25" s="1">
        <v>0</v>
      </c>
      <c r="E25" s="1">
        <v>0</v>
      </c>
      <c r="F25" s="1">
        <v>0</v>
      </c>
      <c r="G25" s="9">
        <f>SUM(ME_FINANCIAL)</f>
        <v>0</v>
      </c>
      <c r="I25" s="13"/>
      <c r="J25" s="16"/>
      <c r="L25" s="6"/>
      <c r="V25" s="9"/>
    </row>
    <row r="26" spans="1:22">
      <c r="A26" s="1" t="s">
        <v>45</v>
      </c>
      <c r="B26" s="6">
        <v>1.1890986850540302E-2</v>
      </c>
      <c r="C26" s="1">
        <v>0</v>
      </c>
      <c r="D26" s="1">
        <v>0.98811036740419866</v>
      </c>
      <c r="E26" s="1">
        <v>0</v>
      </c>
      <c r="F26" s="1">
        <v>0</v>
      </c>
      <c r="G26" s="9">
        <f>SUM(MD_FINANCIAL)</f>
        <v>1.000001354254739</v>
      </c>
      <c r="I26" s="13" t="s">
        <v>46</v>
      </c>
      <c r="J26" s="16">
        <f>SUM(ADD_FINANCIAL)-SUM(LESS_FINANCIAL)</f>
        <v>273213.37</v>
      </c>
      <c r="L26" s="6"/>
      <c r="V26" s="9"/>
    </row>
    <row r="27" spans="1:22">
      <c r="A27" s="1" t="s">
        <v>47</v>
      </c>
      <c r="B27" s="6">
        <v>0</v>
      </c>
      <c r="C27" s="1">
        <v>0</v>
      </c>
      <c r="D27" s="1">
        <v>0</v>
      </c>
      <c r="E27" s="1">
        <v>0</v>
      </c>
      <c r="F27" s="1">
        <v>0</v>
      </c>
      <c r="G27" s="9">
        <f>SUM(MA_FINANCIAL)</f>
        <v>0</v>
      </c>
      <c r="I27" s="13" t="s">
        <v>48</v>
      </c>
      <c r="J27" s="16">
        <f>SUM(ALL_BLOCKS)</f>
        <v>273213.37000000005</v>
      </c>
      <c r="L27" s="6"/>
      <c r="V27" s="9"/>
    </row>
    <row r="28" spans="1:22">
      <c r="A28" s="1" t="s">
        <v>49</v>
      </c>
      <c r="B28" s="6">
        <v>827.66024874500715</v>
      </c>
      <c r="C28" s="1">
        <v>0</v>
      </c>
      <c r="D28" s="1">
        <v>68776.434012801852</v>
      </c>
      <c r="E28" s="1">
        <v>0</v>
      </c>
      <c r="F28" s="1">
        <v>0</v>
      </c>
      <c r="G28" s="9">
        <f>SUM(MI_FINANCIAL)</f>
        <v>69604.094261546852</v>
      </c>
      <c r="I28" s="14"/>
      <c r="J28" s="17"/>
      <c r="L28" s="6"/>
      <c r="V28" s="9"/>
    </row>
    <row r="29" spans="1:22">
      <c r="A29" s="1" t="s">
        <v>50</v>
      </c>
      <c r="B29" s="6">
        <v>0</v>
      </c>
      <c r="C29" s="1">
        <v>0</v>
      </c>
      <c r="D29" s="1">
        <v>0</v>
      </c>
      <c r="E29" s="1">
        <v>0</v>
      </c>
      <c r="F29" s="1">
        <v>0</v>
      </c>
      <c r="G29" s="9">
        <f>SUM(MN_FINANCIAL)</f>
        <v>0</v>
      </c>
      <c r="L29" s="6"/>
      <c r="V29" s="9"/>
    </row>
    <row r="30" spans="1:22">
      <c r="A30" s="1" t="s">
        <v>51</v>
      </c>
      <c r="B30" s="6">
        <v>0</v>
      </c>
      <c r="C30" s="1">
        <v>0</v>
      </c>
      <c r="D30" s="1">
        <v>0</v>
      </c>
      <c r="E30" s="1">
        <v>0</v>
      </c>
      <c r="F30" s="1">
        <v>0</v>
      </c>
      <c r="G30" s="9">
        <f>SUM(MS_FINANCIAL)</f>
        <v>0</v>
      </c>
      <c r="L30" s="6"/>
      <c r="V30" s="9"/>
    </row>
    <row r="31" spans="1:22">
      <c r="A31" s="1" t="s">
        <v>52</v>
      </c>
      <c r="B31" s="6">
        <v>334.46967813199763</v>
      </c>
      <c r="C31" s="1">
        <v>0</v>
      </c>
      <c r="D31" s="1">
        <v>27793.5684143453</v>
      </c>
      <c r="E31" s="1">
        <v>0</v>
      </c>
      <c r="F31" s="1">
        <v>0</v>
      </c>
      <c r="G31" s="9">
        <f>SUM(MO_FINANCIAL)</f>
        <v>28128.038092477298</v>
      </c>
      <c r="L31" s="6"/>
      <c r="V31" s="9"/>
    </row>
    <row r="32" spans="1:22">
      <c r="A32" s="1" t="s">
        <v>53</v>
      </c>
      <c r="B32" s="6">
        <v>0</v>
      </c>
      <c r="C32" s="1">
        <v>0</v>
      </c>
      <c r="D32" s="1">
        <v>0</v>
      </c>
      <c r="E32" s="1">
        <v>0</v>
      </c>
      <c r="F32" s="1">
        <v>0</v>
      </c>
      <c r="G32" s="9">
        <f>SUM(MT_FINANCIAL)</f>
        <v>0</v>
      </c>
      <c r="L32" s="6"/>
      <c r="V32" s="9"/>
    </row>
    <row r="33" spans="1:22">
      <c r="A33" s="1" t="s">
        <v>54</v>
      </c>
      <c r="B33" s="6">
        <v>234.4783697058042</v>
      </c>
      <c r="C33" s="1">
        <v>0</v>
      </c>
      <c r="D33" s="1">
        <v>19484.548334843392</v>
      </c>
      <c r="E33" s="1">
        <v>0</v>
      </c>
      <c r="F33" s="1">
        <v>0</v>
      </c>
      <c r="G33" s="9">
        <f>SUM(NE_FINANCIAL)</f>
        <v>19719.026704549196</v>
      </c>
      <c r="L33" s="6"/>
      <c r="V33" s="9"/>
    </row>
    <row r="34" spans="1:22">
      <c r="A34" s="1" t="s">
        <v>55</v>
      </c>
      <c r="B34" s="6">
        <v>0</v>
      </c>
      <c r="C34" s="1">
        <v>0</v>
      </c>
      <c r="D34" s="1">
        <v>0</v>
      </c>
      <c r="E34" s="1">
        <v>0</v>
      </c>
      <c r="F34" s="1">
        <v>0</v>
      </c>
      <c r="G34" s="9">
        <f>SUM(NV_FINANCIAL)</f>
        <v>0</v>
      </c>
      <c r="L34" s="6"/>
      <c r="V34" s="9"/>
    </row>
    <row r="35" spans="1:22">
      <c r="A35" s="1" t="s">
        <v>56</v>
      </c>
      <c r="B35" s="6">
        <v>0</v>
      </c>
      <c r="C35" s="1">
        <v>0</v>
      </c>
      <c r="D35" s="1">
        <v>0</v>
      </c>
      <c r="E35" s="1">
        <v>0</v>
      </c>
      <c r="F35" s="1">
        <v>0</v>
      </c>
      <c r="G35" s="9">
        <f>SUM(NH_FINANCIAL)</f>
        <v>0</v>
      </c>
      <c r="L35" s="6"/>
      <c r="V35" s="9"/>
    </row>
    <row r="36" spans="1:22">
      <c r="A36" s="1" t="s">
        <v>57</v>
      </c>
      <c r="B36" s="6">
        <v>0</v>
      </c>
      <c r="C36" s="1">
        <v>0</v>
      </c>
      <c r="D36" s="1">
        <v>0</v>
      </c>
      <c r="E36" s="1">
        <v>0</v>
      </c>
      <c r="F36" s="1">
        <v>0</v>
      </c>
      <c r="G36" s="9">
        <f>SUM(NJ_FINANCIAL)</f>
        <v>0</v>
      </c>
      <c r="L36" s="6"/>
      <c r="V36" s="9"/>
    </row>
    <row r="37" spans="1:22">
      <c r="A37" s="1" t="s">
        <v>58</v>
      </c>
      <c r="B37" s="6">
        <v>0</v>
      </c>
      <c r="C37" s="1">
        <v>0</v>
      </c>
      <c r="D37" s="1">
        <v>0</v>
      </c>
      <c r="E37" s="1">
        <v>0</v>
      </c>
      <c r="F37" s="1">
        <v>0</v>
      </c>
      <c r="G37" s="9">
        <f>SUM(NM_FINANCIAL)</f>
        <v>0</v>
      </c>
      <c r="L37" s="6"/>
      <c r="V37" s="9"/>
    </row>
    <row r="38" spans="1:22">
      <c r="A38" s="1" t="s">
        <v>59</v>
      </c>
      <c r="B38" s="6">
        <v>0</v>
      </c>
      <c r="C38" s="1">
        <v>0</v>
      </c>
      <c r="D38" s="1">
        <v>0</v>
      </c>
      <c r="E38" s="1">
        <v>0</v>
      </c>
      <c r="F38" s="1">
        <v>0</v>
      </c>
      <c r="G38" s="9">
        <f>SUM(NY_FINANCIAL)</f>
        <v>0</v>
      </c>
      <c r="L38" s="6"/>
      <c r="V38" s="9"/>
    </row>
    <row r="39" spans="1:22">
      <c r="A39" s="1" t="s">
        <v>60</v>
      </c>
      <c r="B39" s="6">
        <v>0.23781973701080608</v>
      </c>
      <c r="C39" s="1">
        <v>0</v>
      </c>
      <c r="D39" s="1">
        <v>19.762207348083976</v>
      </c>
      <c r="E39" s="1">
        <v>0</v>
      </c>
      <c r="F39" s="1">
        <v>0</v>
      </c>
      <c r="G39" s="9">
        <f>SUM(NC_FINANCIAL)</f>
        <v>20.000027085094782</v>
      </c>
      <c r="L39" s="6"/>
      <c r="V39" s="9"/>
    </row>
    <row r="40" spans="1:22">
      <c r="A40" s="1" t="s">
        <v>61</v>
      </c>
      <c r="B40" s="6">
        <v>2.3781973701080605E-2</v>
      </c>
      <c r="C40" s="1">
        <v>0</v>
      </c>
      <c r="D40" s="1">
        <v>1.9762207348083973</v>
      </c>
      <c r="E40" s="1">
        <v>0</v>
      </c>
      <c r="F40" s="1">
        <v>0</v>
      </c>
      <c r="G40" s="9">
        <f>SUM(ND_FINANCIAL)</f>
        <v>2.000002708509478</v>
      </c>
      <c r="L40" s="6"/>
      <c r="V40" s="9"/>
    </row>
    <row r="41" spans="1:22">
      <c r="A41" s="1" t="s">
        <v>62</v>
      </c>
      <c r="B41" s="6">
        <v>528.51869254596477</v>
      </c>
      <c r="C41" s="1">
        <v>0</v>
      </c>
      <c r="D41" s="1">
        <v>43918.54150001442</v>
      </c>
      <c r="E41" s="1">
        <v>0</v>
      </c>
      <c r="F41" s="1">
        <v>0</v>
      </c>
      <c r="G41" s="9">
        <f>SUM(OH_FINANCIAL)</f>
        <v>44447.060192560384</v>
      </c>
      <c r="L41" s="6"/>
      <c r="V41" s="9"/>
    </row>
    <row r="42" spans="1:22">
      <c r="A42" s="1" t="s">
        <v>63</v>
      </c>
      <c r="B42" s="6">
        <v>22.069671594602799</v>
      </c>
      <c r="C42" s="1">
        <v>0</v>
      </c>
      <c r="D42" s="1">
        <v>1833.9328419021926</v>
      </c>
      <c r="E42" s="1">
        <v>0</v>
      </c>
      <c r="F42" s="1">
        <v>0</v>
      </c>
      <c r="G42" s="9">
        <f>SUM(OK_FINANCIAL)</f>
        <v>1856.0025134967955</v>
      </c>
      <c r="L42" s="6"/>
      <c r="V42" s="9"/>
    </row>
    <row r="43" spans="1:22">
      <c r="A43" s="1" t="s">
        <v>64</v>
      </c>
      <c r="B43" s="6">
        <v>0</v>
      </c>
      <c r="C43" s="1">
        <v>0</v>
      </c>
      <c r="D43" s="1">
        <v>0</v>
      </c>
      <c r="E43" s="1">
        <v>0</v>
      </c>
      <c r="F43" s="1">
        <v>0</v>
      </c>
      <c r="G43" s="9">
        <f>SUM(OR_FINANCIAL)</f>
        <v>0</v>
      </c>
      <c r="L43" s="6"/>
      <c r="V43" s="9"/>
    </row>
    <row r="44" spans="1:22">
      <c r="A44" s="1" t="s">
        <v>65</v>
      </c>
      <c r="B44" s="6">
        <v>5.945493425270152E-2</v>
      </c>
      <c r="C44" s="1">
        <v>0</v>
      </c>
      <c r="D44" s="1">
        <v>4.940551837020994</v>
      </c>
      <c r="E44" s="1">
        <v>0</v>
      </c>
      <c r="F44" s="1">
        <v>0</v>
      </c>
      <c r="G44" s="9">
        <f>SUM(PA_FINANCIAL)</f>
        <v>5.0000067712736955</v>
      </c>
      <c r="L44" s="6"/>
      <c r="V44" s="9"/>
    </row>
    <row r="45" spans="1:22">
      <c r="A45" s="1" t="s">
        <v>66</v>
      </c>
      <c r="B45" s="6">
        <v>0</v>
      </c>
      <c r="C45" s="1">
        <v>0</v>
      </c>
      <c r="D45" s="1">
        <v>0</v>
      </c>
      <c r="E45" s="1">
        <v>0</v>
      </c>
      <c r="F45" s="1">
        <v>0</v>
      </c>
      <c r="G45" s="9">
        <f>SUM(PR_FINANCIAL)</f>
        <v>0</v>
      </c>
      <c r="L45" s="6"/>
      <c r="V45" s="9"/>
    </row>
    <row r="46" spans="1:22">
      <c r="A46" s="1" t="s">
        <v>67</v>
      </c>
      <c r="B46" s="6">
        <v>0</v>
      </c>
      <c r="C46" s="1">
        <v>0</v>
      </c>
      <c r="D46" s="1">
        <v>0</v>
      </c>
      <c r="E46" s="1">
        <v>0</v>
      </c>
      <c r="F46" s="1">
        <v>0</v>
      </c>
      <c r="G46" s="9">
        <f>SUM(RI_FINANCIAL)</f>
        <v>0</v>
      </c>
      <c r="L46" s="6"/>
      <c r="V46" s="9"/>
    </row>
    <row r="47" spans="1:22">
      <c r="A47" s="1" t="s">
        <v>68</v>
      </c>
      <c r="B47" s="6">
        <v>9.7981731648452097</v>
      </c>
      <c r="C47" s="1">
        <v>0</v>
      </c>
      <c r="D47" s="1">
        <v>814.2029427410597</v>
      </c>
      <c r="E47" s="1">
        <v>0</v>
      </c>
      <c r="F47" s="1">
        <v>0</v>
      </c>
      <c r="G47" s="9">
        <f>SUM(SC_FINANCIAL)</f>
        <v>824.00111590590495</v>
      </c>
      <c r="L47" s="6"/>
      <c r="V47" s="9"/>
    </row>
    <row r="48" spans="1:22">
      <c r="A48" s="1" t="s">
        <v>69</v>
      </c>
      <c r="B48" s="6">
        <v>0</v>
      </c>
      <c r="C48" s="1">
        <v>0</v>
      </c>
      <c r="D48" s="1">
        <v>0</v>
      </c>
      <c r="E48" s="1">
        <v>0</v>
      </c>
      <c r="F48" s="1">
        <v>0</v>
      </c>
      <c r="G48" s="9">
        <f>SUM(SD_FINANCIAL)</f>
        <v>0</v>
      </c>
      <c r="L48" s="6"/>
      <c r="V48" s="9"/>
    </row>
    <row r="49" spans="1:22">
      <c r="A49" s="1" t="s">
        <v>70</v>
      </c>
      <c r="B49" s="6">
        <v>12.283389416608129</v>
      </c>
      <c r="C49" s="1">
        <v>0</v>
      </c>
      <c r="D49" s="1">
        <v>1020.7180095285371</v>
      </c>
      <c r="E49" s="1">
        <v>0</v>
      </c>
      <c r="F49" s="1">
        <v>0</v>
      </c>
      <c r="G49" s="9">
        <f>SUM(TN_FINANCIAL)</f>
        <v>1033.0013989451452</v>
      </c>
      <c r="L49" s="6"/>
      <c r="V49" s="9"/>
    </row>
    <row r="50" spans="1:22">
      <c r="A50" s="1" t="s">
        <v>71</v>
      </c>
      <c r="B50" s="6">
        <v>58.551219252060449</v>
      </c>
      <c r="C50" s="1">
        <v>0</v>
      </c>
      <c r="D50" s="1">
        <v>4865.4554490982746</v>
      </c>
      <c r="E50" s="1">
        <v>0</v>
      </c>
      <c r="F50" s="1">
        <v>0</v>
      </c>
      <c r="G50" s="9">
        <f>SUM(TX_FINANCIAL)</f>
        <v>4924.0066683503346</v>
      </c>
      <c r="L50" s="6"/>
      <c r="V50" s="9"/>
    </row>
    <row r="51" spans="1:22">
      <c r="A51" s="1" t="s">
        <v>72</v>
      </c>
      <c r="B51" s="6">
        <v>0</v>
      </c>
      <c r="C51" s="1">
        <v>0</v>
      </c>
      <c r="D51" s="1">
        <v>0</v>
      </c>
      <c r="E51" s="1">
        <v>0</v>
      </c>
      <c r="F51" s="1">
        <v>0</v>
      </c>
      <c r="G51" s="9">
        <f>SUM(UT_FINANCIAL)</f>
        <v>0</v>
      </c>
      <c r="L51" s="6"/>
      <c r="V51" s="9"/>
    </row>
    <row r="52" spans="1:22">
      <c r="A52" s="1" t="s">
        <v>73</v>
      </c>
      <c r="B52" s="6">
        <v>0</v>
      </c>
      <c r="C52" s="1">
        <v>0</v>
      </c>
      <c r="D52" s="1">
        <v>0</v>
      </c>
      <c r="E52" s="1">
        <v>0</v>
      </c>
      <c r="F52" s="1">
        <v>0</v>
      </c>
      <c r="G52" s="9">
        <f>SUM(VT_FINANCIAL)</f>
        <v>0</v>
      </c>
      <c r="L52" s="6"/>
      <c r="V52" s="9"/>
    </row>
    <row r="53" spans="1:22">
      <c r="A53" s="1" t="s">
        <v>74</v>
      </c>
      <c r="B53" s="6">
        <v>2.3781973701080605E-2</v>
      </c>
      <c r="C53" s="1">
        <v>0</v>
      </c>
      <c r="D53" s="1">
        <v>1.9762207348083973</v>
      </c>
      <c r="E53" s="1">
        <v>0</v>
      </c>
      <c r="F53" s="1">
        <v>0</v>
      </c>
      <c r="G53" s="9">
        <f>SUM(VA_FINANCIAL)</f>
        <v>2.000002708509478</v>
      </c>
      <c r="L53" s="6"/>
      <c r="V53" s="9"/>
    </row>
    <row r="54" spans="1:22">
      <c r="A54" s="1" t="s">
        <v>75</v>
      </c>
      <c r="B54" s="6">
        <v>0.24971072386134632</v>
      </c>
      <c r="C54" s="1">
        <v>0</v>
      </c>
      <c r="D54" s="1">
        <v>20.750317715488169</v>
      </c>
      <c r="E54" s="1">
        <v>0</v>
      </c>
      <c r="F54" s="1">
        <v>0</v>
      </c>
      <c r="G54" s="9">
        <f>SUM(WA_FINANCIAL)</f>
        <v>21.000028439349517</v>
      </c>
      <c r="L54" s="6"/>
      <c r="V54" s="9"/>
    </row>
    <row r="55" spans="1:22">
      <c r="A55" s="1" t="s">
        <v>76</v>
      </c>
      <c r="B55" s="6">
        <v>0</v>
      </c>
      <c r="C55" s="1">
        <v>0</v>
      </c>
      <c r="D55" s="1">
        <v>0</v>
      </c>
      <c r="E55" s="1">
        <v>0</v>
      </c>
      <c r="F55" s="1">
        <v>0</v>
      </c>
      <c r="G55" s="9">
        <f>SUM(WV_FINANCIAL)</f>
        <v>0</v>
      </c>
      <c r="L55" s="6"/>
      <c r="V55" s="9"/>
    </row>
    <row r="56" spans="1:22">
      <c r="A56" s="1" t="s">
        <v>77</v>
      </c>
      <c r="B56" s="6">
        <v>71.464830971747219</v>
      </c>
      <c r="C56" s="1">
        <v>0</v>
      </c>
      <c r="D56" s="1">
        <v>5938.5433080992343</v>
      </c>
      <c r="E56" s="1">
        <v>0</v>
      </c>
      <c r="F56" s="1">
        <v>0</v>
      </c>
      <c r="G56" s="9">
        <f>SUM(WI_FINANCIAL)</f>
        <v>6010.0081390709811</v>
      </c>
      <c r="L56" s="6"/>
      <c r="V56" s="9"/>
    </row>
    <row r="57" spans="1:22">
      <c r="A57" s="1" t="s">
        <v>78</v>
      </c>
      <c r="B57" s="6">
        <v>3.5672960551620905E-2</v>
      </c>
      <c r="C57" s="1">
        <v>0</v>
      </c>
      <c r="D57" s="1">
        <v>2.9643311022125962</v>
      </c>
      <c r="E57" s="1">
        <v>0</v>
      </c>
      <c r="F57" s="1">
        <v>0</v>
      </c>
      <c r="G57" s="9">
        <f>SUM(WY_FINANCIAL)</f>
        <v>3.000004062764217</v>
      </c>
      <c r="L57" s="6"/>
      <c r="V57" s="9"/>
    </row>
    <row r="58" spans="1:22">
      <c r="A58" s="1" t="s">
        <v>79</v>
      </c>
      <c r="B58" s="6">
        <v>0</v>
      </c>
      <c r="C58" s="1">
        <v>0</v>
      </c>
      <c r="D58" s="1">
        <v>0</v>
      </c>
      <c r="E58" s="1">
        <v>0</v>
      </c>
      <c r="F58" s="1">
        <v>0</v>
      </c>
      <c r="G58" s="9">
        <f>SUM(OT_FINANCIAL)</f>
        <v>0</v>
      </c>
      <c r="L58" s="6"/>
      <c r="V58" s="9"/>
    </row>
    <row r="59" spans="1:22">
      <c r="B59" s="6"/>
      <c r="G59" s="9"/>
      <c r="L59" s="6"/>
      <c r="V59" s="9"/>
    </row>
    <row r="60" spans="1:22">
      <c r="A60" s="1" t="s">
        <v>8</v>
      </c>
      <c r="B60" s="6">
        <f>SUM(LIFE)</f>
        <v>3248.7721903966681</v>
      </c>
      <c r="C60" s="1">
        <f>SUM(ALLOCATED)</f>
        <v>0</v>
      </c>
      <c r="D60" s="1">
        <f>SUM(HEALTH)</f>
        <v>269964.59780960332</v>
      </c>
      <c r="E60" s="1">
        <f>SUM(UNALLOCATED)</f>
        <v>0</v>
      </c>
      <c r="F60" s="1">
        <f>SUM(LTC)</f>
        <v>0</v>
      </c>
      <c r="G60" s="9">
        <f>SUM(ALL_BLOCKS)</f>
        <v>273213.37000000005</v>
      </c>
      <c r="L60" s="6">
        <f>SUM(LIFE_CALLED)</f>
        <v>0</v>
      </c>
      <c r="M60" s="1">
        <f>SUM(LIFE_REFUNDED)</f>
        <v>0</v>
      </c>
      <c r="O60" s="1">
        <f>SUM(ALLOC_CALLED)</f>
        <v>0</v>
      </c>
      <c r="P60" s="1">
        <f>SUM(ALLOC_REFUNDED)</f>
        <v>0</v>
      </c>
      <c r="R60" s="1">
        <f>SUM(HEALTH_CALLED)</f>
        <v>0</v>
      </c>
      <c r="S60" s="1">
        <f>SUM(HEALTH_REFUNDED)</f>
        <v>0</v>
      </c>
      <c r="U60" s="1">
        <f>SUM(UNALLOC_CALLED)</f>
        <v>0</v>
      </c>
      <c r="V60" s="9">
        <f>SUM(UNALLOC_REFUNDED)</f>
        <v>0</v>
      </c>
    </row>
    <row r="61" spans="1:22" ht="5.0999999999999996" customHeight="1">
      <c r="B61" s="6"/>
      <c r="G61" s="9"/>
      <c r="L61" s="6"/>
      <c r="V61" s="9"/>
    </row>
    <row r="62" spans="1:22">
      <c r="B62" s="6"/>
      <c r="G62" s="9"/>
      <c r="L62" s="78" t="s">
        <v>80</v>
      </c>
      <c r="M62" s="79"/>
      <c r="N62" s="79"/>
      <c r="O62" s="79"/>
      <c r="P62" s="79"/>
      <c r="Q62" s="79"/>
      <c r="R62" s="79"/>
      <c r="S62" s="79"/>
      <c r="T62" s="79"/>
      <c r="U62" s="79"/>
      <c r="V62" s="80"/>
    </row>
    <row r="63" spans="1:22">
      <c r="B63" s="6"/>
      <c r="G63" s="9"/>
      <c r="L63" s="81"/>
      <c r="M63" s="79"/>
      <c r="N63" s="79"/>
      <c r="O63" s="79"/>
      <c r="P63" s="79"/>
      <c r="Q63" s="79"/>
      <c r="R63" s="79"/>
      <c r="S63" s="79"/>
      <c r="T63" s="79"/>
      <c r="U63" s="79"/>
      <c r="V63" s="80"/>
    </row>
    <row r="64" spans="1:22">
      <c r="B64" s="8"/>
      <c r="C64" s="5"/>
      <c r="D64" s="5"/>
      <c r="E64" s="5"/>
      <c r="F64" s="5"/>
      <c r="G64" s="11"/>
      <c r="L64" s="82"/>
      <c r="M64" s="83"/>
      <c r="N64" s="83"/>
      <c r="O64" s="83"/>
      <c r="P64" s="83"/>
      <c r="Q64" s="83"/>
      <c r="R64" s="83"/>
      <c r="S64" s="83"/>
      <c r="T64" s="83"/>
      <c r="U64" s="83"/>
      <c r="V64" s="84"/>
    </row>
  </sheetData>
  <mergeCells count="8">
    <mergeCell ref="L62:V64"/>
    <mergeCell ref="A1:G1"/>
    <mergeCell ref="B3:G3"/>
    <mergeCell ref="L3:V3"/>
    <mergeCell ref="L4:M4"/>
    <mergeCell ref="O4:P4"/>
    <mergeCell ref="R4:S4"/>
    <mergeCell ref="U4:V4"/>
  </mergeCells>
  <pageMargins left="0" right="0" top="0" bottom="0" header="0" footer="0"/>
  <pageSetup scale="48"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V64"/>
  <sheetViews>
    <sheetView zoomScale="75" workbookViewId="0">
      <selection sqref="A1:G1"/>
    </sheetView>
  </sheetViews>
  <sheetFormatPr defaultColWidth="9.109375" defaultRowHeight="14.4"/>
  <cols>
    <col min="1" max="1" width="20" style="1" customWidth="1"/>
    <col min="2" max="7" width="15" style="1" customWidth="1"/>
    <col min="8" max="8" width="1" style="1" customWidth="1"/>
    <col min="9" max="9" width="30" style="1" customWidth="1"/>
    <col min="10" max="10" width="15" style="1" customWidth="1"/>
    <col min="11" max="11" width="1" style="1" customWidth="1"/>
    <col min="12" max="13" width="15" style="1" customWidth="1"/>
    <col min="14" max="14" width="1" style="1" customWidth="1"/>
    <col min="15" max="16" width="15" style="1" customWidth="1"/>
    <col min="17" max="17" width="1" style="1" customWidth="1"/>
    <col min="18" max="19" width="15" style="1" customWidth="1"/>
    <col min="20" max="20" width="1" style="1" customWidth="1"/>
    <col min="21" max="22" width="15" style="1" customWidth="1"/>
    <col min="23" max="23" width="9.109375" style="1" customWidth="1"/>
    <col min="24" max="16384" width="9.109375" style="1"/>
  </cols>
  <sheetData>
    <row r="1" spans="1:22">
      <c r="A1" s="85" t="s">
        <v>119</v>
      </c>
      <c r="B1" s="79"/>
      <c r="C1" s="79"/>
      <c r="D1" s="79"/>
      <c r="E1" s="79"/>
      <c r="F1" s="79"/>
      <c r="G1" s="79"/>
    </row>
    <row r="3" spans="1:22">
      <c r="B3" s="86" t="s">
        <v>1</v>
      </c>
      <c r="C3" s="87"/>
      <c r="D3" s="87"/>
      <c r="E3" s="87"/>
      <c r="F3" s="87"/>
      <c r="G3" s="88"/>
      <c r="L3" s="89" t="s">
        <v>2</v>
      </c>
      <c r="M3" s="90"/>
      <c r="N3" s="90"/>
      <c r="O3" s="90"/>
      <c r="P3" s="90"/>
      <c r="Q3" s="90"/>
      <c r="R3" s="90"/>
      <c r="S3" s="90"/>
      <c r="T3" s="90"/>
      <c r="U3" s="90"/>
      <c r="V3" s="91"/>
    </row>
    <row r="4" spans="1:22">
      <c r="B4" s="6"/>
      <c r="G4" s="9"/>
      <c r="L4" s="92" t="s">
        <v>3</v>
      </c>
      <c r="M4" s="93"/>
      <c r="N4" s="3"/>
      <c r="O4" s="94" t="s">
        <v>4</v>
      </c>
      <c r="P4" s="93"/>
      <c r="Q4" s="3"/>
      <c r="R4" s="94" t="s">
        <v>5</v>
      </c>
      <c r="S4" s="93"/>
      <c r="T4" s="3"/>
      <c r="U4" s="94" t="s">
        <v>6</v>
      </c>
      <c r="V4" s="95"/>
    </row>
    <row r="5" spans="1:22" ht="60" customHeight="1">
      <c r="B5" s="7" t="s">
        <v>3</v>
      </c>
      <c r="C5" s="4" t="s">
        <v>4</v>
      </c>
      <c r="D5" s="4" t="s">
        <v>5</v>
      </c>
      <c r="E5" s="4" t="s">
        <v>6</v>
      </c>
      <c r="F5" s="4" t="s">
        <v>7</v>
      </c>
      <c r="G5" s="10" t="s">
        <v>8</v>
      </c>
      <c r="L5" s="19" t="s">
        <v>9</v>
      </c>
      <c r="M5" s="18" t="s">
        <v>10</v>
      </c>
      <c r="N5" s="18"/>
      <c r="O5" s="18" t="s">
        <v>9</v>
      </c>
      <c r="P5" s="18" t="s">
        <v>10</v>
      </c>
      <c r="Q5" s="18"/>
      <c r="R5" s="18" t="s">
        <v>9</v>
      </c>
      <c r="S5" s="18" t="s">
        <v>10</v>
      </c>
      <c r="T5" s="18"/>
      <c r="U5" s="18" t="s">
        <v>9</v>
      </c>
      <c r="V5" s="20" t="s">
        <v>10</v>
      </c>
    </row>
    <row r="6" spans="1:22">
      <c r="A6" s="1" t="s">
        <v>11</v>
      </c>
      <c r="B6" s="6">
        <v>0</v>
      </c>
      <c r="C6" s="1">
        <v>0</v>
      </c>
      <c r="D6" s="1">
        <v>37902.880071160849</v>
      </c>
      <c r="E6" s="1">
        <v>0</v>
      </c>
      <c r="F6" s="1">
        <v>0</v>
      </c>
      <c r="G6" s="9">
        <f>SUM(AL_FINANCIAL)</f>
        <v>37902.880071160849</v>
      </c>
      <c r="L6" s="6"/>
      <c r="V6" s="9"/>
    </row>
    <row r="7" spans="1:22">
      <c r="A7" s="1" t="s">
        <v>12</v>
      </c>
      <c r="B7" s="6">
        <v>0</v>
      </c>
      <c r="C7" s="1">
        <v>0</v>
      </c>
      <c r="D7" s="1">
        <v>0</v>
      </c>
      <c r="E7" s="1">
        <v>0</v>
      </c>
      <c r="F7" s="1">
        <v>0</v>
      </c>
      <c r="G7" s="9">
        <f>SUM(AK_FINANCIAL)</f>
        <v>0</v>
      </c>
      <c r="I7" s="12"/>
      <c r="J7" s="15"/>
      <c r="L7" s="6"/>
      <c r="V7" s="9"/>
    </row>
    <row r="8" spans="1:22">
      <c r="A8" s="1" t="s">
        <v>13</v>
      </c>
      <c r="B8" s="6">
        <v>0</v>
      </c>
      <c r="C8" s="1">
        <v>0</v>
      </c>
      <c r="D8" s="1">
        <v>7153.2168216631107</v>
      </c>
      <c r="E8" s="1">
        <v>0</v>
      </c>
      <c r="F8" s="1">
        <v>0</v>
      </c>
      <c r="G8" s="9">
        <f>SUM(AZ_FINANCIAL)</f>
        <v>7153.2168216631107</v>
      </c>
      <c r="I8" s="13" t="s">
        <v>14</v>
      </c>
      <c r="J8" s="16"/>
      <c r="L8" s="6">
        <v>0</v>
      </c>
      <c r="M8" s="1">
        <v>0</v>
      </c>
      <c r="O8" s="1">
        <v>0</v>
      </c>
      <c r="P8" s="1">
        <v>0</v>
      </c>
      <c r="R8" s="1">
        <v>0</v>
      </c>
      <c r="S8" s="1">
        <v>0</v>
      </c>
      <c r="U8" s="1">
        <v>0</v>
      </c>
      <c r="V8" s="9">
        <v>0</v>
      </c>
    </row>
    <row r="9" spans="1:22">
      <c r="A9" s="1" t="s">
        <v>15</v>
      </c>
      <c r="B9" s="6">
        <v>0</v>
      </c>
      <c r="C9" s="1">
        <v>0</v>
      </c>
      <c r="D9" s="1">
        <v>279.12099434712673</v>
      </c>
      <c r="E9" s="1">
        <v>0</v>
      </c>
      <c r="F9" s="1">
        <v>0</v>
      </c>
      <c r="G9" s="9">
        <f>SUM(AR_FINANCIAL)</f>
        <v>279.12099434712673</v>
      </c>
      <c r="I9" s="13"/>
      <c r="J9" s="16"/>
      <c r="L9" s="6">
        <v>8231</v>
      </c>
      <c r="M9" s="1">
        <v>0</v>
      </c>
      <c r="O9" s="1">
        <v>0</v>
      </c>
      <c r="P9" s="1">
        <v>0</v>
      </c>
      <c r="R9" s="1">
        <v>3987</v>
      </c>
      <c r="S9" s="1">
        <v>0</v>
      </c>
      <c r="U9" s="1">
        <v>0</v>
      </c>
      <c r="V9" s="9">
        <v>0</v>
      </c>
    </row>
    <row r="10" spans="1:22">
      <c r="A10" s="1" t="s">
        <v>16</v>
      </c>
      <c r="B10" s="6">
        <v>0</v>
      </c>
      <c r="C10" s="1">
        <v>0</v>
      </c>
      <c r="D10" s="1">
        <v>0</v>
      </c>
      <c r="E10" s="1">
        <v>0</v>
      </c>
      <c r="F10" s="1">
        <v>0</v>
      </c>
      <c r="G10" s="9">
        <f>SUM(CA_FINANCIAL)</f>
        <v>0</v>
      </c>
      <c r="I10" s="13" t="s">
        <v>17</v>
      </c>
      <c r="J10" s="16">
        <v>1978001</v>
      </c>
      <c r="L10" s="6">
        <v>0</v>
      </c>
      <c r="M10" s="1">
        <v>0</v>
      </c>
      <c r="O10" s="1">
        <v>0</v>
      </c>
      <c r="P10" s="1">
        <v>1700000</v>
      </c>
      <c r="R10" s="1">
        <v>0</v>
      </c>
      <c r="S10" s="1">
        <v>0</v>
      </c>
      <c r="U10" s="1">
        <v>0</v>
      </c>
      <c r="V10" s="9">
        <v>0</v>
      </c>
    </row>
    <row r="11" spans="1:22">
      <c r="A11" s="1" t="s">
        <v>18</v>
      </c>
      <c r="B11" s="6">
        <v>0</v>
      </c>
      <c r="C11" s="1">
        <v>0</v>
      </c>
      <c r="D11" s="1">
        <v>1401.925109423255</v>
      </c>
      <c r="E11" s="1">
        <v>0</v>
      </c>
      <c r="F11" s="1">
        <v>0</v>
      </c>
      <c r="G11" s="9">
        <f>SUM(CO_FINANCIAL)</f>
        <v>1401.925109423255</v>
      </c>
      <c r="I11" s="13"/>
      <c r="J11" s="16"/>
      <c r="L11" s="6">
        <v>0</v>
      </c>
      <c r="M11" s="1">
        <v>0</v>
      </c>
      <c r="O11" s="1">
        <v>0</v>
      </c>
      <c r="P11" s="1">
        <v>0</v>
      </c>
      <c r="R11" s="1">
        <v>26200</v>
      </c>
      <c r="S11" s="1">
        <v>0</v>
      </c>
      <c r="U11" s="1">
        <v>0</v>
      </c>
      <c r="V11" s="9">
        <v>0</v>
      </c>
    </row>
    <row r="12" spans="1:22">
      <c r="A12" s="1" t="s">
        <v>19</v>
      </c>
      <c r="B12" s="6">
        <v>0</v>
      </c>
      <c r="C12" s="1">
        <v>0</v>
      </c>
      <c r="D12" s="1">
        <v>0</v>
      </c>
      <c r="E12" s="1">
        <v>0</v>
      </c>
      <c r="F12" s="1">
        <v>0</v>
      </c>
      <c r="G12" s="9">
        <f>SUM(CT_FINANCIAL)</f>
        <v>0</v>
      </c>
      <c r="I12" s="13" t="s">
        <v>20</v>
      </c>
      <c r="J12" s="16"/>
      <c r="L12" s="6"/>
      <c r="V12" s="9"/>
    </row>
    <row r="13" spans="1:22">
      <c r="A13" s="1" t="s">
        <v>21</v>
      </c>
      <c r="B13" s="6">
        <v>0</v>
      </c>
      <c r="C13" s="1">
        <v>0</v>
      </c>
      <c r="D13" s="1">
        <v>796.87707428085378</v>
      </c>
      <c r="E13" s="1">
        <v>0</v>
      </c>
      <c r="F13" s="1">
        <v>0</v>
      </c>
      <c r="G13" s="9">
        <f>SUM(DE_FINANCIAL)</f>
        <v>796.87707428085378</v>
      </c>
      <c r="I13" s="13" t="s">
        <v>22</v>
      </c>
      <c r="J13" s="16">
        <v>1978001</v>
      </c>
      <c r="L13" s="6">
        <v>0</v>
      </c>
      <c r="M13" s="1">
        <v>0</v>
      </c>
      <c r="O13" s="1">
        <v>0</v>
      </c>
      <c r="P13" s="1">
        <v>0</v>
      </c>
      <c r="R13" s="1">
        <v>10000</v>
      </c>
      <c r="S13" s="1">
        <v>0</v>
      </c>
      <c r="U13" s="1">
        <v>0</v>
      </c>
      <c r="V13" s="9">
        <v>0</v>
      </c>
    </row>
    <row r="14" spans="1:22">
      <c r="A14" s="1" t="s">
        <v>23</v>
      </c>
      <c r="B14" s="6">
        <v>0</v>
      </c>
      <c r="C14" s="1">
        <v>0</v>
      </c>
      <c r="D14" s="1">
        <v>0</v>
      </c>
      <c r="E14" s="1">
        <v>0</v>
      </c>
      <c r="F14" s="1">
        <v>0</v>
      </c>
      <c r="G14" s="9">
        <f>SUM(DC_FINANCIAL)</f>
        <v>0</v>
      </c>
      <c r="I14" s="13" t="s">
        <v>24</v>
      </c>
      <c r="J14" s="16">
        <v>305426</v>
      </c>
      <c r="L14" s="6"/>
      <c r="V14" s="9"/>
    </row>
    <row r="15" spans="1:22">
      <c r="A15" s="1" t="s">
        <v>25</v>
      </c>
      <c r="B15" s="6">
        <v>0</v>
      </c>
      <c r="C15" s="1">
        <v>0</v>
      </c>
      <c r="D15" s="1">
        <v>111657.17614176311</v>
      </c>
      <c r="E15" s="1">
        <v>0</v>
      </c>
      <c r="F15" s="1">
        <v>0</v>
      </c>
      <c r="G15" s="9">
        <f>SUM(FL_FINANCIAL)</f>
        <v>111657.17614176311</v>
      </c>
      <c r="I15" s="13" t="s">
        <v>26</v>
      </c>
      <c r="J15" s="16">
        <v>315878.5500000001</v>
      </c>
      <c r="L15" s="6"/>
      <c r="V15" s="9"/>
    </row>
    <row r="16" spans="1:22">
      <c r="A16" s="1" t="s">
        <v>27</v>
      </c>
      <c r="B16" s="6">
        <v>0</v>
      </c>
      <c r="C16" s="1">
        <v>0</v>
      </c>
      <c r="D16" s="1">
        <v>20525.188875963708</v>
      </c>
      <c r="E16" s="1">
        <v>0</v>
      </c>
      <c r="F16" s="1">
        <v>0</v>
      </c>
      <c r="G16" s="9">
        <f>SUM(GA_FINANCIAL)</f>
        <v>20525.188875963708</v>
      </c>
      <c r="I16" s="13" t="s">
        <v>28</v>
      </c>
      <c r="J16" s="16">
        <v>0</v>
      </c>
      <c r="L16" s="6"/>
      <c r="V16" s="9"/>
    </row>
    <row r="17" spans="1:22">
      <c r="A17" s="1" t="s">
        <v>29</v>
      </c>
      <c r="B17" s="6">
        <v>0</v>
      </c>
      <c r="C17" s="1">
        <v>0</v>
      </c>
      <c r="D17" s="1">
        <v>0</v>
      </c>
      <c r="E17" s="1">
        <v>0</v>
      </c>
      <c r="F17" s="1">
        <v>0</v>
      </c>
      <c r="G17" s="9">
        <f>SUM(HI_FINANCIAL)</f>
        <v>0</v>
      </c>
      <c r="I17" s="13"/>
      <c r="J17" s="16"/>
      <c r="L17" s="6"/>
      <c r="V17" s="9"/>
    </row>
    <row r="18" spans="1:22">
      <c r="A18" s="1" t="s">
        <v>30</v>
      </c>
      <c r="B18" s="6">
        <v>0</v>
      </c>
      <c r="C18" s="1">
        <v>0</v>
      </c>
      <c r="D18" s="1">
        <v>3437.2202638536692</v>
      </c>
      <c r="E18" s="1">
        <v>0</v>
      </c>
      <c r="F18" s="1">
        <v>0</v>
      </c>
      <c r="G18" s="9">
        <f>SUM(ID_FINANCIAL)</f>
        <v>3437.2202638536692</v>
      </c>
      <c r="I18" s="13" t="s">
        <v>31</v>
      </c>
      <c r="J18" s="16"/>
      <c r="L18" s="6">
        <v>0</v>
      </c>
      <c r="M18" s="1">
        <v>0</v>
      </c>
      <c r="O18" s="1">
        <v>0</v>
      </c>
      <c r="P18" s="1">
        <v>0</v>
      </c>
      <c r="R18" s="1">
        <v>0</v>
      </c>
      <c r="S18" s="1">
        <v>0</v>
      </c>
      <c r="U18" s="1">
        <v>0</v>
      </c>
      <c r="V18" s="9">
        <v>0</v>
      </c>
    </row>
    <row r="19" spans="1:22">
      <c r="A19" s="1" t="s">
        <v>32</v>
      </c>
      <c r="B19" s="6">
        <v>0</v>
      </c>
      <c r="C19" s="1">
        <v>0</v>
      </c>
      <c r="D19" s="1">
        <v>0</v>
      </c>
      <c r="E19" s="1">
        <v>0</v>
      </c>
      <c r="F19" s="1">
        <v>0</v>
      </c>
      <c r="G19" s="9">
        <f>SUM(IL_FINANCIAL)</f>
        <v>0</v>
      </c>
      <c r="I19" s="13" t="s">
        <v>33</v>
      </c>
      <c r="J19" s="16">
        <v>0</v>
      </c>
      <c r="L19" s="6"/>
      <c r="V19" s="9"/>
    </row>
    <row r="20" spans="1:22">
      <c r="A20" s="1" t="s">
        <v>34</v>
      </c>
      <c r="B20" s="6">
        <v>0</v>
      </c>
      <c r="C20" s="1">
        <v>0</v>
      </c>
      <c r="D20" s="1">
        <v>8349.9926358705125</v>
      </c>
      <c r="E20" s="1">
        <v>0</v>
      </c>
      <c r="F20" s="1">
        <v>0</v>
      </c>
      <c r="G20" s="9">
        <f>SUM(IN_FINANCIAL)</f>
        <v>8349.9926358705125</v>
      </c>
      <c r="I20" s="13" t="s">
        <v>35</v>
      </c>
      <c r="J20" s="16">
        <v>1978001</v>
      </c>
      <c r="L20" s="6"/>
      <c r="V20" s="9"/>
    </row>
    <row r="21" spans="1:22">
      <c r="A21" s="1" t="s">
        <v>36</v>
      </c>
      <c r="B21" s="6">
        <v>0</v>
      </c>
      <c r="C21" s="1">
        <v>0</v>
      </c>
      <c r="D21" s="1">
        <v>0</v>
      </c>
      <c r="E21" s="1">
        <v>0</v>
      </c>
      <c r="F21" s="1">
        <v>0</v>
      </c>
      <c r="G21" s="9">
        <f>SUM(IA_FINANCIAL)</f>
        <v>0</v>
      </c>
      <c r="I21" s="13" t="s">
        <v>37</v>
      </c>
      <c r="J21" s="16"/>
      <c r="L21" s="6"/>
      <c r="V21" s="9"/>
    </row>
    <row r="22" spans="1:22">
      <c r="A22" s="1" t="s">
        <v>38</v>
      </c>
      <c r="B22" s="6">
        <v>0</v>
      </c>
      <c r="C22" s="1">
        <v>0</v>
      </c>
      <c r="D22" s="1">
        <v>0</v>
      </c>
      <c r="E22" s="1">
        <v>0</v>
      </c>
      <c r="F22" s="1">
        <v>0</v>
      </c>
      <c r="G22" s="9">
        <f>SUM(KS_FINANCIAL)</f>
        <v>0</v>
      </c>
      <c r="I22" s="13" t="s">
        <v>39</v>
      </c>
      <c r="J22" s="16">
        <v>0</v>
      </c>
      <c r="L22" s="6"/>
      <c r="V22" s="9"/>
    </row>
    <row r="23" spans="1:22">
      <c r="A23" s="1" t="s">
        <v>40</v>
      </c>
      <c r="B23" s="6">
        <v>0</v>
      </c>
      <c r="C23" s="1">
        <v>0</v>
      </c>
      <c r="D23" s="1">
        <v>1146.6957930369044</v>
      </c>
      <c r="E23" s="1">
        <v>0</v>
      </c>
      <c r="F23" s="1">
        <v>0</v>
      </c>
      <c r="G23" s="9">
        <f>SUM(KY_FINANCIAL)</f>
        <v>1146.6957930369044</v>
      </c>
      <c r="I23" s="13" t="s">
        <v>41</v>
      </c>
      <c r="J23" s="16"/>
      <c r="L23" s="6"/>
      <c r="V23" s="9"/>
    </row>
    <row r="24" spans="1:22">
      <c r="A24" s="1" t="s">
        <v>42</v>
      </c>
      <c r="B24" s="6">
        <v>0</v>
      </c>
      <c r="C24" s="1">
        <v>0</v>
      </c>
      <c r="D24" s="1">
        <v>14942.919433696952</v>
      </c>
      <c r="E24" s="1">
        <v>0</v>
      </c>
      <c r="F24" s="1">
        <v>0</v>
      </c>
      <c r="G24" s="9">
        <f>SUM(LA_FINANCIAL)</f>
        <v>14942.919433696952</v>
      </c>
      <c r="I24" s="13" t="s">
        <v>43</v>
      </c>
      <c r="J24" s="16">
        <v>2373299</v>
      </c>
      <c r="L24" s="6">
        <v>0</v>
      </c>
      <c r="M24" s="1">
        <v>0</v>
      </c>
      <c r="O24" s="1">
        <v>0</v>
      </c>
      <c r="P24" s="1">
        <v>0</v>
      </c>
      <c r="R24" s="1">
        <v>85000</v>
      </c>
      <c r="S24" s="1">
        <v>0</v>
      </c>
      <c r="U24" s="1">
        <v>0</v>
      </c>
      <c r="V24" s="9">
        <v>0</v>
      </c>
    </row>
    <row r="25" spans="1:22">
      <c r="A25" s="1" t="s">
        <v>44</v>
      </c>
      <c r="B25" s="6">
        <v>0</v>
      </c>
      <c r="C25" s="1">
        <v>0</v>
      </c>
      <c r="D25" s="1">
        <v>0</v>
      </c>
      <c r="E25" s="1">
        <v>0</v>
      </c>
      <c r="F25" s="1">
        <v>0</v>
      </c>
      <c r="G25" s="9">
        <f>SUM(ME_FINANCIAL)</f>
        <v>0</v>
      </c>
      <c r="I25" s="13"/>
      <c r="J25" s="16"/>
      <c r="L25" s="6"/>
      <c r="V25" s="9"/>
    </row>
    <row r="26" spans="1:22">
      <c r="A26" s="1" t="s">
        <v>45</v>
      </c>
      <c r="B26" s="6">
        <v>0</v>
      </c>
      <c r="C26" s="1">
        <v>0</v>
      </c>
      <c r="D26" s="1">
        <v>-1320.950697007881</v>
      </c>
      <c r="E26" s="1">
        <v>0</v>
      </c>
      <c r="F26" s="1">
        <v>0</v>
      </c>
      <c r="G26" s="9">
        <f>SUM(MD_FINANCIAL)</f>
        <v>-1320.950697007881</v>
      </c>
      <c r="I26" s="13" t="s">
        <v>46</v>
      </c>
      <c r="J26" s="16">
        <f>SUM(ADD_FINANCIAL)-SUM(LESS_FINANCIAL)</f>
        <v>226006.54999999981</v>
      </c>
      <c r="L26" s="6"/>
      <c r="V26" s="9"/>
    </row>
    <row r="27" spans="1:22">
      <c r="A27" s="1" t="s">
        <v>47</v>
      </c>
      <c r="B27" s="6">
        <v>0</v>
      </c>
      <c r="C27" s="1">
        <v>0</v>
      </c>
      <c r="D27" s="1">
        <v>0</v>
      </c>
      <c r="E27" s="1">
        <v>0</v>
      </c>
      <c r="F27" s="1">
        <v>0</v>
      </c>
      <c r="G27" s="9">
        <f>SUM(MA_FINANCIAL)</f>
        <v>0</v>
      </c>
      <c r="I27" s="13" t="s">
        <v>48</v>
      </c>
      <c r="J27" s="16">
        <f>SUM(ALL_BLOCKS)</f>
        <v>226006.55000000005</v>
      </c>
      <c r="L27" s="6"/>
      <c r="V27" s="9"/>
    </row>
    <row r="28" spans="1:22">
      <c r="A28" s="1" t="s">
        <v>49</v>
      </c>
      <c r="B28" s="6">
        <v>0</v>
      </c>
      <c r="C28" s="1">
        <v>0</v>
      </c>
      <c r="D28" s="1">
        <v>0</v>
      </c>
      <c r="E28" s="1">
        <v>0</v>
      </c>
      <c r="F28" s="1">
        <v>0</v>
      </c>
      <c r="G28" s="9">
        <f>SUM(MI_FINANCIAL)</f>
        <v>0</v>
      </c>
      <c r="I28" s="14"/>
      <c r="J28" s="17"/>
      <c r="L28" s="6"/>
      <c r="V28" s="9"/>
    </row>
    <row r="29" spans="1:22">
      <c r="A29" s="1" t="s">
        <v>50</v>
      </c>
      <c r="B29" s="6">
        <v>0</v>
      </c>
      <c r="C29" s="1">
        <v>0</v>
      </c>
      <c r="D29" s="1">
        <v>0</v>
      </c>
      <c r="E29" s="1">
        <v>0</v>
      </c>
      <c r="F29" s="1">
        <v>0</v>
      </c>
      <c r="G29" s="9">
        <f>SUM(MN_FINANCIAL)</f>
        <v>0</v>
      </c>
      <c r="L29" s="6"/>
      <c r="V29" s="9"/>
    </row>
    <row r="30" spans="1:22">
      <c r="A30" s="1" t="s">
        <v>51</v>
      </c>
      <c r="B30" s="6">
        <v>0</v>
      </c>
      <c r="C30" s="1">
        <v>0</v>
      </c>
      <c r="D30" s="1">
        <v>2569.1752441590725</v>
      </c>
      <c r="E30" s="1">
        <v>0</v>
      </c>
      <c r="F30" s="1">
        <v>0</v>
      </c>
      <c r="G30" s="9">
        <f>SUM(MS_FINANCIAL)</f>
        <v>2569.1752441590725</v>
      </c>
      <c r="L30" s="6"/>
      <c r="V30" s="9"/>
    </row>
    <row r="31" spans="1:22">
      <c r="A31" s="1" t="s">
        <v>52</v>
      </c>
      <c r="B31" s="6">
        <v>0</v>
      </c>
      <c r="C31" s="1">
        <v>0</v>
      </c>
      <c r="D31" s="1">
        <v>0</v>
      </c>
      <c r="E31" s="1">
        <v>0</v>
      </c>
      <c r="F31" s="1">
        <v>0</v>
      </c>
      <c r="G31" s="9">
        <f>SUM(MO_FINANCIAL)</f>
        <v>0</v>
      </c>
      <c r="L31" s="6"/>
      <c r="V31" s="9"/>
    </row>
    <row r="32" spans="1:22">
      <c r="A32" s="1" t="s">
        <v>53</v>
      </c>
      <c r="B32" s="6">
        <v>0</v>
      </c>
      <c r="C32" s="1">
        <v>0</v>
      </c>
      <c r="D32" s="1">
        <v>895.72657041017465</v>
      </c>
      <c r="E32" s="1">
        <v>0</v>
      </c>
      <c r="F32" s="1">
        <v>0</v>
      </c>
      <c r="G32" s="9">
        <f>SUM(MT_FINANCIAL)</f>
        <v>895.72657041017465</v>
      </c>
      <c r="L32" s="6"/>
      <c r="V32" s="9"/>
    </row>
    <row r="33" spans="1:22">
      <c r="A33" s="1" t="s">
        <v>54</v>
      </c>
      <c r="B33" s="6">
        <v>0</v>
      </c>
      <c r="C33" s="1">
        <v>0</v>
      </c>
      <c r="D33" s="1">
        <v>170</v>
      </c>
      <c r="E33" s="1">
        <v>0</v>
      </c>
      <c r="F33" s="1">
        <v>0</v>
      </c>
      <c r="G33" s="9">
        <f>SUM(NE_FINANCIAL)</f>
        <v>170</v>
      </c>
      <c r="L33" s="6"/>
      <c r="V33" s="9"/>
    </row>
    <row r="34" spans="1:22">
      <c r="A34" s="1" t="s">
        <v>55</v>
      </c>
      <c r="B34" s="6">
        <v>0</v>
      </c>
      <c r="C34" s="1">
        <v>0</v>
      </c>
      <c r="D34" s="1">
        <v>459.57347164517341</v>
      </c>
      <c r="E34" s="1">
        <v>0</v>
      </c>
      <c r="F34" s="1">
        <v>0</v>
      </c>
      <c r="G34" s="9">
        <f>SUM(NV_FINANCIAL)</f>
        <v>459.57347164517341</v>
      </c>
      <c r="L34" s="6"/>
      <c r="V34" s="9"/>
    </row>
    <row r="35" spans="1:22">
      <c r="A35" s="1" t="s">
        <v>56</v>
      </c>
      <c r="B35" s="6">
        <v>0</v>
      </c>
      <c r="C35" s="1">
        <v>0</v>
      </c>
      <c r="D35" s="1">
        <v>0</v>
      </c>
      <c r="E35" s="1">
        <v>0</v>
      </c>
      <c r="F35" s="1">
        <v>0</v>
      </c>
      <c r="G35" s="9">
        <f>SUM(NH_FINANCIAL)</f>
        <v>0</v>
      </c>
      <c r="L35" s="6"/>
      <c r="V35" s="9"/>
    </row>
    <row r="36" spans="1:22">
      <c r="A36" s="1" t="s">
        <v>57</v>
      </c>
      <c r="B36" s="6">
        <v>0</v>
      </c>
      <c r="C36" s="1">
        <v>0</v>
      </c>
      <c r="D36" s="1">
        <v>0</v>
      </c>
      <c r="E36" s="1">
        <v>0</v>
      </c>
      <c r="F36" s="1">
        <v>0</v>
      </c>
      <c r="G36" s="9">
        <f>SUM(NJ_FINANCIAL)</f>
        <v>0</v>
      </c>
      <c r="L36" s="6"/>
      <c r="V36" s="9"/>
    </row>
    <row r="37" spans="1:22">
      <c r="A37" s="1" t="s">
        <v>58</v>
      </c>
      <c r="B37" s="6">
        <v>0</v>
      </c>
      <c r="C37" s="1">
        <v>0</v>
      </c>
      <c r="D37" s="1">
        <v>2953.4748656609372</v>
      </c>
      <c r="E37" s="1">
        <v>0</v>
      </c>
      <c r="F37" s="1">
        <v>0</v>
      </c>
      <c r="G37" s="9">
        <f>SUM(NM_FINANCIAL)</f>
        <v>2953.4748656609372</v>
      </c>
      <c r="L37" s="6"/>
      <c r="V37" s="9"/>
    </row>
    <row r="38" spans="1:22">
      <c r="A38" s="1" t="s">
        <v>59</v>
      </c>
      <c r="B38" s="6">
        <v>0</v>
      </c>
      <c r="C38" s="1">
        <v>0</v>
      </c>
      <c r="D38" s="1">
        <v>0</v>
      </c>
      <c r="E38" s="1">
        <v>0</v>
      </c>
      <c r="F38" s="1">
        <v>0</v>
      </c>
      <c r="G38" s="9">
        <f>SUM(NY_FINANCIAL)</f>
        <v>0</v>
      </c>
      <c r="L38" s="6"/>
      <c r="V38" s="9"/>
    </row>
    <row r="39" spans="1:22">
      <c r="A39" s="1" t="s">
        <v>60</v>
      </c>
      <c r="B39" s="6">
        <v>0</v>
      </c>
      <c r="C39" s="1">
        <v>0</v>
      </c>
      <c r="D39" s="1">
        <v>0</v>
      </c>
      <c r="E39" s="1">
        <v>0</v>
      </c>
      <c r="F39" s="1">
        <v>0</v>
      </c>
      <c r="G39" s="9">
        <f>SUM(NC_FINANCIAL)</f>
        <v>0</v>
      </c>
      <c r="L39" s="6"/>
      <c r="V39" s="9"/>
    </row>
    <row r="40" spans="1:22">
      <c r="A40" s="1" t="s">
        <v>61</v>
      </c>
      <c r="B40" s="6">
        <v>0</v>
      </c>
      <c r="C40" s="1">
        <v>0</v>
      </c>
      <c r="D40" s="1">
        <v>322.06909646068561</v>
      </c>
      <c r="E40" s="1">
        <v>0</v>
      </c>
      <c r="F40" s="1">
        <v>0</v>
      </c>
      <c r="G40" s="9">
        <f>SUM(ND_FINANCIAL)</f>
        <v>322.06909646068561</v>
      </c>
      <c r="L40" s="6"/>
      <c r="V40" s="9"/>
    </row>
    <row r="41" spans="1:22">
      <c r="A41" s="1" t="s">
        <v>62</v>
      </c>
      <c r="B41" s="6">
        <v>0</v>
      </c>
      <c r="C41" s="1">
        <v>0</v>
      </c>
      <c r="D41" s="1">
        <v>1152.923480214944</v>
      </c>
      <c r="E41" s="1">
        <v>0</v>
      </c>
      <c r="F41" s="1">
        <v>0</v>
      </c>
      <c r="G41" s="9">
        <f>SUM(OH_FINANCIAL)</f>
        <v>1152.923480214944</v>
      </c>
      <c r="L41" s="6"/>
      <c r="V41" s="9"/>
    </row>
    <row r="42" spans="1:22">
      <c r="A42" s="1" t="s">
        <v>63</v>
      </c>
      <c r="B42" s="6">
        <v>0</v>
      </c>
      <c r="C42" s="1">
        <v>0</v>
      </c>
      <c r="D42" s="1">
        <v>995.64938710281422</v>
      </c>
      <c r="E42" s="1">
        <v>0</v>
      </c>
      <c r="F42" s="1">
        <v>0</v>
      </c>
      <c r="G42" s="9">
        <f>SUM(OK_FINANCIAL)</f>
        <v>995.64938710281422</v>
      </c>
      <c r="L42" s="6">
        <v>0</v>
      </c>
      <c r="M42" s="1">
        <v>0</v>
      </c>
      <c r="O42" s="1">
        <v>0</v>
      </c>
      <c r="P42" s="1">
        <v>0</v>
      </c>
      <c r="R42" s="1">
        <v>0</v>
      </c>
      <c r="S42" s="1">
        <v>0</v>
      </c>
      <c r="U42" s="1">
        <v>0</v>
      </c>
      <c r="V42" s="9">
        <v>0</v>
      </c>
    </row>
    <row r="43" spans="1:22">
      <c r="A43" s="1" t="s">
        <v>64</v>
      </c>
      <c r="B43" s="6">
        <v>0</v>
      </c>
      <c r="C43" s="1">
        <v>0</v>
      </c>
      <c r="D43" s="1">
        <v>1397.3195333602052</v>
      </c>
      <c r="E43" s="1">
        <v>0</v>
      </c>
      <c r="F43" s="1">
        <v>0</v>
      </c>
      <c r="G43" s="9">
        <f>SUM(OR_FINANCIAL)</f>
        <v>1397.3195333602052</v>
      </c>
      <c r="L43" s="6"/>
      <c r="V43" s="9"/>
    </row>
    <row r="44" spans="1:22">
      <c r="A44" s="1" t="s">
        <v>65</v>
      </c>
      <c r="B44" s="6">
        <v>0</v>
      </c>
      <c r="C44" s="1">
        <v>0</v>
      </c>
      <c r="D44" s="1">
        <v>0</v>
      </c>
      <c r="E44" s="1">
        <v>0</v>
      </c>
      <c r="F44" s="1">
        <v>0</v>
      </c>
      <c r="G44" s="9">
        <f>SUM(PA_FINANCIAL)</f>
        <v>0</v>
      </c>
      <c r="L44" s="6"/>
      <c r="V44" s="9"/>
    </row>
    <row r="45" spans="1:22">
      <c r="A45" s="1" t="s">
        <v>66</v>
      </c>
      <c r="B45" s="6">
        <v>0</v>
      </c>
      <c r="C45" s="1">
        <v>0</v>
      </c>
      <c r="D45" s="1">
        <v>0</v>
      </c>
      <c r="E45" s="1">
        <v>0</v>
      </c>
      <c r="F45" s="1">
        <v>0</v>
      </c>
      <c r="G45" s="9">
        <f>SUM(PR_FINANCIAL)</f>
        <v>0</v>
      </c>
      <c r="L45" s="6"/>
      <c r="V45" s="9"/>
    </row>
    <row r="46" spans="1:22">
      <c r="A46" s="1" t="s">
        <v>67</v>
      </c>
      <c r="B46" s="6">
        <v>0</v>
      </c>
      <c r="C46" s="1">
        <v>0</v>
      </c>
      <c r="D46" s="1">
        <v>0</v>
      </c>
      <c r="E46" s="1">
        <v>0</v>
      </c>
      <c r="F46" s="1">
        <v>0</v>
      </c>
      <c r="G46" s="9">
        <f>SUM(RI_FINANCIAL)</f>
        <v>0</v>
      </c>
      <c r="L46" s="6"/>
      <c r="V46" s="9"/>
    </row>
    <row r="47" spans="1:22">
      <c r="A47" s="1" t="s">
        <v>68</v>
      </c>
      <c r="B47" s="6">
        <v>0</v>
      </c>
      <c r="C47" s="1">
        <v>0</v>
      </c>
      <c r="D47" s="1">
        <v>841.84593554898856</v>
      </c>
      <c r="E47" s="1">
        <v>0</v>
      </c>
      <c r="F47" s="1">
        <v>0</v>
      </c>
      <c r="G47" s="9">
        <f>SUM(SC_FINANCIAL)</f>
        <v>841.84593554898856</v>
      </c>
      <c r="L47" s="6"/>
      <c r="V47" s="9"/>
    </row>
    <row r="48" spans="1:22">
      <c r="A48" s="1" t="s">
        <v>69</v>
      </c>
      <c r="B48" s="6">
        <v>0</v>
      </c>
      <c r="C48" s="1">
        <v>0</v>
      </c>
      <c r="D48" s="1">
        <v>0</v>
      </c>
      <c r="E48" s="1">
        <v>0</v>
      </c>
      <c r="F48" s="1">
        <v>0</v>
      </c>
      <c r="G48" s="9">
        <f>SUM(SD_FINANCIAL)</f>
        <v>0</v>
      </c>
      <c r="L48" s="6"/>
      <c r="V48" s="9"/>
    </row>
    <row r="49" spans="1:22">
      <c r="A49" s="1" t="s">
        <v>70</v>
      </c>
      <c r="B49" s="6">
        <v>0</v>
      </c>
      <c r="C49" s="1">
        <v>0</v>
      </c>
      <c r="D49" s="1">
        <v>1216.8904101110602</v>
      </c>
      <c r="E49" s="1">
        <v>0</v>
      </c>
      <c r="F49" s="1">
        <v>0</v>
      </c>
      <c r="G49" s="9">
        <f>SUM(TN_FINANCIAL)</f>
        <v>1216.8904101110602</v>
      </c>
      <c r="L49" s="6"/>
      <c r="V49" s="9"/>
    </row>
    <row r="50" spans="1:22">
      <c r="A50" s="1" t="s">
        <v>71</v>
      </c>
      <c r="B50" s="6">
        <v>0</v>
      </c>
      <c r="C50" s="1">
        <v>0</v>
      </c>
      <c r="D50" s="1">
        <v>6143.9502110702451</v>
      </c>
      <c r="E50" s="1">
        <v>0</v>
      </c>
      <c r="F50" s="1">
        <v>0</v>
      </c>
      <c r="G50" s="9">
        <f>SUM(TX_FINANCIAL)</f>
        <v>6143.9502110702451</v>
      </c>
      <c r="L50" s="6">
        <v>0</v>
      </c>
      <c r="M50" s="1">
        <v>500000</v>
      </c>
      <c r="O50" s="1">
        <v>0</v>
      </c>
      <c r="P50" s="1">
        <v>0</v>
      </c>
      <c r="R50" s="1">
        <v>67009</v>
      </c>
      <c r="S50" s="1">
        <v>116294</v>
      </c>
      <c r="U50" s="1">
        <v>0</v>
      </c>
      <c r="V50" s="9">
        <v>0</v>
      </c>
    </row>
    <row r="51" spans="1:22">
      <c r="A51" s="1" t="s">
        <v>72</v>
      </c>
      <c r="B51" s="6">
        <v>0</v>
      </c>
      <c r="C51" s="1">
        <v>0</v>
      </c>
      <c r="D51" s="1">
        <v>0</v>
      </c>
      <c r="E51" s="1">
        <v>0</v>
      </c>
      <c r="F51" s="1">
        <v>0</v>
      </c>
      <c r="G51" s="9">
        <f>SUM(UT_FINANCIAL)</f>
        <v>0</v>
      </c>
      <c r="L51" s="6"/>
      <c r="V51" s="9"/>
    </row>
    <row r="52" spans="1:22">
      <c r="A52" s="1" t="s">
        <v>73</v>
      </c>
      <c r="B52" s="6">
        <v>0</v>
      </c>
      <c r="C52" s="1">
        <v>0</v>
      </c>
      <c r="D52" s="1">
        <v>0</v>
      </c>
      <c r="E52" s="1">
        <v>0</v>
      </c>
      <c r="F52" s="1">
        <v>0</v>
      </c>
      <c r="G52" s="9">
        <f>SUM(VT_FINANCIAL)</f>
        <v>0</v>
      </c>
      <c r="L52" s="6"/>
      <c r="V52" s="9"/>
    </row>
    <row r="53" spans="1:22">
      <c r="A53" s="1" t="s">
        <v>74</v>
      </c>
      <c r="B53" s="6">
        <v>0</v>
      </c>
      <c r="C53" s="1">
        <v>0</v>
      </c>
      <c r="D53" s="1">
        <v>0</v>
      </c>
      <c r="E53" s="1">
        <v>0</v>
      </c>
      <c r="F53" s="1">
        <v>0</v>
      </c>
      <c r="G53" s="9">
        <f>SUM(VA_FINANCIAL)</f>
        <v>0</v>
      </c>
      <c r="L53" s="6">
        <v>0</v>
      </c>
      <c r="M53" s="1">
        <v>0</v>
      </c>
      <c r="O53" s="1">
        <v>0</v>
      </c>
      <c r="P53" s="1">
        <v>0</v>
      </c>
      <c r="R53" s="1">
        <v>0</v>
      </c>
      <c r="S53" s="1">
        <v>0</v>
      </c>
      <c r="U53" s="1">
        <v>0</v>
      </c>
      <c r="V53" s="9">
        <v>0</v>
      </c>
    </row>
    <row r="54" spans="1:22">
      <c r="A54" s="1" t="s">
        <v>75</v>
      </c>
      <c r="B54" s="6">
        <v>0</v>
      </c>
      <c r="C54" s="1">
        <v>0</v>
      </c>
      <c r="D54" s="1">
        <v>0</v>
      </c>
      <c r="E54" s="1">
        <v>0</v>
      </c>
      <c r="F54" s="1">
        <v>0</v>
      </c>
      <c r="G54" s="9">
        <f>SUM(WA_FINANCIAL)</f>
        <v>0</v>
      </c>
      <c r="L54" s="6"/>
      <c r="V54" s="9"/>
    </row>
    <row r="55" spans="1:22">
      <c r="A55" s="1" t="s">
        <v>76</v>
      </c>
      <c r="B55" s="6">
        <v>0</v>
      </c>
      <c r="C55" s="1">
        <v>0</v>
      </c>
      <c r="D55" s="1">
        <v>0</v>
      </c>
      <c r="E55" s="1">
        <v>0</v>
      </c>
      <c r="F55" s="1">
        <v>0</v>
      </c>
      <c r="G55" s="9">
        <f>SUM(WV_FINANCIAL)</f>
        <v>0</v>
      </c>
      <c r="L55" s="6"/>
      <c r="V55" s="9"/>
    </row>
    <row r="56" spans="1:22">
      <c r="A56" s="1" t="s">
        <v>77</v>
      </c>
      <c r="B56" s="6">
        <v>0</v>
      </c>
      <c r="C56" s="1">
        <v>0</v>
      </c>
      <c r="D56" s="1">
        <v>0</v>
      </c>
      <c r="E56" s="1">
        <v>0</v>
      </c>
      <c r="F56" s="1">
        <v>0</v>
      </c>
      <c r="G56" s="9">
        <f>SUM(WI_FINANCIAL)</f>
        <v>0</v>
      </c>
      <c r="L56" s="6"/>
      <c r="V56" s="9"/>
    </row>
    <row r="57" spans="1:22">
      <c r="A57" s="1" t="s">
        <v>78</v>
      </c>
      <c r="B57" s="6">
        <v>0</v>
      </c>
      <c r="C57" s="1">
        <v>0</v>
      </c>
      <c r="D57" s="1">
        <v>615.68927620365594</v>
      </c>
      <c r="E57" s="1">
        <v>0</v>
      </c>
      <c r="F57" s="1">
        <v>0</v>
      </c>
      <c r="G57" s="9">
        <f>SUM(WY_FINANCIAL)</f>
        <v>615.68927620365594</v>
      </c>
      <c r="L57" s="6"/>
      <c r="V57" s="9"/>
    </row>
    <row r="58" spans="1:22">
      <c r="A58" s="1" t="s">
        <v>79</v>
      </c>
      <c r="B58" s="6">
        <v>0</v>
      </c>
      <c r="C58" s="1">
        <v>0</v>
      </c>
      <c r="D58" s="1">
        <v>0</v>
      </c>
      <c r="E58" s="1">
        <v>0</v>
      </c>
      <c r="F58" s="1">
        <v>0</v>
      </c>
      <c r="G58" s="9">
        <f>SUM(OT_FINANCIAL)</f>
        <v>0</v>
      </c>
      <c r="L58" s="6"/>
      <c r="V58" s="9"/>
    </row>
    <row r="59" spans="1:22">
      <c r="B59" s="6"/>
      <c r="G59" s="9"/>
      <c r="L59" s="6"/>
      <c r="V59" s="9"/>
    </row>
    <row r="60" spans="1:22">
      <c r="A60" s="1" t="s">
        <v>8</v>
      </c>
      <c r="B60" s="6">
        <f>SUM(LIFE)</f>
        <v>0</v>
      </c>
      <c r="C60" s="1">
        <f>SUM(ALLOCATED)</f>
        <v>0</v>
      </c>
      <c r="D60" s="1">
        <f>SUM(HEALTH)</f>
        <v>226006.55000000005</v>
      </c>
      <c r="E60" s="1">
        <f>SUM(UNALLOCATED)</f>
        <v>0</v>
      </c>
      <c r="F60" s="1">
        <f>SUM(LTC)</f>
        <v>0</v>
      </c>
      <c r="G60" s="9">
        <f>SUM(ALL_BLOCKS)</f>
        <v>226006.55000000005</v>
      </c>
      <c r="L60" s="6">
        <f>SUM(LIFE_CALLED)</f>
        <v>8231</v>
      </c>
      <c r="M60" s="1">
        <f>SUM(LIFE_REFUNDED)</f>
        <v>500000</v>
      </c>
      <c r="O60" s="1">
        <f>SUM(ALLOC_CALLED)</f>
        <v>0</v>
      </c>
      <c r="P60" s="1">
        <f>SUM(ALLOC_REFUNDED)</f>
        <v>1700000</v>
      </c>
      <c r="R60" s="1">
        <f>SUM(HEALTH_CALLED)</f>
        <v>192196</v>
      </c>
      <c r="S60" s="1">
        <f>SUM(HEALTH_REFUNDED)</f>
        <v>116294</v>
      </c>
      <c r="U60" s="1">
        <f>SUM(UNALLOC_CALLED)</f>
        <v>0</v>
      </c>
      <c r="V60" s="9">
        <f>SUM(UNALLOC_REFUNDED)</f>
        <v>0</v>
      </c>
    </row>
    <row r="61" spans="1:22" ht="5.0999999999999996" customHeight="1">
      <c r="B61" s="6"/>
      <c r="G61" s="9"/>
      <c r="L61" s="6"/>
      <c r="V61" s="9"/>
    </row>
    <row r="62" spans="1:22">
      <c r="B62" s="6"/>
      <c r="G62" s="9"/>
      <c r="L62" s="78" t="s">
        <v>80</v>
      </c>
      <c r="M62" s="79"/>
      <c r="N62" s="79"/>
      <c r="O62" s="79"/>
      <c r="P62" s="79"/>
      <c r="Q62" s="79"/>
      <c r="R62" s="79"/>
      <c r="S62" s="79"/>
      <c r="T62" s="79"/>
      <c r="U62" s="79"/>
      <c r="V62" s="80"/>
    </row>
    <row r="63" spans="1:22">
      <c r="B63" s="6"/>
      <c r="G63" s="9"/>
      <c r="L63" s="81"/>
      <c r="M63" s="79"/>
      <c r="N63" s="79"/>
      <c r="O63" s="79"/>
      <c r="P63" s="79"/>
      <c r="Q63" s="79"/>
      <c r="R63" s="79"/>
      <c r="S63" s="79"/>
      <c r="T63" s="79"/>
      <c r="U63" s="79"/>
      <c r="V63" s="80"/>
    </row>
    <row r="64" spans="1:22">
      <c r="B64" s="8"/>
      <c r="C64" s="5"/>
      <c r="D64" s="5"/>
      <c r="E64" s="5"/>
      <c r="F64" s="5"/>
      <c r="G64" s="11"/>
      <c r="L64" s="82"/>
      <c r="M64" s="83"/>
      <c r="N64" s="83"/>
      <c r="O64" s="83"/>
      <c r="P64" s="83"/>
      <c r="Q64" s="83"/>
      <c r="R64" s="83"/>
      <c r="S64" s="83"/>
      <c r="T64" s="83"/>
      <c r="U64" s="83"/>
      <c r="V64" s="84"/>
    </row>
  </sheetData>
  <mergeCells count="8">
    <mergeCell ref="L62:V64"/>
    <mergeCell ref="A1:G1"/>
    <mergeCell ref="B3:G3"/>
    <mergeCell ref="L3:V3"/>
    <mergeCell ref="L4:M4"/>
    <mergeCell ref="O4:P4"/>
    <mergeCell ref="R4:S4"/>
    <mergeCell ref="U4:V4"/>
  </mergeCells>
  <pageMargins left="0" right="0" top="0" bottom="0" header="0" footer="0"/>
  <pageSetup scale="48"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V64"/>
  <sheetViews>
    <sheetView zoomScale="75" workbookViewId="0">
      <selection sqref="A1:G1"/>
    </sheetView>
  </sheetViews>
  <sheetFormatPr defaultColWidth="9.109375" defaultRowHeight="14.4"/>
  <cols>
    <col min="1" max="1" width="20" style="1" customWidth="1"/>
    <col min="2" max="7" width="15" style="1" customWidth="1"/>
    <col min="8" max="8" width="1" style="1" customWidth="1"/>
    <col min="9" max="9" width="30" style="1" customWidth="1"/>
    <col min="10" max="10" width="15" style="1" customWidth="1"/>
    <col min="11" max="11" width="1" style="1" customWidth="1"/>
    <col min="12" max="13" width="15" style="1" customWidth="1"/>
    <col min="14" max="14" width="1" style="1" customWidth="1"/>
    <col min="15" max="16" width="15" style="1" customWidth="1"/>
    <col min="17" max="17" width="1" style="1" customWidth="1"/>
    <col min="18" max="19" width="15" style="1" customWidth="1"/>
    <col min="20" max="20" width="1" style="1" customWidth="1"/>
    <col min="21" max="22" width="15" style="1" customWidth="1"/>
    <col min="23" max="23" width="9.109375" style="1" customWidth="1"/>
    <col min="24" max="16384" width="9.109375" style="1"/>
  </cols>
  <sheetData>
    <row r="1" spans="1:22">
      <c r="A1" s="85" t="s">
        <v>120</v>
      </c>
      <c r="B1" s="79"/>
      <c r="C1" s="79"/>
      <c r="D1" s="79"/>
      <c r="E1" s="79"/>
      <c r="F1" s="79"/>
      <c r="G1" s="79"/>
    </row>
    <row r="3" spans="1:22">
      <c r="B3" s="86" t="s">
        <v>1</v>
      </c>
      <c r="C3" s="87"/>
      <c r="D3" s="87"/>
      <c r="E3" s="87"/>
      <c r="F3" s="87"/>
      <c r="G3" s="88"/>
      <c r="L3" s="89" t="s">
        <v>2</v>
      </c>
      <c r="M3" s="90"/>
      <c r="N3" s="90"/>
      <c r="O3" s="90"/>
      <c r="P3" s="90"/>
      <c r="Q3" s="90"/>
      <c r="R3" s="90"/>
      <c r="S3" s="90"/>
      <c r="T3" s="90"/>
      <c r="U3" s="90"/>
      <c r="V3" s="91"/>
    </row>
    <row r="4" spans="1:22">
      <c r="B4" s="6"/>
      <c r="G4" s="9"/>
      <c r="L4" s="92" t="s">
        <v>3</v>
      </c>
      <c r="M4" s="93"/>
      <c r="N4" s="3"/>
      <c r="O4" s="94" t="s">
        <v>4</v>
      </c>
      <c r="P4" s="93"/>
      <c r="Q4" s="3"/>
      <c r="R4" s="94" t="s">
        <v>5</v>
      </c>
      <c r="S4" s="93"/>
      <c r="T4" s="3"/>
      <c r="U4" s="94" t="s">
        <v>6</v>
      </c>
      <c r="V4" s="95"/>
    </row>
    <row r="5" spans="1:22" ht="60" customHeight="1">
      <c r="B5" s="7" t="s">
        <v>3</v>
      </c>
      <c r="C5" s="4" t="s">
        <v>4</v>
      </c>
      <c r="D5" s="4" t="s">
        <v>5</v>
      </c>
      <c r="E5" s="4" t="s">
        <v>6</v>
      </c>
      <c r="F5" s="4" t="s">
        <v>7</v>
      </c>
      <c r="G5" s="10" t="s">
        <v>8</v>
      </c>
      <c r="L5" s="19" t="s">
        <v>9</v>
      </c>
      <c r="M5" s="18" t="s">
        <v>10</v>
      </c>
      <c r="N5" s="18"/>
      <c r="O5" s="18" t="s">
        <v>9</v>
      </c>
      <c r="P5" s="18" t="s">
        <v>10</v>
      </c>
      <c r="Q5" s="18"/>
      <c r="R5" s="18" t="s">
        <v>9</v>
      </c>
      <c r="S5" s="18" t="s">
        <v>10</v>
      </c>
      <c r="T5" s="18"/>
      <c r="U5" s="18" t="s">
        <v>9</v>
      </c>
      <c r="V5" s="20" t="s">
        <v>10</v>
      </c>
    </row>
    <row r="6" spans="1:22">
      <c r="A6" s="1" t="s">
        <v>11</v>
      </c>
      <c r="B6" s="6">
        <v>15122.43019416777</v>
      </c>
      <c r="C6" s="1">
        <v>131225.53247564612</v>
      </c>
      <c r="D6" s="1">
        <v>0</v>
      </c>
      <c r="E6" s="1">
        <v>0</v>
      </c>
      <c r="F6" s="1">
        <v>0</v>
      </c>
      <c r="G6" s="9">
        <f>SUM(AL_FINANCIAL)</f>
        <v>146347.96266981389</v>
      </c>
      <c r="L6" s="6"/>
      <c r="V6" s="9"/>
    </row>
    <row r="7" spans="1:22">
      <c r="A7" s="1" t="s">
        <v>12</v>
      </c>
      <c r="B7" s="6">
        <v>0</v>
      </c>
      <c r="C7" s="1">
        <v>0</v>
      </c>
      <c r="D7" s="1">
        <v>0</v>
      </c>
      <c r="E7" s="1">
        <v>0</v>
      </c>
      <c r="F7" s="1">
        <v>0</v>
      </c>
      <c r="G7" s="9">
        <f>SUM(AK_FINANCIAL)</f>
        <v>0</v>
      </c>
      <c r="I7" s="12"/>
      <c r="J7" s="15"/>
      <c r="L7" s="6"/>
      <c r="V7" s="9"/>
    </row>
    <row r="8" spans="1:22">
      <c r="A8" s="1" t="s">
        <v>13</v>
      </c>
      <c r="B8" s="6">
        <v>9632.9764689473668</v>
      </c>
      <c r="C8" s="1">
        <v>91330.334476094926</v>
      </c>
      <c r="D8" s="1">
        <v>0</v>
      </c>
      <c r="E8" s="1">
        <v>0</v>
      </c>
      <c r="F8" s="1">
        <v>0</v>
      </c>
      <c r="G8" s="9">
        <f>SUM(AZ_FINANCIAL)</f>
        <v>100963.31094504229</v>
      </c>
      <c r="I8" s="13" t="s">
        <v>14</v>
      </c>
      <c r="J8" s="16"/>
      <c r="L8" s="6"/>
      <c r="V8" s="9"/>
    </row>
    <row r="9" spans="1:22">
      <c r="A9" s="1" t="s">
        <v>15</v>
      </c>
      <c r="B9" s="6">
        <v>2748.6536316094425</v>
      </c>
      <c r="C9" s="1">
        <v>23560.152739755693</v>
      </c>
      <c r="D9" s="1">
        <v>0</v>
      </c>
      <c r="E9" s="1">
        <v>0</v>
      </c>
      <c r="F9" s="1">
        <v>0</v>
      </c>
      <c r="G9" s="9">
        <f>SUM(AR_FINANCIAL)</f>
        <v>26308.806371365135</v>
      </c>
      <c r="I9" s="13"/>
      <c r="J9" s="16"/>
      <c r="L9" s="6">
        <v>1037480</v>
      </c>
      <c r="M9" s="1">
        <v>0</v>
      </c>
      <c r="O9" s="1">
        <v>0</v>
      </c>
      <c r="P9" s="1">
        <v>0</v>
      </c>
      <c r="R9" s="1">
        <v>0</v>
      </c>
      <c r="S9" s="1">
        <v>0</v>
      </c>
      <c r="U9" s="1">
        <v>0</v>
      </c>
      <c r="V9" s="9">
        <v>0</v>
      </c>
    </row>
    <row r="10" spans="1:22">
      <c r="A10" s="1" t="s">
        <v>16</v>
      </c>
      <c r="B10" s="6">
        <v>33148.033605579112</v>
      </c>
      <c r="C10" s="1">
        <v>415302.83850922436</v>
      </c>
      <c r="D10" s="1">
        <v>0</v>
      </c>
      <c r="E10" s="1">
        <v>0</v>
      </c>
      <c r="F10" s="1">
        <v>0</v>
      </c>
      <c r="G10" s="9">
        <f>SUM(CA_FINANCIAL)</f>
        <v>448450.87211480347</v>
      </c>
      <c r="I10" s="13" t="s">
        <v>17</v>
      </c>
      <c r="J10" s="16">
        <v>83300829</v>
      </c>
      <c r="L10" s="6">
        <v>712800</v>
      </c>
      <c r="M10" s="1">
        <v>0</v>
      </c>
      <c r="O10" s="1">
        <v>5287200</v>
      </c>
      <c r="P10" s="1">
        <v>0</v>
      </c>
      <c r="R10" s="1">
        <v>0</v>
      </c>
      <c r="S10" s="1">
        <v>0</v>
      </c>
      <c r="U10" s="1">
        <v>0</v>
      </c>
      <c r="V10" s="9">
        <v>0</v>
      </c>
    </row>
    <row r="11" spans="1:22">
      <c r="A11" s="1" t="s">
        <v>18</v>
      </c>
      <c r="B11" s="6">
        <v>4296.2528817224811</v>
      </c>
      <c r="C11" s="1">
        <v>52492.303077477263</v>
      </c>
      <c r="D11" s="1">
        <v>0</v>
      </c>
      <c r="E11" s="1">
        <v>0</v>
      </c>
      <c r="F11" s="1">
        <v>0</v>
      </c>
      <c r="G11" s="9">
        <f>SUM(CO_FINANCIAL)</f>
        <v>56788.555959199744</v>
      </c>
      <c r="I11" s="13"/>
      <c r="J11" s="16"/>
      <c r="L11" s="6">
        <v>623455</v>
      </c>
      <c r="M11" s="1">
        <v>0</v>
      </c>
      <c r="O11" s="1">
        <v>935184</v>
      </c>
      <c r="P11" s="1">
        <v>0</v>
      </c>
      <c r="R11" s="1">
        <v>0</v>
      </c>
      <c r="S11" s="1">
        <v>400000</v>
      </c>
      <c r="U11" s="1">
        <v>0</v>
      </c>
      <c r="V11" s="9">
        <v>0</v>
      </c>
    </row>
    <row r="12" spans="1:22">
      <c r="A12" s="1" t="s">
        <v>19</v>
      </c>
      <c r="B12" s="6">
        <v>0</v>
      </c>
      <c r="C12" s="1">
        <v>0</v>
      </c>
      <c r="D12" s="1">
        <v>0</v>
      </c>
      <c r="E12" s="1">
        <v>0</v>
      </c>
      <c r="F12" s="1">
        <v>0</v>
      </c>
      <c r="G12" s="9">
        <f>SUM(CT_FINANCIAL)</f>
        <v>0</v>
      </c>
      <c r="I12" s="13" t="s">
        <v>20</v>
      </c>
      <c r="J12" s="16"/>
      <c r="L12" s="6"/>
      <c r="V12" s="9"/>
    </row>
    <row r="13" spans="1:22">
      <c r="A13" s="1" t="s">
        <v>21</v>
      </c>
      <c r="B13" s="6">
        <v>1794.7190031290229</v>
      </c>
      <c r="C13" s="1">
        <v>4250.4237063836626</v>
      </c>
      <c r="D13" s="1">
        <v>0</v>
      </c>
      <c r="E13" s="1">
        <v>0</v>
      </c>
      <c r="F13" s="1">
        <v>0</v>
      </c>
      <c r="G13" s="9">
        <f>SUM(DE_FINANCIAL)</f>
        <v>6045.1427095126855</v>
      </c>
      <c r="I13" s="13" t="s">
        <v>22</v>
      </c>
      <c r="J13" s="16">
        <v>140795</v>
      </c>
      <c r="L13" s="6">
        <v>45000</v>
      </c>
      <c r="M13" s="1">
        <v>0</v>
      </c>
      <c r="O13" s="1">
        <v>55000</v>
      </c>
      <c r="P13" s="1">
        <v>0</v>
      </c>
      <c r="R13" s="1">
        <v>0</v>
      </c>
      <c r="S13" s="1">
        <v>0</v>
      </c>
      <c r="U13" s="1">
        <v>0</v>
      </c>
      <c r="V13" s="9">
        <v>0</v>
      </c>
    </row>
    <row r="14" spans="1:22">
      <c r="A14" s="1" t="s">
        <v>23</v>
      </c>
      <c r="B14" s="6">
        <v>5462.1630946412261</v>
      </c>
      <c r="C14" s="1">
        <v>45705.773293073755</v>
      </c>
      <c r="D14" s="1">
        <v>0</v>
      </c>
      <c r="E14" s="1">
        <v>0</v>
      </c>
      <c r="F14" s="1">
        <v>0</v>
      </c>
      <c r="G14" s="9">
        <f>SUM(DC_FINANCIAL)</f>
        <v>51167.936387714981</v>
      </c>
      <c r="I14" s="13" t="s">
        <v>24</v>
      </c>
      <c r="J14" s="16">
        <v>4391618</v>
      </c>
      <c r="L14" s="6">
        <v>121500</v>
      </c>
      <c r="M14" s="1">
        <v>74219</v>
      </c>
      <c r="O14" s="1">
        <v>536500</v>
      </c>
      <c r="P14" s="1">
        <v>397781</v>
      </c>
      <c r="R14" s="1">
        <v>0</v>
      </c>
      <c r="S14" s="1">
        <v>0</v>
      </c>
      <c r="U14" s="1">
        <v>0</v>
      </c>
      <c r="V14" s="9">
        <v>0</v>
      </c>
    </row>
    <row r="15" spans="1:22">
      <c r="A15" s="1" t="s">
        <v>25</v>
      </c>
      <c r="B15" s="6">
        <v>35961.720566290198</v>
      </c>
      <c r="C15" s="1">
        <v>375262.1525270408</v>
      </c>
      <c r="D15" s="1">
        <v>0</v>
      </c>
      <c r="E15" s="1">
        <v>0</v>
      </c>
      <c r="F15" s="1">
        <v>0</v>
      </c>
      <c r="G15" s="9">
        <f>SUM(FL_FINANCIAL)</f>
        <v>411223.873093331</v>
      </c>
      <c r="I15" s="13" t="s">
        <v>26</v>
      </c>
      <c r="J15" s="16">
        <v>2313512.730296365</v>
      </c>
      <c r="L15" s="6"/>
      <c r="V15" s="9"/>
    </row>
    <row r="16" spans="1:22">
      <c r="A16" s="1" t="s">
        <v>27</v>
      </c>
      <c r="B16" s="6">
        <v>36487.861232223455</v>
      </c>
      <c r="C16" s="1">
        <v>294228.3362161098</v>
      </c>
      <c r="D16" s="1">
        <v>0</v>
      </c>
      <c r="E16" s="1">
        <v>0</v>
      </c>
      <c r="F16" s="1">
        <v>0</v>
      </c>
      <c r="G16" s="9">
        <f>SUM(GA_FINANCIAL)</f>
        <v>330716.19744833326</v>
      </c>
      <c r="I16" s="13" t="s">
        <v>28</v>
      </c>
      <c r="J16" s="16">
        <v>0</v>
      </c>
      <c r="L16" s="6"/>
      <c r="V16" s="9"/>
    </row>
    <row r="17" spans="1:22">
      <c r="A17" s="1" t="s">
        <v>29</v>
      </c>
      <c r="B17" s="6">
        <v>5389.0295755017578</v>
      </c>
      <c r="C17" s="1">
        <v>53924.998065498308</v>
      </c>
      <c r="D17" s="1">
        <v>0</v>
      </c>
      <c r="E17" s="1">
        <v>0</v>
      </c>
      <c r="F17" s="1">
        <v>0</v>
      </c>
      <c r="G17" s="9">
        <f>SUM(HI_FINANCIAL)</f>
        <v>59314.027641000066</v>
      </c>
      <c r="I17" s="13"/>
      <c r="J17" s="16"/>
      <c r="L17" s="6"/>
      <c r="V17" s="9"/>
    </row>
    <row r="18" spans="1:22">
      <c r="A18" s="1" t="s">
        <v>30</v>
      </c>
      <c r="B18" s="6">
        <v>0</v>
      </c>
      <c r="C18" s="1">
        <v>0</v>
      </c>
      <c r="D18" s="1">
        <v>0</v>
      </c>
      <c r="E18" s="1">
        <v>0</v>
      </c>
      <c r="F18" s="1">
        <v>0</v>
      </c>
      <c r="G18" s="9">
        <f>SUM(ID_FINANCIAL)</f>
        <v>0</v>
      </c>
      <c r="I18" s="13" t="s">
        <v>31</v>
      </c>
      <c r="J18" s="16"/>
      <c r="L18" s="6"/>
      <c r="V18" s="9"/>
    </row>
    <row r="19" spans="1:22">
      <c r="A19" s="1" t="s">
        <v>32</v>
      </c>
      <c r="B19" s="6">
        <v>17820.804736599675</v>
      </c>
      <c r="C19" s="1">
        <v>166071.67920621857</v>
      </c>
      <c r="D19" s="1">
        <v>0</v>
      </c>
      <c r="E19" s="1">
        <v>0</v>
      </c>
      <c r="F19" s="1">
        <v>0</v>
      </c>
      <c r="G19" s="9">
        <f>SUM(IL_FINANCIAL)</f>
        <v>183892.48394281825</v>
      </c>
      <c r="I19" s="13" t="s">
        <v>33</v>
      </c>
      <c r="J19" s="16">
        <v>0</v>
      </c>
      <c r="L19" s="6">
        <v>500000</v>
      </c>
      <c r="M19" s="1">
        <v>150000</v>
      </c>
      <c r="O19" s="1">
        <v>2300000</v>
      </c>
      <c r="P19" s="1">
        <v>1300000</v>
      </c>
      <c r="R19" s="1">
        <v>0</v>
      </c>
      <c r="S19" s="1">
        <v>0</v>
      </c>
      <c r="U19" s="1">
        <v>0</v>
      </c>
      <c r="V19" s="9">
        <v>0</v>
      </c>
    </row>
    <row r="20" spans="1:22">
      <c r="A20" s="1" t="s">
        <v>34</v>
      </c>
      <c r="B20" s="6">
        <v>0</v>
      </c>
      <c r="C20" s="1">
        <v>0</v>
      </c>
      <c r="D20" s="1">
        <v>0</v>
      </c>
      <c r="E20" s="1">
        <v>0</v>
      </c>
      <c r="F20" s="1">
        <v>0</v>
      </c>
      <c r="G20" s="9">
        <f>SUM(IN_FINANCIAL)</f>
        <v>0</v>
      </c>
      <c r="I20" s="13" t="s">
        <v>35</v>
      </c>
      <c r="J20" s="16">
        <v>-5957549.9999999991</v>
      </c>
      <c r="L20" s="6"/>
      <c r="V20" s="9"/>
    </row>
    <row r="21" spans="1:22">
      <c r="A21" s="1" t="s">
        <v>36</v>
      </c>
      <c r="B21" s="6">
        <v>0</v>
      </c>
      <c r="C21" s="1">
        <v>0</v>
      </c>
      <c r="D21" s="1">
        <v>0</v>
      </c>
      <c r="E21" s="1">
        <v>0</v>
      </c>
      <c r="F21" s="1">
        <v>0</v>
      </c>
      <c r="G21" s="9">
        <f>SUM(IA_FINANCIAL)</f>
        <v>0</v>
      </c>
      <c r="I21" s="13" t="s">
        <v>37</v>
      </c>
      <c r="J21" s="16"/>
      <c r="L21" s="6"/>
      <c r="V21" s="9"/>
    </row>
    <row r="22" spans="1:22">
      <c r="A22" s="1" t="s">
        <v>38</v>
      </c>
      <c r="B22" s="6">
        <v>6472.7435066686012</v>
      </c>
      <c r="C22" s="1">
        <v>72666.709955920931</v>
      </c>
      <c r="D22" s="1">
        <v>0</v>
      </c>
      <c r="E22" s="1">
        <v>0</v>
      </c>
      <c r="F22" s="1">
        <v>0</v>
      </c>
      <c r="G22" s="9">
        <f>SUM(KS_FINANCIAL)</f>
        <v>79139.453462589532</v>
      </c>
      <c r="I22" s="13" t="s">
        <v>39</v>
      </c>
      <c r="J22" s="16">
        <v>20181741</v>
      </c>
      <c r="L22" s="6"/>
      <c r="V22" s="9"/>
    </row>
    <row r="23" spans="1:22">
      <c r="A23" s="1" t="s">
        <v>40</v>
      </c>
      <c r="B23" s="6">
        <v>5861.6913727293722</v>
      </c>
      <c r="C23" s="1">
        <v>32895.31327969546</v>
      </c>
      <c r="D23" s="1">
        <v>0</v>
      </c>
      <c r="E23" s="1">
        <v>0</v>
      </c>
      <c r="F23" s="1">
        <v>0</v>
      </c>
      <c r="G23" s="9">
        <f>SUM(KY_FINANCIAL)</f>
        <v>38757.004652424832</v>
      </c>
      <c r="I23" s="13" t="s">
        <v>41</v>
      </c>
      <c r="J23" s="16"/>
      <c r="L23" s="6">
        <v>525000</v>
      </c>
      <c r="M23" s="1">
        <v>0</v>
      </c>
      <c r="O23" s="1">
        <v>15000</v>
      </c>
      <c r="P23" s="1">
        <v>0</v>
      </c>
      <c r="R23" s="1">
        <v>0</v>
      </c>
      <c r="S23" s="1">
        <v>0</v>
      </c>
      <c r="U23" s="1">
        <v>0</v>
      </c>
      <c r="V23" s="9">
        <v>0</v>
      </c>
    </row>
    <row r="24" spans="1:22">
      <c r="A24" s="1" t="s">
        <v>42</v>
      </c>
      <c r="B24" s="6">
        <v>12699.319541319972</v>
      </c>
      <c r="C24" s="1">
        <v>81248.703534869244</v>
      </c>
      <c r="D24" s="1">
        <v>0</v>
      </c>
      <c r="E24" s="1">
        <v>0</v>
      </c>
      <c r="F24" s="1">
        <v>0</v>
      </c>
      <c r="G24" s="9">
        <f>SUM(LA_FINANCIAL)</f>
        <v>93948.023076189216</v>
      </c>
      <c r="I24" s="13" t="s">
        <v>43</v>
      </c>
      <c r="J24" s="16">
        <v>71252590.209999993</v>
      </c>
      <c r="L24" s="6">
        <v>743240</v>
      </c>
      <c r="M24" s="1">
        <v>0</v>
      </c>
      <c r="O24" s="1">
        <v>2760</v>
      </c>
      <c r="P24" s="1">
        <v>0</v>
      </c>
      <c r="R24" s="1">
        <v>0</v>
      </c>
      <c r="S24" s="1">
        <v>0</v>
      </c>
      <c r="U24" s="1">
        <v>0</v>
      </c>
      <c r="V24" s="9">
        <v>0</v>
      </c>
    </row>
    <row r="25" spans="1:22">
      <c r="A25" s="1" t="s">
        <v>44</v>
      </c>
      <c r="B25" s="6">
        <v>0</v>
      </c>
      <c r="C25" s="1">
        <v>0</v>
      </c>
      <c r="D25" s="1">
        <v>0</v>
      </c>
      <c r="E25" s="1">
        <v>0</v>
      </c>
      <c r="F25" s="1">
        <v>0</v>
      </c>
      <c r="G25" s="9">
        <f>SUM(ME_FINANCIAL)</f>
        <v>0</v>
      </c>
      <c r="I25" s="13"/>
      <c r="J25" s="16"/>
      <c r="L25" s="6"/>
      <c r="V25" s="9"/>
    </row>
    <row r="26" spans="1:22">
      <c r="A26" s="1" t="s">
        <v>45</v>
      </c>
      <c r="B26" s="6">
        <v>22766.076258009591</v>
      </c>
      <c r="C26" s="1">
        <v>138037.92715629446</v>
      </c>
      <c r="D26" s="1">
        <v>0</v>
      </c>
      <c r="E26" s="1">
        <v>0</v>
      </c>
      <c r="F26" s="1">
        <v>0</v>
      </c>
      <c r="G26" s="9">
        <f>SUM(MD_FINANCIAL)</f>
        <v>160804.00341430405</v>
      </c>
      <c r="I26" s="13" t="s">
        <v>46</v>
      </c>
      <c r="J26" s="16">
        <f>SUM(ADD_FINANCIAL)-SUM(LESS_FINANCIAL)</f>
        <v>4669973.520296365</v>
      </c>
      <c r="L26" s="6">
        <v>1666605</v>
      </c>
      <c r="M26" s="1">
        <v>0</v>
      </c>
      <c r="O26" s="1">
        <v>365840</v>
      </c>
      <c r="P26" s="1">
        <v>0</v>
      </c>
      <c r="R26" s="1">
        <v>0</v>
      </c>
      <c r="S26" s="1">
        <v>0</v>
      </c>
      <c r="U26" s="1">
        <v>0</v>
      </c>
      <c r="V26" s="9">
        <v>0</v>
      </c>
    </row>
    <row r="27" spans="1:22">
      <c r="A27" s="1" t="s">
        <v>47</v>
      </c>
      <c r="B27" s="6">
        <v>0</v>
      </c>
      <c r="C27" s="1">
        <v>0</v>
      </c>
      <c r="D27" s="1">
        <v>0</v>
      </c>
      <c r="E27" s="1">
        <v>0</v>
      </c>
      <c r="F27" s="1">
        <v>0</v>
      </c>
      <c r="G27" s="9">
        <f>SUM(MA_FINANCIAL)</f>
        <v>0</v>
      </c>
      <c r="I27" s="13" t="s">
        <v>48</v>
      </c>
      <c r="J27" s="16">
        <f>SUM(ALL_BLOCKS)</f>
        <v>4669973.5202963641</v>
      </c>
      <c r="L27" s="6"/>
      <c r="V27" s="9"/>
    </row>
    <row r="28" spans="1:22">
      <c r="A28" s="1" t="s">
        <v>49</v>
      </c>
      <c r="B28" s="6">
        <v>14419.464044781518</v>
      </c>
      <c r="C28" s="1">
        <v>110489.2554233761</v>
      </c>
      <c r="D28" s="1">
        <v>0</v>
      </c>
      <c r="E28" s="1">
        <v>0</v>
      </c>
      <c r="F28" s="1">
        <v>0</v>
      </c>
      <c r="G28" s="9">
        <f>SUM(MI_FINANCIAL)</f>
        <v>124908.71946815762</v>
      </c>
      <c r="I28" s="14"/>
      <c r="J28" s="17"/>
      <c r="L28" s="6"/>
      <c r="V28" s="9"/>
    </row>
    <row r="29" spans="1:22">
      <c r="A29" s="1" t="s">
        <v>50</v>
      </c>
      <c r="B29" s="6">
        <v>0</v>
      </c>
      <c r="C29" s="1">
        <v>0</v>
      </c>
      <c r="D29" s="1">
        <v>0</v>
      </c>
      <c r="E29" s="1">
        <v>0</v>
      </c>
      <c r="F29" s="1">
        <v>0</v>
      </c>
      <c r="G29" s="9">
        <f>SUM(MN_FINANCIAL)</f>
        <v>0</v>
      </c>
      <c r="L29" s="6"/>
      <c r="V29" s="9"/>
    </row>
    <row r="30" spans="1:22">
      <c r="A30" s="1" t="s">
        <v>51</v>
      </c>
      <c r="B30" s="6">
        <v>66069.315828727093</v>
      </c>
      <c r="C30" s="1">
        <v>425425.0672523398</v>
      </c>
      <c r="D30" s="1">
        <v>0</v>
      </c>
      <c r="E30" s="1">
        <v>0</v>
      </c>
      <c r="F30" s="1">
        <v>0</v>
      </c>
      <c r="G30" s="9">
        <f>SUM(MS_FINANCIAL)</f>
        <v>491494.38308106689</v>
      </c>
      <c r="L30" s="6"/>
      <c r="V30" s="9"/>
    </row>
    <row r="31" spans="1:22">
      <c r="A31" s="1" t="s">
        <v>52</v>
      </c>
      <c r="B31" s="6">
        <v>16486.324541422538</v>
      </c>
      <c r="C31" s="1">
        <v>223667.26426619152</v>
      </c>
      <c r="D31" s="1">
        <v>0</v>
      </c>
      <c r="E31" s="1">
        <v>0</v>
      </c>
      <c r="F31" s="1">
        <v>0</v>
      </c>
      <c r="G31" s="9">
        <f>SUM(MO_FINANCIAL)</f>
        <v>240153.58880761405</v>
      </c>
      <c r="L31" s="6"/>
      <c r="V31" s="9"/>
    </row>
    <row r="32" spans="1:22">
      <c r="A32" s="1" t="s">
        <v>53</v>
      </c>
      <c r="B32" s="6">
        <v>0</v>
      </c>
      <c r="C32" s="1">
        <v>0</v>
      </c>
      <c r="D32" s="1">
        <v>0</v>
      </c>
      <c r="E32" s="1">
        <v>0</v>
      </c>
      <c r="F32" s="1">
        <v>0</v>
      </c>
      <c r="G32" s="9">
        <f>SUM(MT_FINANCIAL)</f>
        <v>0</v>
      </c>
      <c r="L32" s="6"/>
      <c r="V32" s="9"/>
    </row>
    <row r="33" spans="1:22">
      <c r="A33" s="1" t="s">
        <v>54</v>
      </c>
      <c r="B33" s="6">
        <v>2529.5323684520408</v>
      </c>
      <c r="C33" s="1">
        <v>15808.875060608581</v>
      </c>
      <c r="D33" s="1">
        <v>0</v>
      </c>
      <c r="E33" s="1">
        <v>0</v>
      </c>
      <c r="F33" s="1">
        <v>0</v>
      </c>
      <c r="G33" s="9">
        <f>SUM(NE_FINANCIAL)</f>
        <v>18338.407429060622</v>
      </c>
      <c r="L33" s="6"/>
      <c r="V33" s="9"/>
    </row>
    <row r="34" spans="1:22">
      <c r="A34" s="1" t="s">
        <v>55</v>
      </c>
      <c r="B34" s="6">
        <v>1386.6700254525422</v>
      </c>
      <c r="C34" s="1">
        <v>18544.349128430302</v>
      </c>
      <c r="D34" s="1">
        <v>0</v>
      </c>
      <c r="E34" s="1">
        <v>0</v>
      </c>
      <c r="F34" s="1">
        <v>0</v>
      </c>
      <c r="G34" s="9">
        <f>SUM(NV_FINANCIAL)</f>
        <v>19931.019153882844</v>
      </c>
      <c r="L34" s="6">
        <v>235000</v>
      </c>
      <c r="M34" s="1">
        <v>0</v>
      </c>
      <c r="O34" s="1">
        <v>111000</v>
      </c>
      <c r="P34" s="1">
        <v>0</v>
      </c>
      <c r="R34" s="1">
        <v>0</v>
      </c>
      <c r="S34" s="1">
        <v>0</v>
      </c>
      <c r="U34" s="1">
        <v>0</v>
      </c>
      <c r="V34" s="9">
        <v>0</v>
      </c>
    </row>
    <row r="35" spans="1:22">
      <c r="A35" s="1" t="s">
        <v>56</v>
      </c>
      <c r="B35" s="6">
        <v>0</v>
      </c>
      <c r="C35" s="1">
        <v>0</v>
      </c>
      <c r="D35" s="1">
        <v>0</v>
      </c>
      <c r="E35" s="1">
        <v>0</v>
      </c>
      <c r="F35" s="1">
        <v>0</v>
      </c>
      <c r="G35" s="9">
        <f>SUM(NH_FINANCIAL)</f>
        <v>0</v>
      </c>
      <c r="L35" s="6"/>
      <c r="V35" s="9"/>
    </row>
    <row r="36" spans="1:22">
      <c r="A36" s="1" t="s">
        <v>57</v>
      </c>
      <c r="B36" s="6">
        <v>0</v>
      </c>
      <c r="C36" s="1">
        <v>0</v>
      </c>
      <c r="D36" s="1">
        <v>0</v>
      </c>
      <c r="E36" s="1">
        <v>0</v>
      </c>
      <c r="F36" s="1">
        <v>0</v>
      </c>
      <c r="G36" s="9">
        <f>SUM(NJ_FINANCIAL)</f>
        <v>0</v>
      </c>
      <c r="L36" s="6"/>
      <c r="V36" s="9"/>
    </row>
    <row r="37" spans="1:22">
      <c r="A37" s="1" t="s">
        <v>58</v>
      </c>
      <c r="B37" s="6">
        <v>2847.7866860277572</v>
      </c>
      <c r="C37" s="1">
        <v>18899.982779724</v>
      </c>
      <c r="D37" s="1">
        <v>0</v>
      </c>
      <c r="E37" s="1">
        <v>0</v>
      </c>
      <c r="F37" s="1">
        <v>0</v>
      </c>
      <c r="G37" s="9">
        <f>SUM(NM_FINANCIAL)</f>
        <v>21747.769465751757</v>
      </c>
      <c r="L37" s="6">
        <v>64817</v>
      </c>
      <c r="M37" s="1">
        <v>0</v>
      </c>
      <c r="O37" s="1">
        <v>239890</v>
      </c>
      <c r="P37" s="1">
        <v>0</v>
      </c>
      <c r="R37" s="1">
        <v>0</v>
      </c>
      <c r="S37" s="1">
        <v>0</v>
      </c>
      <c r="U37" s="1">
        <v>0</v>
      </c>
      <c r="V37" s="9">
        <v>0</v>
      </c>
    </row>
    <row r="38" spans="1:22">
      <c r="A38" s="1" t="s">
        <v>59</v>
      </c>
      <c r="B38" s="6">
        <v>0</v>
      </c>
      <c r="C38" s="1">
        <v>0</v>
      </c>
      <c r="D38" s="1">
        <v>0</v>
      </c>
      <c r="E38" s="1">
        <v>0</v>
      </c>
      <c r="F38" s="1">
        <v>0</v>
      </c>
      <c r="G38" s="9">
        <f>SUM(NY_FINANCIAL)</f>
        <v>0</v>
      </c>
      <c r="L38" s="6"/>
      <c r="V38" s="9"/>
    </row>
    <row r="39" spans="1:22">
      <c r="A39" s="1" t="s">
        <v>60</v>
      </c>
      <c r="B39" s="6">
        <v>28893.525853674859</v>
      </c>
      <c r="C39" s="1">
        <v>304491.29542949982</v>
      </c>
      <c r="D39" s="1">
        <v>0</v>
      </c>
      <c r="E39" s="1">
        <v>0</v>
      </c>
      <c r="F39" s="1">
        <v>0</v>
      </c>
      <c r="G39" s="9">
        <f>SUM(NC_FINANCIAL)</f>
        <v>333384.82128317468</v>
      </c>
      <c r="L39" s="6">
        <v>1029000</v>
      </c>
      <c r="M39" s="1">
        <v>855000</v>
      </c>
      <c r="O39" s="1">
        <v>3871000</v>
      </c>
      <c r="P39" s="1">
        <v>3215000</v>
      </c>
      <c r="R39" s="1">
        <v>0</v>
      </c>
      <c r="S39" s="1">
        <v>0</v>
      </c>
      <c r="U39" s="1">
        <v>0</v>
      </c>
      <c r="V39" s="9">
        <v>0</v>
      </c>
    </row>
    <row r="40" spans="1:22">
      <c r="A40" s="1" t="s">
        <v>61</v>
      </c>
      <c r="B40" s="6">
        <v>0</v>
      </c>
      <c r="C40" s="1">
        <v>0</v>
      </c>
      <c r="D40" s="1">
        <v>0</v>
      </c>
      <c r="E40" s="1">
        <v>0</v>
      </c>
      <c r="F40" s="1">
        <v>0</v>
      </c>
      <c r="G40" s="9">
        <f>SUM(ND_FINANCIAL)</f>
        <v>0</v>
      </c>
      <c r="L40" s="6"/>
      <c r="V40" s="9"/>
    </row>
    <row r="41" spans="1:22">
      <c r="A41" s="1" t="s">
        <v>62</v>
      </c>
      <c r="B41" s="6">
        <v>9539.1038642450003</v>
      </c>
      <c r="C41" s="1">
        <v>37964.964353029965</v>
      </c>
      <c r="D41" s="1">
        <v>0</v>
      </c>
      <c r="E41" s="1">
        <v>0</v>
      </c>
      <c r="F41" s="1">
        <v>0</v>
      </c>
      <c r="G41" s="9">
        <f>SUM(OH_FINANCIAL)</f>
        <v>47504.068217274966</v>
      </c>
      <c r="L41" s="6"/>
      <c r="V41" s="9"/>
    </row>
    <row r="42" spans="1:22">
      <c r="A42" s="1" t="s">
        <v>63</v>
      </c>
      <c r="B42" s="6">
        <v>6464.0653201862297</v>
      </c>
      <c r="C42" s="1">
        <v>50485.257106897887</v>
      </c>
      <c r="D42" s="1">
        <v>0</v>
      </c>
      <c r="E42" s="1">
        <v>0</v>
      </c>
      <c r="F42" s="1">
        <v>0</v>
      </c>
      <c r="G42" s="9">
        <f>SUM(OK_FINANCIAL)</f>
        <v>56949.322427084116</v>
      </c>
      <c r="L42" s="6">
        <v>1980000</v>
      </c>
      <c r="M42" s="1">
        <v>1445000</v>
      </c>
      <c r="O42" s="1">
        <v>20000</v>
      </c>
      <c r="P42" s="1">
        <v>107500</v>
      </c>
      <c r="R42" s="1">
        <v>0</v>
      </c>
      <c r="S42" s="1">
        <v>0</v>
      </c>
      <c r="U42" s="1">
        <v>0</v>
      </c>
      <c r="V42" s="9">
        <v>0</v>
      </c>
    </row>
    <row r="43" spans="1:22">
      <c r="A43" s="1" t="s">
        <v>64</v>
      </c>
      <c r="B43" s="6">
        <v>2884.7261059137454</v>
      </c>
      <c r="C43" s="1">
        <v>21431.482126224262</v>
      </c>
      <c r="D43" s="1">
        <v>0</v>
      </c>
      <c r="E43" s="1">
        <v>0</v>
      </c>
      <c r="F43" s="1">
        <v>0</v>
      </c>
      <c r="G43" s="9">
        <f>SUM(OR_FINANCIAL)</f>
        <v>24316.208232138008</v>
      </c>
      <c r="L43" s="6"/>
      <c r="V43" s="9"/>
    </row>
    <row r="44" spans="1:22">
      <c r="A44" s="1" t="s">
        <v>65</v>
      </c>
      <c r="B44" s="6">
        <v>0</v>
      </c>
      <c r="C44" s="1">
        <v>0</v>
      </c>
      <c r="D44" s="1">
        <v>0</v>
      </c>
      <c r="E44" s="1">
        <v>0</v>
      </c>
      <c r="F44" s="1">
        <v>0</v>
      </c>
      <c r="G44" s="9">
        <f>SUM(PA_FINANCIAL)</f>
        <v>0</v>
      </c>
      <c r="L44" s="6"/>
      <c r="V44" s="9"/>
    </row>
    <row r="45" spans="1:22">
      <c r="A45" s="1" t="s">
        <v>66</v>
      </c>
      <c r="B45" s="6">
        <v>0</v>
      </c>
      <c r="C45" s="1">
        <v>0</v>
      </c>
      <c r="D45" s="1">
        <v>0</v>
      </c>
      <c r="E45" s="1">
        <v>0</v>
      </c>
      <c r="F45" s="1">
        <v>0</v>
      </c>
      <c r="G45" s="9">
        <f>SUM(PR_FINANCIAL)</f>
        <v>0</v>
      </c>
      <c r="L45" s="6"/>
      <c r="V45" s="9"/>
    </row>
    <row r="46" spans="1:22">
      <c r="A46" s="1" t="s">
        <v>67</v>
      </c>
      <c r="B46" s="6">
        <v>0</v>
      </c>
      <c r="C46" s="1">
        <v>0</v>
      </c>
      <c r="D46" s="1">
        <v>0</v>
      </c>
      <c r="E46" s="1">
        <v>0</v>
      </c>
      <c r="F46" s="1">
        <v>0</v>
      </c>
      <c r="G46" s="9">
        <f>SUM(RI_FINANCIAL)</f>
        <v>0</v>
      </c>
      <c r="L46" s="6"/>
      <c r="V46" s="9"/>
    </row>
    <row r="47" spans="1:22">
      <c r="A47" s="1" t="s">
        <v>68</v>
      </c>
      <c r="B47" s="6">
        <v>13901.298634756007</v>
      </c>
      <c r="C47" s="1">
        <v>110517.90995484241</v>
      </c>
      <c r="D47" s="1">
        <v>0</v>
      </c>
      <c r="E47" s="1">
        <v>0</v>
      </c>
      <c r="F47" s="1">
        <v>0</v>
      </c>
      <c r="G47" s="9">
        <f>SUM(SC_FINANCIAL)</f>
        <v>124419.20858959842</v>
      </c>
      <c r="L47" s="6">
        <v>275000</v>
      </c>
      <c r="M47" s="1">
        <v>0</v>
      </c>
      <c r="O47" s="1">
        <v>1925000</v>
      </c>
      <c r="P47" s="1">
        <v>0</v>
      </c>
      <c r="R47" s="1">
        <v>0</v>
      </c>
      <c r="S47" s="1">
        <v>0</v>
      </c>
      <c r="U47" s="1">
        <v>0</v>
      </c>
      <c r="V47" s="9">
        <v>0</v>
      </c>
    </row>
    <row r="48" spans="1:22">
      <c r="A48" s="1" t="s">
        <v>69</v>
      </c>
      <c r="B48" s="6">
        <v>0</v>
      </c>
      <c r="C48" s="1">
        <v>0</v>
      </c>
      <c r="D48" s="1">
        <v>0</v>
      </c>
      <c r="E48" s="1">
        <v>0</v>
      </c>
      <c r="F48" s="1">
        <v>0</v>
      </c>
      <c r="G48" s="9">
        <f>SUM(SD_FINANCIAL)</f>
        <v>0</v>
      </c>
      <c r="L48" s="6"/>
      <c r="V48" s="9"/>
    </row>
    <row r="49" spans="1:22">
      <c r="A49" s="1" t="s">
        <v>70</v>
      </c>
      <c r="B49" s="6">
        <v>9644.2242899825214</v>
      </c>
      <c r="C49" s="1">
        <v>108943.15534053161</v>
      </c>
      <c r="D49" s="1">
        <v>0</v>
      </c>
      <c r="E49" s="1">
        <v>0</v>
      </c>
      <c r="F49" s="1">
        <v>0</v>
      </c>
      <c r="G49" s="9">
        <f>SUM(TN_FINANCIAL)</f>
        <v>118587.37963051413</v>
      </c>
      <c r="L49" s="6"/>
      <c r="V49" s="9"/>
    </row>
    <row r="50" spans="1:22">
      <c r="A50" s="1" t="s">
        <v>71</v>
      </c>
      <c r="B50" s="6">
        <v>46067.648182783276</v>
      </c>
      <c r="C50" s="1">
        <v>512934.24669865333</v>
      </c>
      <c r="D50" s="1">
        <v>0</v>
      </c>
      <c r="E50" s="1">
        <v>0</v>
      </c>
      <c r="F50" s="1">
        <v>0</v>
      </c>
      <c r="G50" s="9">
        <f>SUM(TX_FINANCIAL)</f>
        <v>559001.8948814366</v>
      </c>
      <c r="L50" s="6">
        <v>7101306</v>
      </c>
      <c r="M50" s="1">
        <v>4000000</v>
      </c>
      <c r="O50" s="1">
        <v>0</v>
      </c>
      <c r="P50" s="1">
        <v>0</v>
      </c>
      <c r="R50" s="1">
        <v>0</v>
      </c>
      <c r="S50" s="1">
        <v>0</v>
      </c>
      <c r="U50" s="1">
        <v>0</v>
      </c>
      <c r="V50" s="9">
        <v>0</v>
      </c>
    </row>
    <row r="51" spans="1:22">
      <c r="A51" s="1" t="s">
        <v>72</v>
      </c>
      <c r="B51" s="6">
        <v>1846.5229149733314</v>
      </c>
      <c r="C51" s="1">
        <v>9544.3816007187124</v>
      </c>
      <c r="D51" s="1">
        <v>0</v>
      </c>
      <c r="E51" s="1">
        <v>0</v>
      </c>
      <c r="F51" s="1">
        <v>0</v>
      </c>
      <c r="G51" s="9">
        <f>SUM(UT_FINANCIAL)</f>
        <v>11390.904515692044</v>
      </c>
      <c r="L51" s="6">
        <v>78950</v>
      </c>
      <c r="M51" s="1">
        <v>0</v>
      </c>
      <c r="O51" s="1">
        <v>136050</v>
      </c>
      <c r="P51" s="1">
        <v>0</v>
      </c>
      <c r="R51" s="1">
        <v>0</v>
      </c>
      <c r="S51" s="1">
        <v>0</v>
      </c>
      <c r="U51" s="1">
        <v>0</v>
      </c>
      <c r="V51" s="9">
        <v>0</v>
      </c>
    </row>
    <row r="52" spans="1:22">
      <c r="A52" s="1" t="s">
        <v>73</v>
      </c>
      <c r="B52" s="6">
        <v>0</v>
      </c>
      <c r="C52" s="1">
        <v>0</v>
      </c>
      <c r="D52" s="1">
        <v>0</v>
      </c>
      <c r="E52" s="1">
        <v>0</v>
      </c>
      <c r="F52" s="1">
        <v>0</v>
      </c>
      <c r="G52" s="9">
        <f>SUM(VT_FINANCIAL)</f>
        <v>0</v>
      </c>
      <c r="L52" s="6"/>
      <c r="V52" s="9"/>
    </row>
    <row r="53" spans="1:22">
      <c r="A53" s="1" t="s">
        <v>74</v>
      </c>
      <c r="B53" s="6">
        <v>28083.547269983741</v>
      </c>
      <c r="C53" s="1">
        <v>212277.61859031348</v>
      </c>
      <c r="D53" s="1">
        <v>0</v>
      </c>
      <c r="E53" s="1">
        <v>0</v>
      </c>
      <c r="F53" s="1">
        <v>0</v>
      </c>
      <c r="G53" s="9">
        <f>SUM(VA_FINANCIAL)</f>
        <v>240361.16586029722</v>
      </c>
      <c r="L53" s="6">
        <v>595000</v>
      </c>
      <c r="M53" s="1">
        <v>0</v>
      </c>
      <c r="O53" s="1">
        <v>3125000</v>
      </c>
      <c r="P53" s="1">
        <v>0</v>
      </c>
      <c r="R53" s="1">
        <v>0</v>
      </c>
      <c r="S53" s="1">
        <v>0</v>
      </c>
      <c r="U53" s="1">
        <v>0</v>
      </c>
      <c r="V53" s="9">
        <v>0</v>
      </c>
    </row>
    <row r="54" spans="1:22">
      <c r="A54" s="1" t="s">
        <v>75</v>
      </c>
      <c r="B54" s="6">
        <v>4397.6050432067132</v>
      </c>
      <c r="C54" s="1">
        <v>39219.400321971625</v>
      </c>
      <c r="D54" s="1">
        <v>0</v>
      </c>
      <c r="E54" s="1">
        <v>0</v>
      </c>
      <c r="F54" s="1">
        <v>0</v>
      </c>
      <c r="G54" s="9">
        <f>SUM(WA_FINANCIAL)</f>
        <v>43617.005365178338</v>
      </c>
      <c r="L54" s="6">
        <v>936000</v>
      </c>
      <c r="M54" s="1">
        <v>0</v>
      </c>
      <c r="O54" s="1">
        <v>0</v>
      </c>
      <c r="P54" s="1">
        <v>0</v>
      </c>
      <c r="R54" s="1">
        <v>0</v>
      </c>
      <c r="S54" s="1">
        <v>0</v>
      </c>
      <c r="U54" s="1">
        <v>0</v>
      </c>
      <c r="V54" s="9">
        <v>0</v>
      </c>
    </row>
    <row r="55" spans="1:22">
      <c r="A55" s="1" t="s">
        <v>76</v>
      </c>
      <c r="B55" s="6">
        <v>0</v>
      </c>
      <c r="C55" s="1">
        <v>0</v>
      </c>
      <c r="D55" s="1">
        <v>0</v>
      </c>
      <c r="E55" s="1">
        <v>0</v>
      </c>
      <c r="F55" s="1">
        <v>0</v>
      </c>
      <c r="G55" s="9">
        <f>SUM(WV_FINANCIAL)</f>
        <v>0</v>
      </c>
      <c r="L55" s="6"/>
      <c r="V55" s="9"/>
    </row>
    <row r="56" spans="1:22">
      <c r="A56" s="1" t="s">
        <v>77</v>
      </c>
      <c r="B56" s="6">
        <v>0</v>
      </c>
      <c r="C56" s="1">
        <v>0</v>
      </c>
      <c r="D56" s="1">
        <v>0</v>
      </c>
      <c r="E56" s="1">
        <v>0</v>
      </c>
      <c r="F56" s="1">
        <v>0</v>
      </c>
      <c r="G56" s="9">
        <f>SUM(WI_FINANCIAL)</f>
        <v>0</v>
      </c>
      <c r="L56" s="6"/>
      <c r="V56" s="9"/>
    </row>
    <row r="57" spans="1:22">
      <c r="A57" s="1" t="s">
        <v>78</v>
      </c>
      <c r="B57" s="6">
        <v>0</v>
      </c>
      <c r="C57" s="1">
        <v>0</v>
      </c>
      <c r="D57" s="1">
        <v>0</v>
      </c>
      <c r="E57" s="1">
        <v>0</v>
      </c>
      <c r="F57" s="1">
        <v>0</v>
      </c>
      <c r="G57" s="9">
        <f>SUM(WY_FINANCIAL)</f>
        <v>0</v>
      </c>
      <c r="L57" s="6"/>
      <c r="V57" s="9"/>
    </row>
    <row r="58" spans="1:22">
      <c r="A58" s="1" t="s">
        <v>79</v>
      </c>
      <c r="B58" s="6">
        <v>0</v>
      </c>
      <c r="C58" s="1">
        <v>0</v>
      </c>
      <c r="D58" s="1">
        <v>0</v>
      </c>
      <c r="E58" s="1">
        <v>0</v>
      </c>
      <c r="F58" s="1">
        <v>0</v>
      </c>
      <c r="G58" s="9">
        <f>SUM(OT_FINANCIAL)</f>
        <v>0</v>
      </c>
      <c r="L58" s="6"/>
      <c r="V58" s="9"/>
    </row>
    <row r="59" spans="1:22">
      <c r="B59" s="6"/>
      <c r="G59" s="9"/>
      <c r="L59" s="6"/>
      <c r="V59" s="9"/>
    </row>
    <row r="60" spans="1:22">
      <c r="A60" s="1" t="s">
        <v>8</v>
      </c>
      <c r="B60" s="6">
        <f>SUM(LIFE)</f>
        <v>471125.83664370805</v>
      </c>
      <c r="C60" s="1">
        <f>SUM(ALLOCATED)</f>
        <v>4198847.6836526562</v>
      </c>
      <c r="D60" s="1">
        <f>SUM(HEALTH)</f>
        <v>0</v>
      </c>
      <c r="E60" s="1">
        <f>SUM(UNALLOCATED)</f>
        <v>0</v>
      </c>
      <c r="F60" s="1">
        <f>SUM(LTC)</f>
        <v>0</v>
      </c>
      <c r="G60" s="9">
        <f>SUM(ALL_BLOCKS)</f>
        <v>4669973.5202963641</v>
      </c>
      <c r="L60" s="6">
        <f>SUM(LIFE_CALLED)</f>
        <v>18270153</v>
      </c>
      <c r="M60" s="1">
        <f>SUM(LIFE_REFUNDED)</f>
        <v>6524219</v>
      </c>
      <c r="O60" s="1">
        <f>SUM(ALLOC_CALLED)</f>
        <v>18925424</v>
      </c>
      <c r="P60" s="1">
        <f>SUM(ALLOC_REFUNDED)</f>
        <v>5020281</v>
      </c>
      <c r="R60" s="1">
        <f>SUM(HEALTH_CALLED)</f>
        <v>0</v>
      </c>
      <c r="S60" s="1">
        <f>SUM(HEALTH_REFUNDED)</f>
        <v>400000</v>
      </c>
      <c r="U60" s="1">
        <f>SUM(UNALLOC_CALLED)</f>
        <v>0</v>
      </c>
      <c r="V60" s="9">
        <f>SUM(UNALLOC_REFUNDED)</f>
        <v>0</v>
      </c>
    </row>
    <row r="61" spans="1:22" ht="5.0999999999999996" customHeight="1">
      <c r="B61" s="6"/>
      <c r="G61" s="9"/>
      <c r="L61" s="6"/>
      <c r="V61" s="9"/>
    </row>
    <row r="62" spans="1:22">
      <c r="B62" s="6"/>
      <c r="G62" s="9"/>
      <c r="L62" s="78" t="s">
        <v>80</v>
      </c>
      <c r="M62" s="79"/>
      <c r="N62" s="79"/>
      <c r="O62" s="79"/>
      <c r="P62" s="79"/>
      <c r="Q62" s="79"/>
      <c r="R62" s="79"/>
      <c r="S62" s="79"/>
      <c r="T62" s="79"/>
      <c r="U62" s="79"/>
      <c r="V62" s="80"/>
    </row>
    <row r="63" spans="1:22">
      <c r="B63" s="6"/>
      <c r="G63" s="9"/>
      <c r="L63" s="81"/>
      <c r="M63" s="79"/>
      <c r="N63" s="79"/>
      <c r="O63" s="79"/>
      <c r="P63" s="79"/>
      <c r="Q63" s="79"/>
      <c r="R63" s="79"/>
      <c r="S63" s="79"/>
      <c r="T63" s="79"/>
      <c r="U63" s="79"/>
      <c r="V63" s="80"/>
    </row>
    <row r="64" spans="1:22">
      <c r="B64" s="8"/>
      <c r="C64" s="5"/>
      <c r="D64" s="5"/>
      <c r="E64" s="5"/>
      <c r="F64" s="5"/>
      <c r="G64" s="11"/>
      <c r="L64" s="82"/>
      <c r="M64" s="83"/>
      <c r="N64" s="83"/>
      <c r="O64" s="83"/>
      <c r="P64" s="83"/>
      <c r="Q64" s="83"/>
      <c r="R64" s="83"/>
      <c r="S64" s="83"/>
      <c r="T64" s="83"/>
      <c r="U64" s="83"/>
      <c r="V64" s="84"/>
    </row>
  </sheetData>
  <mergeCells count="8">
    <mergeCell ref="L62:V64"/>
    <mergeCell ref="A1:G1"/>
    <mergeCell ref="B3:G3"/>
    <mergeCell ref="L3:V3"/>
    <mergeCell ref="L4:M4"/>
    <mergeCell ref="O4:P4"/>
    <mergeCell ref="R4:S4"/>
    <mergeCell ref="U4:V4"/>
  </mergeCells>
  <pageMargins left="0" right="0" top="0" bottom="0" header="0" footer="0"/>
  <pageSetup scale="48"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V64"/>
  <sheetViews>
    <sheetView zoomScale="75" workbookViewId="0">
      <selection sqref="A1:G1"/>
    </sheetView>
  </sheetViews>
  <sheetFormatPr defaultColWidth="9.109375" defaultRowHeight="14.4"/>
  <cols>
    <col min="1" max="1" width="20" style="1" customWidth="1"/>
    <col min="2" max="7" width="15" style="1" customWidth="1"/>
    <col min="8" max="8" width="1" style="1" customWidth="1"/>
    <col min="9" max="9" width="30" style="1" customWidth="1"/>
    <col min="10" max="10" width="15" style="1" customWidth="1"/>
    <col min="11" max="11" width="1" style="1" customWidth="1"/>
    <col min="12" max="13" width="15" style="1" customWidth="1"/>
    <col min="14" max="14" width="1" style="1" customWidth="1"/>
    <col min="15" max="16" width="15" style="1" customWidth="1"/>
    <col min="17" max="17" width="1" style="1" customWidth="1"/>
    <col min="18" max="19" width="15" style="1" customWidth="1"/>
    <col min="20" max="20" width="1" style="1" customWidth="1"/>
    <col min="21" max="22" width="15" style="1" customWidth="1"/>
    <col min="23" max="23" width="9.109375" style="1" customWidth="1"/>
    <col min="24" max="16384" width="9.109375" style="1"/>
  </cols>
  <sheetData>
    <row r="1" spans="1:22">
      <c r="A1" s="85" t="s">
        <v>121</v>
      </c>
      <c r="B1" s="79"/>
      <c r="C1" s="79"/>
      <c r="D1" s="79"/>
      <c r="E1" s="79"/>
      <c r="F1" s="79"/>
      <c r="G1" s="79"/>
    </row>
    <row r="3" spans="1:22">
      <c r="B3" s="86" t="s">
        <v>1</v>
      </c>
      <c r="C3" s="87"/>
      <c r="D3" s="87"/>
      <c r="E3" s="87"/>
      <c r="F3" s="87"/>
      <c r="G3" s="88"/>
      <c r="L3" s="89" t="s">
        <v>2</v>
      </c>
      <c r="M3" s="90"/>
      <c r="N3" s="90"/>
      <c r="O3" s="90"/>
      <c r="P3" s="90"/>
      <c r="Q3" s="90"/>
      <c r="R3" s="90"/>
      <c r="S3" s="90"/>
      <c r="T3" s="90"/>
      <c r="U3" s="90"/>
      <c r="V3" s="91"/>
    </row>
    <row r="4" spans="1:22">
      <c r="B4" s="6"/>
      <c r="G4" s="9"/>
      <c r="L4" s="92" t="s">
        <v>3</v>
      </c>
      <c r="M4" s="93"/>
      <c r="N4" s="3"/>
      <c r="O4" s="94" t="s">
        <v>4</v>
      </c>
      <c r="P4" s="93"/>
      <c r="Q4" s="3"/>
      <c r="R4" s="94" t="s">
        <v>5</v>
      </c>
      <c r="S4" s="93"/>
      <c r="T4" s="3"/>
      <c r="U4" s="94" t="s">
        <v>6</v>
      </c>
      <c r="V4" s="95"/>
    </row>
    <row r="5" spans="1:22" ht="60" customHeight="1">
      <c r="B5" s="7" t="s">
        <v>3</v>
      </c>
      <c r="C5" s="4" t="s">
        <v>4</v>
      </c>
      <c r="D5" s="4" t="s">
        <v>5</v>
      </c>
      <c r="E5" s="4" t="s">
        <v>6</v>
      </c>
      <c r="F5" s="4" t="s">
        <v>7</v>
      </c>
      <c r="G5" s="10" t="s">
        <v>8</v>
      </c>
      <c r="L5" s="19" t="s">
        <v>9</v>
      </c>
      <c r="M5" s="18" t="s">
        <v>10</v>
      </c>
      <c r="N5" s="18"/>
      <c r="O5" s="18" t="s">
        <v>9</v>
      </c>
      <c r="P5" s="18" t="s">
        <v>10</v>
      </c>
      <c r="Q5" s="18"/>
      <c r="R5" s="18" t="s">
        <v>9</v>
      </c>
      <c r="S5" s="18" t="s">
        <v>10</v>
      </c>
      <c r="T5" s="18"/>
      <c r="U5" s="18" t="s">
        <v>9</v>
      </c>
      <c r="V5" s="20" t="s">
        <v>10</v>
      </c>
    </row>
    <row r="6" spans="1:22">
      <c r="A6" s="1" t="s">
        <v>11</v>
      </c>
      <c r="B6" s="6">
        <v>16054.52738494784</v>
      </c>
      <c r="C6" s="1">
        <v>1400.2921087776413</v>
      </c>
      <c r="D6" s="1">
        <v>0</v>
      </c>
      <c r="E6" s="1">
        <v>0</v>
      </c>
      <c r="F6" s="1">
        <v>0</v>
      </c>
      <c r="G6" s="9">
        <f>SUM(AL_FINANCIAL)</f>
        <v>17454.819493725481</v>
      </c>
      <c r="L6" s="6"/>
      <c r="V6" s="9"/>
    </row>
    <row r="7" spans="1:22">
      <c r="A7" s="1" t="s">
        <v>12</v>
      </c>
      <c r="B7" s="6">
        <v>0</v>
      </c>
      <c r="C7" s="1">
        <v>0</v>
      </c>
      <c r="D7" s="1">
        <v>0</v>
      </c>
      <c r="E7" s="1">
        <v>0</v>
      </c>
      <c r="F7" s="1">
        <v>0</v>
      </c>
      <c r="G7" s="9">
        <f>SUM(AK_FINANCIAL)</f>
        <v>0</v>
      </c>
      <c r="I7" s="12"/>
      <c r="J7" s="15"/>
      <c r="L7" s="6"/>
      <c r="V7" s="9"/>
    </row>
    <row r="8" spans="1:22">
      <c r="A8" s="1" t="s">
        <v>13</v>
      </c>
      <c r="B8" s="6">
        <v>0</v>
      </c>
      <c r="C8" s="1">
        <v>0</v>
      </c>
      <c r="D8" s="1">
        <v>0</v>
      </c>
      <c r="E8" s="1">
        <v>0</v>
      </c>
      <c r="F8" s="1">
        <v>0</v>
      </c>
      <c r="G8" s="9">
        <f>SUM(AZ_FINANCIAL)</f>
        <v>0</v>
      </c>
      <c r="I8" s="13" t="s">
        <v>14</v>
      </c>
      <c r="J8" s="16"/>
      <c r="L8" s="6"/>
      <c r="V8" s="9"/>
    </row>
    <row r="9" spans="1:22">
      <c r="A9" s="1" t="s">
        <v>15</v>
      </c>
      <c r="B9" s="6">
        <v>8943.4775164320454</v>
      </c>
      <c r="C9" s="1">
        <v>8575.5854903493619</v>
      </c>
      <c r="D9" s="1">
        <v>0</v>
      </c>
      <c r="E9" s="1">
        <v>0</v>
      </c>
      <c r="F9" s="1">
        <v>0</v>
      </c>
      <c r="G9" s="9">
        <f>SUM(AR_FINANCIAL)</f>
        <v>17519.063006781405</v>
      </c>
      <c r="I9" s="13"/>
      <c r="J9" s="16"/>
      <c r="L9" s="6">
        <v>56916</v>
      </c>
      <c r="M9" s="1">
        <v>0</v>
      </c>
      <c r="O9" s="1">
        <v>0</v>
      </c>
      <c r="P9" s="1">
        <v>0</v>
      </c>
      <c r="R9" s="1">
        <v>0</v>
      </c>
      <c r="S9" s="1">
        <v>0</v>
      </c>
      <c r="U9" s="1">
        <v>0</v>
      </c>
      <c r="V9" s="9">
        <v>0</v>
      </c>
    </row>
    <row r="10" spans="1:22">
      <c r="A10" s="1" t="s">
        <v>16</v>
      </c>
      <c r="B10" s="6">
        <v>0</v>
      </c>
      <c r="C10" s="1">
        <v>0</v>
      </c>
      <c r="D10" s="1">
        <v>0</v>
      </c>
      <c r="E10" s="1">
        <v>0</v>
      </c>
      <c r="F10" s="1">
        <v>0</v>
      </c>
      <c r="G10" s="9">
        <f>SUM(CA_FINANCIAL)</f>
        <v>0</v>
      </c>
      <c r="I10" s="13" t="s">
        <v>17</v>
      </c>
      <c r="J10" s="16">
        <v>48277445</v>
      </c>
      <c r="L10" s="6"/>
      <c r="V10" s="9"/>
    </row>
    <row r="11" spans="1:22">
      <c r="A11" s="1" t="s">
        <v>18</v>
      </c>
      <c r="B11" s="6">
        <v>0</v>
      </c>
      <c r="C11" s="1">
        <v>0</v>
      </c>
      <c r="D11" s="1">
        <v>0</v>
      </c>
      <c r="E11" s="1">
        <v>0</v>
      </c>
      <c r="F11" s="1">
        <v>0</v>
      </c>
      <c r="G11" s="9">
        <f>SUM(CO_FINANCIAL)</f>
        <v>0</v>
      </c>
      <c r="I11" s="13"/>
      <c r="J11" s="16"/>
      <c r="L11" s="6"/>
      <c r="V11" s="9"/>
    </row>
    <row r="12" spans="1:22">
      <c r="A12" s="1" t="s">
        <v>19</v>
      </c>
      <c r="B12" s="6">
        <v>0</v>
      </c>
      <c r="C12" s="1">
        <v>0</v>
      </c>
      <c r="D12" s="1">
        <v>0</v>
      </c>
      <c r="E12" s="1">
        <v>0</v>
      </c>
      <c r="F12" s="1">
        <v>0</v>
      </c>
      <c r="G12" s="9">
        <f>SUM(CT_FINANCIAL)</f>
        <v>0</v>
      </c>
      <c r="I12" s="13" t="s">
        <v>20</v>
      </c>
      <c r="J12" s="16"/>
      <c r="L12" s="6"/>
      <c r="V12" s="9"/>
    </row>
    <row r="13" spans="1:22">
      <c r="A13" s="1" t="s">
        <v>21</v>
      </c>
      <c r="B13" s="6">
        <v>0</v>
      </c>
      <c r="C13" s="1">
        <v>0</v>
      </c>
      <c r="D13" s="1">
        <v>0</v>
      </c>
      <c r="E13" s="1">
        <v>0</v>
      </c>
      <c r="F13" s="1">
        <v>0</v>
      </c>
      <c r="G13" s="9">
        <f>SUM(DE_FINANCIAL)</f>
        <v>0</v>
      </c>
      <c r="I13" s="13" t="s">
        <v>22</v>
      </c>
      <c r="J13" s="16">
        <v>0</v>
      </c>
      <c r="L13" s="6"/>
      <c r="V13" s="9"/>
    </row>
    <row r="14" spans="1:22">
      <c r="A14" s="1" t="s">
        <v>23</v>
      </c>
      <c r="B14" s="6">
        <v>0</v>
      </c>
      <c r="C14" s="1">
        <v>0</v>
      </c>
      <c r="D14" s="1">
        <v>0</v>
      </c>
      <c r="E14" s="1">
        <v>0</v>
      </c>
      <c r="F14" s="1">
        <v>0</v>
      </c>
      <c r="G14" s="9">
        <f>SUM(DC_FINANCIAL)</f>
        <v>0</v>
      </c>
      <c r="I14" s="13" t="s">
        <v>24</v>
      </c>
      <c r="J14" s="16">
        <v>167439.99999999997</v>
      </c>
      <c r="L14" s="6"/>
      <c r="V14" s="9"/>
    </row>
    <row r="15" spans="1:22">
      <c r="A15" s="1" t="s">
        <v>25</v>
      </c>
      <c r="B15" s="6">
        <v>1218.1850722048548</v>
      </c>
      <c r="C15" s="1">
        <v>355.9119063120379</v>
      </c>
      <c r="D15" s="1">
        <v>0</v>
      </c>
      <c r="E15" s="1">
        <v>0</v>
      </c>
      <c r="F15" s="1">
        <v>0</v>
      </c>
      <c r="G15" s="9">
        <f>SUM(FL_FINANCIAL)</f>
        <v>1574.0969785168927</v>
      </c>
      <c r="I15" s="13" t="s">
        <v>26</v>
      </c>
      <c r="J15" s="16">
        <v>1900299.0519795683</v>
      </c>
      <c r="L15" s="6"/>
      <c r="V15" s="9"/>
    </row>
    <row r="16" spans="1:22">
      <c r="A16" s="1" t="s">
        <v>27</v>
      </c>
      <c r="B16" s="6">
        <v>-2518.543033139933</v>
      </c>
      <c r="C16" s="1">
        <v>-1021.7755401727627</v>
      </c>
      <c r="D16" s="1">
        <v>0</v>
      </c>
      <c r="E16" s="1">
        <v>0</v>
      </c>
      <c r="F16" s="1">
        <v>0</v>
      </c>
      <c r="G16" s="9">
        <f>SUM(GA_FINANCIAL)</f>
        <v>-3540.3185733126957</v>
      </c>
      <c r="I16" s="13" t="s">
        <v>28</v>
      </c>
      <c r="J16" s="16">
        <v>0</v>
      </c>
      <c r="L16" s="6"/>
      <c r="V16" s="9"/>
    </row>
    <row r="17" spans="1:22">
      <c r="A17" s="1" t="s">
        <v>29</v>
      </c>
      <c r="B17" s="6">
        <v>0</v>
      </c>
      <c r="C17" s="1">
        <v>0</v>
      </c>
      <c r="D17" s="1">
        <v>0</v>
      </c>
      <c r="E17" s="1">
        <v>0</v>
      </c>
      <c r="F17" s="1">
        <v>0</v>
      </c>
      <c r="G17" s="9">
        <f>SUM(HI_FINANCIAL)</f>
        <v>0</v>
      </c>
      <c r="I17" s="13"/>
      <c r="J17" s="16"/>
      <c r="L17" s="6"/>
      <c r="V17" s="9"/>
    </row>
    <row r="18" spans="1:22">
      <c r="A18" s="1" t="s">
        <v>30</v>
      </c>
      <c r="B18" s="6">
        <v>0</v>
      </c>
      <c r="C18" s="1">
        <v>0</v>
      </c>
      <c r="D18" s="1">
        <v>0</v>
      </c>
      <c r="E18" s="1">
        <v>0</v>
      </c>
      <c r="F18" s="1">
        <v>0</v>
      </c>
      <c r="G18" s="9">
        <f>SUM(ID_FINANCIAL)</f>
        <v>0</v>
      </c>
      <c r="I18" s="13" t="s">
        <v>31</v>
      </c>
      <c r="J18" s="16"/>
      <c r="L18" s="6"/>
      <c r="V18" s="9"/>
    </row>
    <row r="19" spans="1:22">
      <c r="A19" s="1" t="s">
        <v>32</v>
      </c>
      <c r="B19" s="6">
        <v>-25314.362059756502</v>
      </c>
      <c r="C19" s="1">
        <v>-13633.58265355404</v>
      </c>
      <c r="D19" s="1">
        <v>0</v>
      </c>
      <c r="E19" s="1">
        <v>0</v>
      </c>
      <c r="F19" s="1">
        <v>0</v>
      </c>
      <c r="G19" s="9">
        <f>SUM(IL_FINANCIAL)</f>
        <v>-38947.944713310542</v>
      </c>
      <c r="I19" s="13" t="s">
        <v>33</v>
      </c>
      <c r="J19" s="16">
        <v>32999999</v>
      </c>
      <c r="L19" s="6">
        <v>325000</v>
      </c>
      <c r="M19" s="1">
        <v>0</v>
      </c>
      <c r="O19" s="1">
        <v>0</v>
      </c>
      <c r="P19" s="1">
        <v>0</v>
      </c>
      <c r="R19" s="1">
        <v>0</v>
      </c>
      <c r="S19" s="1">
        <v>0</v>
      </c>
      <c r="U19" s="1">
        <v>0</v>
      </c>
      <c r="V19" s="9">
        <v>0</v>
      </c>
    </row>
    <row r="20" spans="1:22">
      <c r="A20" s="1" t="s">
        <v>34</v>
      </c>
      <c r="B20" s="6">
        <v>0</v>
      </c>
      <c r="C20" s="1">
        <v>0</v>
      </c>
      <c r="D20" s="1">
        <v>0</v>
      </c>
      <c r="E20" s="1">
        <v>0</v>
      </c>
      <c r="F20" s="1">
        <v>0</v>
      </c>
      <c r="G20" s="9">
        <f>SUM(IN_FINANCIAL)</f>
        <v>0</v>
      </c>
      <c r="I20" s="13" t="s">
        <v>35</v>
      </c>
      <c r="J20" s="16">
        <v>-236724.9999999998</v>
      </c>
      <c r="L20" s="6"/>
      <c r="V20" s="9"/>
    </row>
    <row r="21" spans="1:22">
      <c r="A21" s="1" t="s">
        <v>36</v>
      </c>
      <c r="B21" s="6">
        <v>0</v>
      </c>
      <c r="C21" s="1">
        <v>0</v>
      </c>
      <c r="D21" s="1">
        <v>0</v>
      </c>
      <c r="E21" s="1">
        <v>0</v>
      </c>
      <c r="F21" s="1">
        <v>0</v>
      </c>
      <c r="G21" s="9">
        <f>SUM(IA_FINANCIAL)</f>
        <v>0</v>
      </c>
      <c r="I21" s="13" t="s">
        <v>37</v>
      </c>
      <c r="J21" s="16"/>
      <c r="L21" s="6"/>
      <c r="V21" s="9"/>
    </row>
    <row r="22" spans="1:22">
      <c r="A22" s="1" t="s">
        <v>38</v>
      </c>
      <c r="B22" s="6">
        <v>0</v>
      </c>
      <c r="C22" s="1">
        <v>0</v>
      </c>
      <c r="D22" s="1">
        <v>0</v>
      </c>
      <c r="E22" s="1">
        <v>0</v>
      </c>
      <c r="F22" s="1">
        <v>0</v>
      </c>
      <c r="G22" s="9">
        <f>SUM(KS_FINANCIAL)</f>
        <v>0</v>
      </c>
      <c r="I22" s="13" t="s">
        <v>39</v>
      </c>
      <c r="J22" s="16">
        <v>4411447</v>
      </c>
      <c r="L22" s="6"/>
      <c r="V22" s="9"/>
    </row>
    <row r="23" spans="1:22">
      <c r="A23" s="1" t="s">
        <v>40</v>
      </c>
      <c r="B23" s="6">
        <v>21396.167637486535</v>
      </c>
      <c r="C23" s="1">
        <v>3976.5463135264145</v>
      </c>
      <c r="D23" s="1">
        <v>0</v>
      </c>
      <c r="E23" s="1">
        <v>0</v>
      </c>
      <c r="F23" s="1">
        <v>0</v>
      </c>
      <c r="G23" s="9">
        <f>SUM(KY_FINANCIAL)</f>
        <v>25372.713951012949</v>
      </c>
      <c r="I23" s="13" t="s">
        <v>41</v>
      </c>
      <c r="J23" s="16"/>
      <c r="L23" s="6">
        <v>440000</v>
      </c>
      <c r="M23" s="1">
        <v>486166</v>
      </c>
      <c r="O23" s="1">
        <v>80000</v>
      </c>
      <c r="P23" s="1">
        <v>15036</v>
      </c>
      <c r="R23" s="1">
        <v>0</v>
      </c>
      <c r="S23" s="1">
        <v>0</v>
      </c>
      <c r="U23" s="1">
        <v>0</v>
      </c>
      <c r="V23" s="9">
        <v>0</v>
      </c>
    </row>
    <row r="24" spans="1:22">
      <c r="A24" s="1" t="s">
        <v>42</v>
      </c>
      <c r="B24" s="6">
        <v>-9215.2004175097172</v>
      </c>
      <c r="C24" s="1">
        <v>-2724.3132370117346</v>
      </c>
      <c r="D24" s="1">
        <v>0</v>
      </c>
      <c r="E24" s="1">
        <v>0</v>
      </c>
      <c r="F24" s="1">
        <v>0</v>
      </c>
      <c r="G24" s="9">
        <f>SUM(LA_FINANCIAL)</f>
        <v>-11939.513654521452</v>
      </c>
      <c r="I24" s="13" t="s">
        <v>43</v>
      </c>
      <c r="J24" s="16">
        <v>12696835.254612444</v>
      </c>
      <c r="L24" s="6"/>
      <c r="V24" s="9"/>
    </row>
    <row r="25" spans="1:22">
      <c r="A25" s="1" t="s">
        <v>44</v>
      </c>
      <c r="B25" s="6">
        <v>0</v>
      </c>
      <c r="C25" s="1">
        <v>0</v>
      </c>
      <c r="D25" s="1">
        <v>0</v>
      </c>
      <c r="E25" s="1">
        <v>0</v>
      </c>
      <c r="F25" s="1">
        <v>0</v>
      </c>
      <c r="G25" s="9">
        <f>SUM(ME_FINANCIAL)</f>
        <v>0</v>
      </c>
      <c r="I25" s="13"/>
      <c r="J25" s="16"/>
      <c r="L25" s="6"/>
      <c r="V25" s="9"/>
    </row>
    <row r="26" spans="1:22">
      <c r="A26" s="1" t="s">
        <v>45</v>
      </c>
      <c r="B26" s="6">
        <v>0</v>
      </c>
      <c r="C26" s="1">
        <v>0</v>
      </c>
      <c r="D26" s="1">
        <v>0</v>
      </c>
      <c r="E26" s="1">
        <v>0</v>
      </c>
      <c r="F26" s="1">
        <v>0</v>
      </c>
      <c r="G26" s="9">
        <f>SUM(MD_FINANCIAL)</f>
        <v>0</v>
      </c>
      <c r="I26" s="13" t="s">
        <v>46</v>
      </c>
      <c r="J26" s="16">
        <f>SUM(ADD_FINANCIAL)-SUM(LESS_FINANCIAL)</f>
        <v>473627.79736712575</v>
      </c>
      <c r="L26" s="6"/>
      <c r="V26" s="9"/>
    </row>
    <row r="27" spans="1:22">
      <c r="A27" s="1" t="s">
        <v>47</v>
      </c>
      <c r="B27" s="6">
        <v>0</v>
      </c>
      <c r="C27" s="1">
        <v>0</v>
      </c>
      <c r="D27" s="1">
        <v>0</v>
      </c>
      <c r="E27" s="1">
        <v>0</v>
      </c>
      <c r="F27" s="1">
        <v>0</v>
      </c>
      <c r="G27" s="9">
        <f>SUM(MA_FINANCIAL)</f>
        <v>0</v>
      </c>
      <c r="I27" s="13" t="s">
        <v>48</v>
      </c>
      <c r="J27" s="16">
        <f>SUM(ALL_BLOCKS)</f>
        <v>473627.79736712505</v>
      </c>
      <c r="L27" s="6"/>
      <c r="V27" s="9"/>
    </row>
    <row r="28" spans="1:22">
      <c r="A28" s="1" t="s">
        <v>49</v>
      </c>
      <c r="B28" s="6">
        <v>0</v>
      </c>
      <c r="C28" s="1">
        <v>0</v>
      </c>
      <c r="D28" s="1">
        <v>0</v>
      </c>
      <c r="E28" s="1">
        <v>0</v>
      </c>
      <c r="F28" s="1">
        <v>0</v>
      </c>
      <c r="G28" s="9">
        <f>SUM(MI_FINANCIAL)</f>
        <v>0</v>
      </c>
      <c r="I28" s="14"/>
      <c r="J28" s="17"/>
      <c r="L28" s="6"/>
      <c r="V28" s="9"/>
    </row>
    <row r="29" spans="1:22">
      <c r="A29" s="1" t="s">
        <v>50</v>
      </c>
      <c r="B29" s="6">
        <v>0</v>
      </c>
      <c r="C29" s="1">
        <v>0</v>
      </c>
      <c r="D29" s="1">
        <v>0</v>
      </c>
      <c r="E29" s="1">
        <v>0</v>
      </c>
      <c r="F29" s="1">
        <v>0</v>
      </c>
      <c r="G29" s="9">
        <f>SUM(MN_FINANCIAL)</f>
        <v>0</v>
      </c>
      <c r="L29" s="6"/>
      <c r="V29" s="9"/>
    </row>
    <row r="30" spans="1:22">
      <c r="A30" s="1" t="s">
        <v>51</v>
      </c>
      <c r="B30" s="6">
        <v>-41782.89208901659</v>
      </c>
      <c r="C30" s="1">
        <v>-43439.7913442766</v>
      </c>
      <c r="D30" s="1">
        <v>0</v>
      </c>
      <c r="E30" s="1">
        <v>0</v>
      </c>
      <c r="F30" s="1">
        <v>0</v>
      </c>
      <c r="G30" s="9">
        <f>SUM(MS_FINANCIAL)</f>
        <v>-85222.68343329319</v>
      </c>
      <c r="L30" s="6"/>
      <c r="V30" s="9"/>
    </row>
    <row r="31" spans="1:22">
      <c r="A31" s="1" t="s">
        <v>52</v>
      </c>
      <c r="B31" s="6">
        <v>0</v>
      </c>
      <c r="C31" s="1">
        <v>0</v>
      </c>
      <c r="D31" s="1">
        <v>0</v>
      </c>
      <c r="E31" s="1">
        <v>0</v>
      </c>
      <c r="F31" s="1">
        <v>0</v>
      </c>
      <c r="G31" s="9">
        <f>SUM(MO_FINANCIAL)</f>
        <v>0</v>
      </c>
      <c r="L31" s="6"/>
      <c r="V31" s="9"/>
    </row>
    <row r="32" spans="1:22">
      <c r="A32" s="1" t="s">
        <v>53</v>
      </c>
      <c r="B32" s="6">
        <v>0</v>
      </c>
      <c r="C32" s="1">
        <v>0</v>
      </c>
      <c r="D32" s="1">
        <v>0</v>
      </c>
      <c r="E32" s="1">
        <v>0</v>
      </c>
      <c r="F32" s="1">
        <v>0</v>
      </c>
      <c r="G32" s="9">
        <f>SUM(MT_FINANCIAL)</f>
        <v>0</v>
      </c>
      <c r="L32" s="6"/>
      <c r="V32" s="9"/>
    </row>
    <row r="33" spans="1:22">
      <c r="A33" s="1" t="s">
        <v>54</v>
      </c>
      <c r="B33" s="6">
        <v>0</v>
      </c>
      <c r="C33" s="1">
        <v>0</v>
      </c>
      <c r="D33" s="1">
        <v>0</v>
      </c>
      <c r="E33" s="1">
        <v>0</v>
      </c>
      <c r="F33" s="1">
        <v>0</v>
      </c>
      <c r="G33" s="9">
        <f>SUM(NE_FINANCIAL)</f>
        <v>0</v>
      </c>
      <c r="L33" s="6"/>
      <c r="V33" s="9"/>
    </row>
    <row r="34" spans="1:22">
      <c r="A34" s="1" t="s">
        <v>55</v>
      </c>
      <c r="B34" s="6">
        <v>0</v>
      </c>
      <c r="C34" s="1">
        <v>0</v>
      </c>
      <c r="D34" s="1">
        <v>0</v>
      </c>
      <c r="E34" s="1">
        <v>0</v>
      </c>
      <c r="F34" s="1">
        <v>0</v>
      </c>
      <c r="G34" s="9">
        <f>SUM(NV_FINANCIAL)</f>
        <v>0</v>
      </c>
      <c r="L34" s="6"/>
      <c r="V34" s="9"/>
    </row>
    <row r="35" spans="1:22">
      <c r="A35" s="1" t="s">
        <v>56</v>
      </c>
      <c r="B35" s="6">
        <v>0</v>
      </c>
      <c r="C35" s="1">
        <v>0</v>
      </c>
      <c r="D35" s="1">
        <v>0</v>
      </c>
      <c r="E35" s="1">
        <v>0</v>
      </c>
      <c r="F35" s="1">
        <v>0</v>
      </c>
      <c r="G35" s="9">
        <f>SUM(NH_FINANCIAL)</f>
        <v>0</v>
      </c>
      <c r="L35" s="6"/>
      <c r="V35" s="9"/>
    </row>
    <row r="36" spans="1:22">
      <c r="A36" s="1" t="s">
        <v>57</v>
      </c>
      <c r="B36" s="6">
        <v>0</v>
      </c>
      <c r="C36" s="1">
        <v>0</v>
      </c>
      <c r="D36" s="1">
        <v>0</v>
      </c>
      <c r="E36" s="1">
        <v>0</v>
      </c>
      <c r="F36" s="1">
        <v>0</v>
      </c>
      <c r="G36" s="9">
        <f>SUM(NJ_FINANCIAL)</f>
        <v>0</v>
      </c>
      <c r="L36" s="6"/>
      <c r="V36" s="9"/>
    </row>
    <row r="37" spans="1:22">
      <c r="A37" s="1" t="s">
        <v>58</v>
      </c>
      <c r="B37" s="6">
        <v>0</v>
      </c>
      <c r="C37" s="1">
        <v>0</v>
      </c>
      <c r="D37" s="1">
        <v>0</v>
      </c>
      <c r="E37" s="1">
        <v>0</v>
      </c>
      <c r="F37" s="1">
        <v>0</v>
      </c>
      <c r="G37" s="9">
        <f>SUM(NM_FINANCIAL)</f>
        <v>0</v>
      </c>
      <c r="L37" s="6"/>
      <c r="V37" s="9"/>
    </row>
    <row r="38" spans="1:22">
      <c r="A38" s="1" t="s">
        <v>59</v>
      </c>
      <c r="B38" s="6">
        <v>0</v>
      </c>
      <c r="C38" s="1">
        <v>0</v>
      </c>
      <c r="D38" s="1">
        <v>0</v>
      </c>
      <c r="E38" s="1">
        <v>0</v>
      </c>
      <c r="F38" s="1">
        <v>0</v>
      </c>
      <c r="G38" s="9">
        <f>SUM(NY_FINANCIAL)</f>
        <v>0</v>
      </c>
      <c r="L38" s="6"/>
      <c r="V38" s="9"/>
    </row>
    <row r="39" spans="1:22">
      <c r="A39" s="1" t="s">
        <v>60</v>
      </c>
      <c r="B39" s="6">
        <v>31549.671298702073</v>
      </c>
      <c r="C39" s="1">
        <v>11167.109710213175</v>
      </c>
      <c r="D39" s="1">
        <v>0</v>
      </c>
      <c r="E39" s="1">
        <v>0</v>
      </c>
      <c r="F39" s="1">
        <v>0</v>
      </c>
      <c r="G39" s="9">
        <f>SUM(NC_FINANCIAL)</f>
        <v>42716.781008915248</v>
      </c>
      <c r="L39" s="6">
        <v>0</v>
      </c>
      <c r="M39" s="1">
        <v>284000</v>
      </c>
      <c r="O39" s="1">
        <v>0</v>
      </c>
      <c r="P39" s="1">
        <v>116000</v>
      </c>
      <c r="R39" s="1">
        <v>0</v>
      </c>
      <c r="S39" s="1">
        <v>0</v>
      </c>
      <c r="U39" s="1">
        <v>0</v>
      </c>
      <c r="V39" s="9">
        <v>0</v>
      </c>
    </row>
    <row r="40" spans="1:22">
      <c r="A40" s="1" t="s">
        <v>61</v>
      </c>
      <c r="B40" s="6">
        <v>0</v>
      </c>
      <c r="C40" s="1">
        <v>0</v>
      </c>
      <c r="D40" s="1">
        <v>0</v>
      </c>
      <c r="E40" s="1">
        <v>0</v>
      </c>
      <c r="F40" s="1">
        <v>0</v>
      </c>
      <c r="G40" s="9">
        <f>SUM(ND_FINANCIAL)</f>
        <v>0</v>
      </c>
      <c r="L40" s="6"/>
      <c r="V40" s="9"/>
    </row>
    <row r="41" spans="1:22">
      <c r="A41" s="1" t="s">
        <v>62</v>
      </c>
      <c r="B41" s="6">
        <v>0</v>
      </c>
      <c r="C41" s="1">
        <v>0</v>
      </c>
      <c r="D41" s="1">
        <v>0</v>
      </c>
      <c r="E41" s="1">
        <v>0</v>
      </c>
      <c r="F41" s="1">
        <v>0</v>
      </c>
      <c r="G41" s="9">
        <f>SUM(OH_FINANCIAL)</f>
        <v>0</v>
      </c>
      <c r="L41" s="6"/>
      <c r="V41" s="9"/>
    </row>
    <row r="42" spans="1:22">
      <c r="A42" s="1" t="s">
        <v>63</v>
      </c>
      <c r="B42" s="6">
        <v>-25838.493657177187</v>
      </c>
      <c r="C42" s="1">
        <v>-12452.043056151328</v>
      </c>
      <c r="D42" s="1">
        <v>0</v>
      </c>
      <c r="E42" s="1">
        <v>0</v>
      </c>
      <c r="F42" s="1">
        <v>0</v>
      </c>
      <c r="G42" s="9">
        <f>SUM(OK_FINANCIAL)</f>
        <v>-38290.536713328518</v>
      </c>
      <c r="L42" s="6">
        <v>46000</v>
      </c>
      <c r="M42" s="1">
        <v>0</v>
      </c>
      <c r="O42" s="1">
        <v>4000</v>
      </c>
      <c r="P42" s="1">
        <v>0</v>
      </c>
      <c r="R42" s="1">
        <v>0</v>
      </c>
      <c r="S42" s="1">
        <v>0</v>
      </c>
      <c r="U42" s="1">
        <v>0</v>
      </c>
      <c r="V42" s="9">
        <v>0</v>
      </c>
    </row>
    <row r="43" spans="1:22">
      <c r="A43" s="1" t="s">
        <v>64</v>
      </c>
      <c r="B43" s="6">
        <v>0</v>
      </c>
      <c r="C43" s="1">
        <v>0</v>
      </c>
      <c r="D43" s="1">
        <v>0</v>
      </c>
      <c r="E43" s="1">
        <v>0</v>
      </c>
      <c r="F43" s="1">
        <v>0</v>
      </c>
      <c r="G43" s="9">
        <f>SUM(OR_FINANCIAL)</f>
        <v>0</v>
      </c>
      <c r="L43" s="6"/>
      <c r="V43" s="9"/>
    </row>
    <row r="44" spans="1:22">
      <c r="A44" s="1" t="s">
        <v>65</v>
      </c>
      <c r="B44" s="6">
        <v>0</v>
      </c>
      <c r="C44" s="1">
        <v>0</v>
      </c>
      <c r="D44" s="1">
        <v>0</v>
      </c>
      <c r="E44" s="1">
        <v>0</v>
      </c>
      <c r="F44" s="1">
        <v>0</v>
      </c>
      <c r="G44" s="9">
        <f>SUM(PA_FINANCIAL)</f>
        <v>0</v>
      </c>
      <c r="L44" s="6"/>
      <c r="V44" s="9"/>
    </row>
    <row r="45" spans="1:22">
      <c r="A45" s="1" t="s">
        <v>66</v>
      </c>
      <c r="B45" s="6">
        <v>0</v>
      </c>
      <c r="C45" s="1">
        <v>0</v>
      </c>
      <c r="D45" s="1">
        <v>0</v>
      </c>
      <c r="E45" s="1">
        <v>0</v>
      </c>
      <c r="F45" s="1">
        <v>0</v>
      </c>
      <c r="G45" s="9">
        <f>SUM(PR_FINANCIAL)</f>
        <v>0</v>
      </c>
      <c r="L45" s="6"/>
      <c r="V45" s="9"/>
    </row>
    <row r="46" spans="1:22">
      <c r="A46" s="1" t="s">
        <v>67</v>
      </c>
      <c r="B46" s="6">
        <v>0</v>
      </c>
      <c r="C46" s="1">
        <v>0</v>
      </c>
      <c r="D46" s="1">
        <v>0</v>
      </c>
      <c r="E46" s="1">
        <v>0</v>
      </c>
      <c r="F46" s="1">
        <v>0</v>
      </c>
      <c r="G46" s="9">
        <f>SUM(RI_FINANCIAL)</f>
        <v>0</v>
      </c>
      <c r="L46" s="6"/>
      <c r="V46" s="9"/>
    </row>
    <row r="47" spans="1:22">
      <c r="A47" s="1" t="s">
        <v>68</v>
      </c>
      <c r="B47" s="6">
        <v>7126.1503244443666</v>
      </c>
      <c r="C47" s="1">
        <v>3054.8285112364583</v>
      </c>
      <c r="D47" s="1">
        <v>0</v>
      </c>
      <c r="E47" s="1">
        <v>0</v>
      </c>
      <c r="F47" s="1">
        <v>0</v>
      </c>
      <c r="G47" s="9">
        <f>SUM(SC_FINANCIAL)</f>
        <v>10180.978835680824</v>
      </c>
      <c r="L47" s="6"/>
      <c r="V47" s="9"/>
    </row>
    <row r="48" spans="1:22">
      <c r="A48" s="1" t="s">
        <v>69</v>
      </c>
      <c r="B48" s="6">
        <v>0</v>
      </c>
      <c r="C48" s="1">
        <v>0</v>
      </c>
      <c r="D48" s="1">
        <v>0</v>
      </c>
      <c r="E48" s="1">
        <v>0</v>
      </c>
      <c r="F48" s="1">
        <v>0</v>
      </c>
      <c r="G48" s="9">
        <f>SUM(SD_FINANCIAL)</f>
        <v>0</v>
      </c>
      <c r="L48" s="6"/>
      <c r="V48" s="9"/>
    </row>
    <row r="49" spans="1:22">
      <c r="A49" s="1" t="s">
        <v>70</v>
      </c>
      <c r="B49" s="6">
        <v>360413.87678351533</v>
      </c>
      <c r="C49" s="1">
        <v>116304.25992451562</v>
      </c>
      <c r="D49" s="1">
        <v>0</v>
      </c>
      <c r="E49" s="1">
        <v>0</v>
      </c>
      <c r="F49" s="1">
        <v>0</v>
      </c>
      <c r="G49" s="9">
        <f>SUM(TN_FINANCIAL)</f>
        <v>476718.13670803094</v>
      </c>
      <c r="L49" s="6"/>
      <c r="V49" s="9"/>
    </row>
    <row r="50" spans="1:22">
      <c r="A50" s="1" t="s">
        <v>71</v>
      </c>
      <c r="B50" s="6">
        <v>0</v>
      </c>
      <c r="C50" s="1">
        <v>0</v>
      </c>
      <c r="D50" s="1">
        <v>0</v>
      </c>
      <c r="E50" s="1">
        <v>0</v>
      </c>
      <c r="F50" s="1">
        <v>0</v>
      </c>
      <c r="G50" s="9">
        <f>SUM(TX_FINANCIAL)</f>
        <v>0</v>
      </c>
      <c r="L50" s="6"/>
      <c r="V50" s="9"/>
    </row>
    <row r="51" spans="1:22">
      <c r="A51" s="1" t="s">
        <v>72</v>
      </c>
      <c r="B51" s="6">
        <v>0</v>
      </c>
      <c r="C51" s="1">
        <v>0</v>
      </c>
      <c r="D51" s="1">
        <v>0</v>
      </c>
      <c r="E51" s="1">
        <v>0</v>
      </c>
      <c r="F51" s="1">
        <v>0</v>
      </c>
      <c r="G51" s="9">
        <f>SUM(UT_FINANCIAL)</f>
        <v>0</v>
      </c>
      <c r="L51" s="6"/>
      <c r="V51" s="9"/>
    </row>
    <row r="52" spans="1:22">
      <c r="A52" s="1" t="s">
        <v>73</v>
      </c>
      <c r="B52" s="6">
        <v>0</v>
      </c>
      <c r="C52" s="1">
        <v>0</v>
      </c>
      <c r="D52" s="1">
        <v>0</v>
      </c>
      <c r="E52" s="1">
        <v>0</v>
      </c>
      <c r="F52" s="1">
        <v>0</v>
      </c>
      <c r="G52" s="9">
        <f>SUM(VT_FINANCIAL)</f>
        <v>0</v>
      </c>
      <c r="L52" s="6"/>
      <c r="V52" s="9"/>
    </row>
    <row r="53" spans="1:22">
      <c r="A53" s="1" t="s">
        <v>74</v>
      </c>
      <c r="B53" s="6">
        <v>22959.112710532616</v>
      </c>
      <c r="C53" s="1">
        <v>6493.6005263252446</v>
      </c>
      <c r="D53" s="1">
        <v>0</v>
      </c>
      <c r="E53" s="1">
        <v>0</v>
      </c>
      <c r="F53" s="1">
        <v>0</v>
      </c>
      <c r="G53" s="9">
        <f>SUM(VA_FINANCIAL)</f>
        <v>29452.71323685786</v>
      </c>
      <c r="L53" s="6">
        <v>375000</v>
      </c>
      <c r="M53" s="1">
        <v>0</v>
      </c>
      <c r="O53" s="1">
        <v>5000</v>
      </c>
      <c r="P53" s="1">
        <v>0</v>
      </c>
      <c r="R53" s="1">
        <v>0</v>
      </c>
      <c r="S53" s="1">
        <v>0</v>
      </c>
      <c r="U53" s="1">
        <v>0</v>
      </c>
      <c r="V53" s="9">
        <v>0</v>
      </c>
    </row>
    <row r="54" spans="1:22">
      <c r="A54" s="1" t="s">
        <v>75</v>
      </c>
      <c r="B54" s="6">
        <v>0</v>
      </c>
      <c r="C54" s="1">
        <v>0</v>
      </c>
      <c r="D54" s="1">
        <v>0</v>
      </c>
      <c r="E54" s="1">
        <v>0</v>
      </c>
      <c r="F54" s="1">
        <v>0</v>
      </c>
      <c r="G54" s="9">
        <f>SUM(WA_FINANCIAL)</f>
        <v>0</v>
      </c>
      <c r="L54" s="6"/>
      <c r="V54" s="9"/>
    </row>
    <row r="55" spans="1:22">
      <c r="A55" s="1" t="s">
        <v>76</v>
      </c>
      <c r="B55" s="6">
        <v>17383.649331854656</v>
      </c>
      <c r="C55" s="1">
        <v>13195.841903515247</v>
      </c>
      <c r="D55" s="1">
        <v>0</v>
      </c>
      <c r="E55" s="1">
        <v>0</v>
      </c>
      <c r="F55" s="1">
        <v>0</v>
      </c>
      <c r="G55" s="9">
        <f>SUM(WV_FINANCIAL)</f>
        <v>30579.491235369904</v>
      </c>
      <c r="L55" s="6">
        <v>0</v>
      </c>
      <c r="M55" s="1">
        <v>0</v>
      </c>
      <c r="O55" s="1">
        <v>0</v>
      </c>
      <c r="P55" s="1">
        <v>0</v>
      </c>
      <c r="R55" s="1">
        <v>0</v>
      </c>
      <c r="S55" s="1">
        <v>0</v>
      </c>
      <c r="U55" s="1">
        <v>0</v>
      </c>
      <c r="V55" s="9">
        <v>0</v>
      </c>
    </row>
    <row r="56" spans="1:22">
      <c r="A56" s="1" t="s">
        <v>77</v>
      </c>
      <c r="B56" s="6">
        <v>0</v>
      </c>
      <c r="C56" s="1">
        <v>0</v>
      </c>
      <c r="D56" s="1">
        <v>0</v>
      </c>
      <c r="E56" s="1">
        <v>0</v>
      </c>
      <c r="F56" s="1">
        <v>0</v>
      </c>
      <c r="G56" s="9">
        <f>SUM(WI_FINANCIAL)</f>
        <v>0</v>
      </c>
      <c r="L56" s="6"/>
      <c r="V56" s="9"/>
    </row>
    <row r="57" spans="1:22">
      <c r="A57" s="1" t="s">
        <v>78</v>
      </c>
      <c r="B57" s="6">
        <v>0</v>
      </c>
      <c r="C57" s="1">
        <v>0</v>
      </c>
      <c r="D57" s="1">
        <v>0</v>
      </c>
      <c r="E57" s="1">
        <v>0</v>
      </c>
      <c r="F57" s="1">
        <v>0</v>
      </c>
      <c r="G57" s="9">
        <f>SUM(WY_FINANCIAL)</f>
        <v>0</v>
      </c>
      <c r="L57" s="6"/>
      <c r="V57" s="9"/>
    </row>
    <row r="58" spans="1:22">
      <c r="A58" s="1" t="s">
        <v>79</v>
      </c>
      <c r="B58" s="6">
        <v>0</v>
      </c>
      <c r="C58" s="1">
        <v>0</v>
      </c>
      <c r="D58" s="1">
        <v>0</v>
      </c>
      <c r="E58" s="1">
        <v>0</v>
      </c>
      <c r="F58" s="1">
        <v>0</v>
      </c>
      <c r="G58" s="9">
        <f>SUM(OT_FINANCIAL)</f>
        <v>0</v>
      </c>
      <c r="L58" s="6"/>
      <c r="V58" s="9"/>
    </row>
    <row r="59" spans="1:22">
      <c r="B59" s="6"/>
      <c r="G59" s="9"/>
      <c r="L59" s="6"/>
      <c r="V59" s="9"/>
    </row>
    <row r="60" spans="1:22">
      <c r="A60" s="1" t="s">
        <v>8</v>
      </c>
      <c r="B60" s="6">
        <f>SUM(LIFE)</f>
        <v>382375.32680352038</v>
      </c>
      <c r="C60" s="1">
        <f>SUM(ALLOCATED)</f>
        <v>91252.470563604744</v>
      </c>
      <c r="D60" s="1">
        <f>SUM(HEALTH)</f>
        <v>0</v>
      </c>
      <c r="E60" s="1">
        <f>SUM(UNALLOCATED)</f>
        <v>0</v>
      </c>
      <c r="F60" s="1">
        <f>SUM(LTC)</f>
        <v>0</v>
      </c>
      <c r="G60" s="9">
        <f>SUM(ALL_BLOCKS)</f>
        <v>473627.79736712505</v>
      </c>
      <c r="L60" s="6">
        <f>SUM(LIFE_CALLED)</f>
        <v>1242916</v>
      </c>
      <c r="M60" s="1">
        <f>SUM(LIFE_REFUNDED)</f>
        <v>770166</v>
      </c>
      <c r="O60" s="1">
        <f>SUM(ALLOC_CALLED)</f>
        <v>89000</v>
      </c>
      <c r="P60" s="1">
        <f>SUM(ALLOC_REFUNDED)</f>
        <v>131036</v>
      </c>
      <c r="R60" s="1">
        <f>SUM(HEALTH_CALLED)</f>
        <v>0</v>
      </c>
      <c r="S60" s="1">
        <f>SUM(HEALTH_REFUNDED)</f>
        <v>0</v>
      </c>
      <c r="U60" s="1">
        <f>SUM(UNALLOC_CALLED)</f>
        <v>0</v>
      </c>
      <c r="V60" s="9">
        <f>SUM(UNALLOC_REFUNDED)</f>
        <v>0</v>
      </c>
    </row>
    <row r="61" spans="1:22" ht="5.0999999999999996" customHeight="1">
      <c r="B61" s="6"/>
      <c r="G61" s="9"/>
      <c r="L61" s="6"/>
      <c r="V61" s="9"/>
    </row>
    <row r="62" spans="1:22">
      <c r="B62" s="6"/>
      <c r="G62" s="9"/>
      <c r="L62" s="78" t="s">
        <v>80</v>
      </c>
      <c r="M62" s="79"/>
      <c r="N62" s="79"/>
      <c r="O62" s="79"/>
      <c r="P62" s="79"/>
      <c r="Q62" s="79"/>
      <c r="R62" s="79"/>
      <c r="S62" s="79"/>
      <c r="T62" s="79"/>
      <c r="U62" s="79"/>
      <c r="V62" s="80"/>
    </row>
    <row r="63" spans="1:22">
      <c r="B63" s="6"/>
      <c r="G63" s="9"/>
      <c r="L63" s="81"/>
      <c r="M63" s="79"/>
      <c r="N63" s="79"/>
      <c r="O63" s="79"/>
      <c r="P63" s="79"/>
      <c r="Q63" s="79"/>
      <c r="R63" s="79"/>
      <c r="S63" s="79"/>
      <c r="T63" s="79"/>
      <c r="U63" s="79"/>
      <c r="V63" s="80"/>
    </row>
    <row r="64" spans="1:22">
      <c r="B64" s="8"/>
      <c r="C64" s="5"/>
      <c r="D64" s="5"/>
      <c r="E64" s="5"/>
      <c r="F64" s="5"/>
      <c r="G64" s="11"/>
      <c r="L64" s="82"/>
      <c r="M64" s="83"/>
      <c r="N64" s="83"/>
      <c r="O64" s="83"/>
      <c r="P64" s="83"/>
      <c r="Q64" s="83"/>
      <c r="R64" s="83"/>
      <c r="S64" s="83"/>
      <c r="T64" s="83"/>
      <c r="U64" s="83"/>
      <c r="V64" s="84"/>
    </row>
  </sheetData>
  <mergeCells count="8">
    <mergeCell ref="L62:V64"/>
    <mergeCell ref="A1:G1"/>
    <mergeCell ref="B3:G3"/>
    <mergeCell ref="L3:V3"/>
    <mergeCell ref="L4:M4"/>
    <mergeCell ref="O4:P4"/>
    <mergeCell ref="R4:S4"/>
    <mergeCell ref="U4:V4"/>
  </mergeCells>
  <pageMargins left="0" right="0" top="0" bottom="0" header="0" footer="0"/>
  <pageSetup scale="48"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V64"/>
  <sheetViews>
    <sheetView zoomScale="75" workbookViewId="0">
      <selection sqref="A1:G1"/>
    </sheetView>
  </sheetViews>
  <sheetFormatPr defaultColWidth="9.109375" defaultRowHeight="14.4"/>
  <cols>
    <col min="1" max="1" width="20" style="1" customWidth="1"/>
    <col min="2" max="7" width="15" style="1" customWidth="1"/>
    <col min="8" max="8" width="1" style="1" customWidth="1"/>
    <col min="9" max="9" width="30" style="1" customWidth="1"/>
    <col min="10" max="10" width="15" style="1" customWidth="1"/>
    <col min="11" max="11" width="1" style="1" customWidth="1"/>
    <col min="12" max="13" width="15" style="1" customWidth="1"/>
    <col min="14" max="14" width="1" style="1" customWidth="1"/>
    <col min="15" max="16" width="15" style="1" customWidth="1"/>
    <col min="17" max="17" width="1" style="1" customWidth="1"/>
    <col min="18" max="19" width="15" style="1" customWidth="1"/>
    <col min="20" max="20" width="1" style="1" customWidth="1"/>
    <col min="21" max="22" width="15" style="1" customWidth="1"/>
    <col min="23" max="23" width="9.109375" style="1" customWidth="1"/>
    <col min="24" max="16384" width="9.109375" style="1"/>
  </cols>
  <sheetData>
    <row r="1" spans="1:22">
      <c r="A1" s="85" t="s">
        <v>122</v>
      </c>
      <c r="B1" s="79"/>
      <c r="C1" s="79"/>
      <c r="D1" s="79"/>
      <c r="E1" s="79"/>
      <c r="F1" s="79"/>
      <c r="G1" s="79"/>
    </row>
    <row r="3" spans="1:22">
      <c r="B3" s="86" t="s">
        <v>1</v>
      </c>
      <c r="C3" s="87"/>
      <c r="D3" s="87"/>
      <c r="E3" s="87"/>
      <c r="F3" s="87"/>
      <c r="G3" s="88"/>
      <c r="L3" s="89" t="s">
        <v>2</v>
      </c>
      <c r="M3" s="90"/>
      <c r="N3" s="90"/>
      <c r="O3" s="90"/>
      <c r="P3" s="90"/>
      <c r="Q3" s="90"/>
      <c r="R3" s="90"/>
      <c r="S3" s="90"/>
      <c r="T3" s="90"/>
      <c r="U3" s="90"/>
      <c r="V3" s="91"/>
    </row>
    <row r="4" spans="1:22">
      <c r="B4" s="6"/>
      <c r="G4" s="9"/>
      <c r="L4" s="92" t="s">
        <v>3</v>
      </c>
      <c r="M4" s="93"/>
      <c r="N4" s="3"/>
      <c r="O4" s="94" t="s">
        <v>4</v>
      </c>
      <c r="P4" s="93"/>
      <c r="Q4" s="3"/>
      <c r="R4" s="94" t="s">
        <v>5</v>
      </c>
      <c r="S4" s="93"/>
      <c r="T4" s="3"/>
      <c r="U4" s="94" t="s">
        <v>6</v>
      </c>
      <c r="V4" s="95"/>
    </row>
    <row r="5" spans="1:22" ht="60" customHeight="1">
      <c r="B5" s="7" t="s">
        <v>3</v>
      </c>
      <c r="C5" s="4" t="s">
        <v>4</v>
      </c>
      <c r="D5" s="4" t="s">
        <v>5</v>
      </c>
      <c r="E5" s="4" t="s">
        <v>6</v>
      </c>
      <c r="F5" s="4" t="s">
        <v>7</v>
      </c>
      <c r="G5" s="10" t="s">
        <v>8</v>
      </c>
      <c r="L5" s="19" t="s">
        <v>9</v>
      </c>
      <c r="M5" s="18" t="s">
        <v>10</v>
      </c>
      <c r="N5" s="18"/>
      <c r="O5" s="18" t="s">
        <v>9</v>
      </c>
      <c r="P5" s="18" t="s">
        <v>10</v>
      </c>
      <c r="Q5" s="18"/>
      <c r="R5" s="18" t="s">
        <v>9</v>
      </c>
      <c r="S5" s="18" t="s">
        <v>10</v>
      </c>
      <c r="T5" s="18"/>
      <c r="U5" s="18" t="s">
        <v>9</v>
      </c>
      <c r="V5" s="20" t="s">
        <v>10</v>
      </c>
    </row>
    <row r="6" spans="1:22">
      <c r="A6" s="1" t="s">
        <v>11</v>
      </c>
      <c r="B6" s="6">
        <v>274586.78565573407</v>
      </c>
      <c r="C6" s="1">
        <v>0</v>
      </c>
      <c r="D6" s="1">
        <v>0</v>
      </c>
      <c r="E6" s="1">
        <v>0</v>
      </c>
      <c r="F6" s="1">
        <v>0</v>
      </c>
      <c r="G6" s="9">
        <f>SUM(AL_FINANCIAL)</f>
        <v>274586.78565573407</v>
      </c>
      <c r="L6" s="6"/>
      <c r="V6" s="9"/>
    </row>
    <row r="7" spans="1:22">
      <c r="A7" s="1" t="s">
        <v>12</v>
      </c>
      <c r="B7" s="6">
        <v>0</v>
      </c>
      <c r="C7" s="1">
        <v>0</v>
      </c>
      <c r="D7" s="1">
        <v>0</v>
      </c>
      <c r="E7" s="1">
        <v>0</v>
      </c>
      <c r="F7" s="1">
        <v>0</v>
      </c>
      <c r="G7" s="9">
        <f>SUM(AK_FINANCIAL)</f>
        <v>0</v>
      </c>
      <c r="I7" s="12"/>
      <c r="J7" s="15"/>
      <c r="L7" s="6"/>
      <c r="V7" s="9"/>
    </row>
    <row r="8" spans="1:22">
      <c r="A8" s="1" t="s">
        <v>13</v>
      </c>
      <c r="B8" s="6">
        <v>-22693.529630920471</v>
      </c>
      <c r="C8" s="1">
        <v>0</v>
      </c>
      <c r="D8" s="1">
        <v>0</v>
      </c>
      <c r="E8" s="1">
        <v>0</v>
      </c>
      <c r="F8" s="1">
        <v>0</v>
      </c>
      <c r="G8" s="9">
        <f>SUM(AZ_FINANCIAL)</f>
        <v>-22693.529630920471</v>
      </c>
      <c r="I8" s="13" t="s">
        <v>14</v>
      </c>
      <c r="J8" s="16"/>
      <c r="L8" s="6"/>
      <c r="V8" s="9"/>
    </row>
    <row r="9" spans="1:22">
      <c r="A9" s="1" t="s">
        <v>15</v>
      </c>
      <c r="B9" s="6">
        <v>0</v>
      </c>
      <c r="C9" s="1">
        <v>0</v>
      </c>
      <c r="D9" s="1">
        <v>0</v>
      </c>
      <c r="E9" s="1">
        <v>0</v>
      </c>
      <c r="F9" s="1">
        <v>0</v>
      </c>
      <c r="G9" s="9">
        <f>SUM(AR_FINANCIAL)</f>
        <v>0</v>
      </c>
      <c r="I9" s="13"/>
      <c r="J9" s="16"/>
      <c r="L9" s="6"/>
      <c r="V9" s="9"/>
    </row>
    <row r="10" spans="1:22">
      <c r="A10" s="1" t="s">
        <v>16</v>
      </c>
      <c r="B10" s="6">
        <v>0</v>
      </c>
      <c r="C10" s="1">
        <v>0</v>
      </c>
      <c r="D10" s="1">
        <v>0</v>
      </c>
      <c r="E10" s="1">
        <v>0</v>
      </c>
      <c r="F10" s="1">
        <v>0</v>
      </c>
      <c r="G10" s="9">
        <f>SUM(CA_FINANCIAL)</f>
        <v>0</v>
      </c>
      <c r="I10" s="13" t="s">
        <v>17</v>
      </c>
      <c r="J10" s="16">
        <v>17074665</v>
      </c>
      <c r="L10" s="6"/>
      <c r="V10" s="9"/>
    </row>
    <row r="11" spans="1:22">
      <c r="A11" s="1" t="s">
        <v>18</v>
      </c>
      <c r="B11" s="6">
        <v>0</v>
      </c>
      <c r="C11" s="1">
        <v>0</v>
      </c>
      <c r="D11" s="1">
        <v>0</v>
      </c>
      <c r="E11" s="1">
        <v>0</v>
      </c>
      <c r="F11" s="1">
        <v>0</v>
      </c>
      <c r="G11" s="9">
        <f>SUM(CO_FINANCIAL)</f>
        <v>0</v>
      </c>
      <c r="I11" s="13"/>
      <c r="J11" s="16"/>
      <c r="L11" s="6"/>
      <c r="V11" s="9"/>
    </row>
    <row r="12" spans="1:22">
      <c r="A12" s="1" t="s">
        <v>19</v>
      </c>
      <c r="B12" s="6">
        <v>0</v>
      </c>
      <c r="C12" s="1">
        <v>0</v>
      </c>
      <c r="D12" s="1">
        <v>0</v>
      </c>
      <c r="E12" s="1">
        <v>0</v>
      </c>
      <c r="F12" s="1">
        <v>0</v>
      </c>
      <c r="G12" s="9">
        <f>SUM(CT_FINANCIAL)</f>
        <v>0</v>
      </c>
      <c r="I12" s="13" t="s">
        <v>20</v>
      </c>
      <c r="J12" s="16"/>
      <c r="L12" s="6"/>
      <c r="V12" s="9"/>
    </row>
    <row r="13" spans="1:22">
      <c r="A13" s="1" t="s">
        <v>21</v>
      </c>
      <c r="B13" s="6">
        <v>0</v>
      </c>
      <c r="C13" s="1">
        <v>0</v>
      </c>
      <c r="D13" s="1">
        <v>0</v>
      </c>
      <c r="E13" s="1">
        <v>0</v>
      </c>
      <c r="F13" s="1">
        <v>0</v>
      </c>
      <c r="G13" s="9">
        <f>SUM(DE_FINANCIAL)</f>
        <v>0</v>
      </c>
      <c r="I13" s="13" t="s">
        <v>22</v>
      </c>
      <c r="J13" s="16">
        <v>18066</v>
      </c>
      <c r="L13" s="6"/>
      <c r="V13" s="9"/>
    </row>
    <row r="14" spans="1:22">
      <c r="A14" s="1" t="s">
        <v>23</v>
      </c>
      <c r="B14" s="6">
        <v>0</v>
      </c>
      <c r="C14" s="1">
        <v>0</v>
      </c>
      <c r="D14" s="1">
        <v>0</v>
      </c>
      <c r="E14" s="1">
        <v>0</v>
      </c>
      <c r="F14" s="1">
        <v>0</v>
      </c>
      <c r="G14" s="9">
        <f>SUM(DC_FINANCIAL)</f>
        <v>0</v>
      </c>
      <c r="I14" s="13" t="s">
        <v>24</v>
      </c>
      <c r="J14" s="16">
        <v>406240</v>
      </c>
      <c r="L14" s="6"/>
      <c r="V14" s="9"/>
    </row>
    <row r="15" spans="1:22">
      <c r="A15" s="1" t="s">
        <v>25</v>
      </c>
      <c r="B15" s="6">
        <v>55964.38977188844</v>
      </c>
      <c r="C15" s="1">
        <v>0</v>
      </c>
      <c r="D15" s="1">
        <v>0</v>
      </c>
      <c r="E15" s="1">
        <v>0</v>
      </c>
      <c r="F15" s="1">
        <v>0</v>
      </c>
      <c r="G15" s="9">
        <f>SUM(FL_FINANCIAL)</f>
        <v>55964.38977188844</v>
      </c>
      <c r="I15" s="13" t="s">
        <v>26</v>
      </c>
      <c r="J15" s="16">
        <v>662310.75711180852</v>
      </c>
      <c r="L15" s="6"/>
      <c r="V15" s="9"/>
    </row>
    <row r="16" spans="1:22">
      <c r="A16" s="1" t="s">
        <v>27</v>
      </c>
      <c r="B16" s="6">
        <v>0</v>
      </c>
      <c r="C16" s="1">
        <v>0</v>
      </c>
      <c r="D16" s="1">
        <v>0</v>
      </c>
      <c r="E16" s="1">
        <v>0</v>
      </c>
      <c r="F16" s="1">
        <v>0</v>
      </c>
      <c r="G16" s="9">
        <f>SUM(GA_FINANCIAL)</f>
        <v>0</v>
      </c>
      <c r="I16" s="13" t="s">
        <v>28</v>
      </c>
      <c r="J16" s="16">
        <v>0</v>
      </c>
      <c r="L16" s="6"/>
      <c r="V16" s="9"/>
    </row>
    <row r="17" spans="1:22">
      <c r="A17" s="1" t="s">
        <v>29</v>
      </c>
      <c r="B17" s="6">
        <v>0</v>
      </c>
      <c r="C17" s="1">
        <v>0</v>
      </c>
      <c r="D17" s="1">
        <v>0</v>
      </c>
      <c r="E17" s="1">
        <v>0</v>
      </c>
      <c r="F17" s="1">
        <v>0</v>
      </c>
      <c r="G17" s="9">
        <f>SUM(HI_FINANCIAL)</f>
        <v>0</v>
      </c>
      <c r="I17" s="13"/>
      <c r="J17" s="16"/>
      <c r="L17" s="6"/>
      <c r="V17" s="9"/>
    </row>
    <row r="18" spans="1:22">
      <c r="A18" s="1" t="s">
        <v>30</v>
      </c>
      <c r="B18" s="6">
        <v>0</v>
      </c>
      <c r="C18" s="1">
        <v>0</v>
      </c>
      <c r="D18" s="1">
        <v>0</v>
      </c>
      <c r="E18" s="1">
        <v>0</v>
      </c>
      <c r="F18" s="1">
        <v>0</v>
      </c>
      <c r="G18" s="9">
        <f>SUM(ID_FINANCIAL)</f>
        <v>0</v>
      </c>
      <c r="I18" s="13" t="s">
        <v>31</v>
      </c>
      <c r="J18" s="16"/>
      <c r="L18" s="6"/>
      <c r="V18" s="9"/>
    </row>
    <row r="19" spans="1:22">
      <c r="A19" s="1" t="s">
        <v>32</v>
      </c>
      <c r="B19" s="6">
        <v>0</v>
      </c>
      <c r="C19" s="1">
        <v>0</v>
      </c>
      <c r="D19" s="1">
        <v>0</v>
      </c>
      <c r="E19" s="1">
        <v>0</v>
      </c>
      <c r="F19" s="1">
        <v>0</v>
      </c>
      <c r="G19" s="9">
        <f>SUM(IL_FINANCIAL)</f>
        <v>0</v>
      </c>
      <c r="I19" s="13" t="s">
        <v>33</v>
      </c>
      <c r="J19" s="16">
        <v>0</v>
      </c>
      <c r="L19" s="6"/>
      <c r="V19" s="9"/>
    </row>
    <row r="20" spans="1:22">
      <c r="A20" s="1" t="s">
        <v>34</v>
      </c>
      <c r="B20" s="6">
        <v>0</v>
      </c>
      <c r="C20" s="1">
        <v>0</v>
      </c>
      <c r="D20" s="1">
        <v>0</v>
      </c>
      <c r="E20" s="1">
        <v>0</v>
      </c>
      <c r="F20" s="1">
        <v>0</v>
      </c>
      <c r="G20" s="9">
        <f>SUM(IN_FINANCIAL)</f>
        <v>0</v>
      </c>
      <c r="I20" s="13" t="s">
        <v>35</v>
      </c>
      <c r="J20" s="16">
        <v>-1329839</v>
      </c>
      <c r="L20" s="6"/>
      <c r="V20" s="9"/>
    </row>
    <row r="21" spans="1:22">
      <c r="A21" s="1" t="s">
        <v>36</v>
      </c>
      <c r="B21" s="6">
        <v>0</v>
      </c>
      <c r="C21" s="1">
        <v>0</v>
      </c>
      <c r="D21" s="1">
        <v>0</v>
      </c>
      <c r="E21" s="1">
        <v>0</v>
      </c>
      <c r="F21" s="1">
        <v>0</v>
      </c>
      <c r="G21" s="9">
        <f>SUM(IA_FINANCIAL)</f>
        <v>0</v>
      </c>
      <c r="I21" s="13" t="s">
        <v>37</v>
      </c>
      <c r="J21" s="16"/>
      <c r="L21" s="6"/>
      <c r="V21" s="9"/>
    </row>
    <row r="22" spans="1:22">
      <c r="A22" s="1" t="s">
        <v>38</v>
      </c>
      <c r="B22" s="6">
        <v>0</v>
      </c>
      <c r="C22" s="1">
        <v>0</v>
      </c>
      <c r="D22" s="1">
        <v>0</v>
      </c>
      <c r="E22" s="1">
        <v>0</v>
      </c>
      <c r="F22" s="1">
        <v>0</v>
      </c>
      <c r="G22" s="9">
        <f>SUM(KS_FINANCIAL)</f>
        <v>0</v>
      </c>
      <c r="I22" s="13" t="s">
        <v>39</v>
      </c>
      <c r="J22" s="16">
        <v>711825</v>
      </c>
      <c r="L22" s="6"/>
      <c r="V22" s="9"/>
    </row>
    <row r="23" spans="1:22">
      <c r="A23" s="1" t="s">
        <v>40</v>
      </c>
      <c r="B23" s="6">
        <v>0</v>
      </c>
      <c r="C23" s="1">
        <v>0</v>
      </c>
      <c r="D23" s="1">
        <v>0</v>
      </c>
      <c r="E23" s="1">
        <v>0</v>
      </c>
      <c r="F23" s="1">
        <v>0</v>
      </c>
      <c r="G23" s="9">
        <f>SUM(KY_FINANCIAL)</f>
        <v>0</v>
      </c>
      <c r="I23" s="13" t="s">
        <v>41</v>
      </c>
      <c r="J23" s="16"/>
      <c r="L23" s="6"/>
      <c r="V23" s="9"/>
    </row>
    <row r="24" spans="1:22">
      <c r="A24" s="1" t="s">
        <v>42</v>
      </c>
      <c r="B24" s="6">
        <v>724673.08715210215</v>
      </c>
      <c r="C24" s="1">
        <v>40307.699048012058</v>
      </c>
      <c r="D24" s="1">
        <v>0</v>
      </c>
      <c r="E24" s="1">
        <v>0</v>
      </c>
      <c r="F24" s="1">
        <v>0</v>
      </c>
      <c r="G24" s="9">
        <f>SUM(LA_FINANCIAL)</f>
        <v>764980.78620011418</v>
      </c>
      <c r="I24" s="13" t="s">
        <v>43</v>
      </c>
      <c r="J24" s="16">
        <v>6195873.5700000003</v>
      </c>
      <c r="L24" s="6">
        <v>959087</v>
      </c>
      <c r="M24" s="1">
        <v>0</v>
      </c>
      <c r="O24" s="1">
        <v>402992</v>
      </c>
      <c r="P24" s="1">
        <v>0</v>
      </c>
      <c r="R24" s="1">
        <v>52921</v>
      </c>
      <c r="S24" s="1">
        <v>0</v>
      </c>
      <c r="U24" s="1">
        <v>0</v>
      </c>
      <c r="V24" s="9">
        <v>0</v>
      </c>
    </row>
    <row r="25" spans="1:22">
      <c r="A25" s="1" t="s">
        <v>44</v>
      </c>
      <c r="B25" s="6">
        <v>0</v>
      </c>
      <c r="C25" s="1">
        <v>0</v>
      </c>
      <c r="D25" s="1">
        <v>0</v>
      </c>
      <c r="E25" s="1">
        <v>0</v>
      </c>
      <c r="F25" s="1">
        <v>0</v>
      </c>
      <c r="G25" s="9">
        <f>SUM(ME_FINANCIAL)</f>
        <v>0</v>
      </c>
      <c r="I25" s="13"/>
      <c r="J25" s="16"/>
      <c r="L25" s="6"/>
      <c r="V25" s="9"/>
    </row>
    <row r="26" spans="1:22">
      <c r="A26" s="1" t="s">
        <v>45</v>
      </c>
      <c r="B26" s="6">
        <v>0</v>
      </c>
      <c r="C26" s="1">
        <v>0</v>
      </c>
      <c r="D26" s="1">
        <v>0</v>
      </c>
      <c r="E26" s="1">
        <v>0</v>
      </c>
      <c r="F26" s="1">
        <v>0</v>
      </c>
      <c r="G26" s="9">
        <f>SUM(MD_FINANCIAL)</f>
        <v>0</v>
      </c>
      <c r="I26" s="13" t="s">
        <v>46</v>
      </c>
      <c r="J26" s="16">
        <f>SUM(ADD_FINANCIAL)-SUM(LESS_FINANCIAL)</f>
        <v>12583422.18711181</v>
      </c>
      <c r="L26" s="6"/>
      <c r="V26" s="9"/>
    </row>
    <row r="27" spans="1:22">
      <c r="A27" s="1" t="s">
        <v>47</v>
      </c>
      <c r="B27" s="6">
        <v>0</v>
      </c>
      <c r="C27" s="1">
        <v>0</v>
      </c>
      <c r="D27" s="1">
        <v>0</v>
      </c>
      <c r="E27" s="1">
        <v>0</v>
      </c>
      <c r="F27" s="1">
        <v>0</v>
      </c>
      <c r="G27" s="9">
        <f>SUM(MA_FINANCIAL)</f>
        <v>0</v>
      </c>
      <c r="I27" s="13" t="s">
        <v>48</v>
      </c>
      <c r="J27" s="16">
        <f>SUM(ALL_BLOCKS)</f>
        <v>12583422.187111812</v>
      </c>
      <c r="L27" s="6"/>
      <c r="V27" s="9"/>
    </row>
    <row r="28" spans="1:22">
      <c r="A28" s="1" t="s">
        <v>49</v>
      </c>
      <c r="B28" s="6">
        <v>0</v>
      </c>
      <c r="C28" s="1">
        <v>0</v>
      </c>
      <c r="D28" s="1">
        <v>0</v>
      </c>
      <c r="E28" s="1">
        <v>0</v>
      </c>
      <c r="F28" s="1">
        <v>0</v>
      </c>
      <c r="G28" s="9">
        <f>SUM(MI_FINANCIAL)</f>
        <v>0</v>
      </c>
      <c r="I28" s="14"/>
      <c r="J28" s="17"/>
      <c r="L28" s="6"/>
      <c r="V28" s="9"/>
    </row>
    <row r="29" spans="1:22">
      <c r="A29" s="1" t="s">
        <v>50</v>
      </c>
      <c r="B29" s="6">
        <v>0</v>
      </c>
      <c r="C29" s="1">
        <v>0</v>
      </c>
      <c r="D29" s="1">
        <v>0</v>
      </c>
      <c r="E29" s="1">
        <v>0</v>
      </c>
      <c r="F29" s="1">
        <v>0</v>
      </c>
      <c r="G29" s="9">
        <f>SUM(MN_FINANCIAL)</f>
        <v>0</v>
      </c>
      <c r="L29" s="6"/>
      <c r="V29" s="9"/>
    </row>
    <row r="30" spans="1:22">
      <c r="A30" s="1" t="s">
        <v>51</v>
      </c>
      <c r="B30" s="6">
        <v>8303031.2425593389</v>
      </c>
      <c r="C30" s="1">
        <v>2996687.7993431687</v>
      </c>
      <c r="D30" s="1">
        <v>0</v>
      </c>
      <c r="E30" s="1">
        <v>0</v>
      </c>
      <c r="F30" s="1">
        <v>0</v>
      </c>
      <c r="G30" s="9">
        <f>SUM(MS_FINANCIAL)</f>
        <v>11299719.041902509</v>
      </c>
      <c r="L30" s="6">
        <v>4320000</v>
      </c>
      <c r="M30" s="1">
        <v>0</v>
      </c>
      <c r="O30" s="1">
        <v>1680000</v>
      </c>
      <c r="P30" s="1">
        <v>0</v>
      </c>
      <c r="R30" s="1">
        <v>0</v>
      </c>
      <c r="S30" s="1">
        <v>0</v>
      </c>
      <c r="U30" s="1">
        <v>0</v>
      </c>
      <c r="V30" s="9">
        <v>0</v>
      </c>
    </row>
    <row r="31" spans="1:22">
      <c r="A31" s="1" t="s">
        <v>52</v>
      </c>
      <c r="B31" s="6">
        <v>0</v>
      </c>
      <c r="C31" s="1">
        <v>0</v>
      </c>
      <c r="D31" s="1">
        <v>0</v>
      </c>
      <c r="E31" s="1">
        <v>0</v>
      </c>
      <c r="F31" s="1">
        <v>0</v>
      </c>
      <c r="G31" s="9">
        <f>SUM(MO_FINANCIAL)</f>
        <v>0</v>
      </c>
      <c r="L31" s="6"/>
      <c r="V31" s="9"/>
    </row>
    <row r="32" spans="1:22">
      <c r="A32" s="1" t="s">
        <v>53</v>
      </c>
      <c r="B32" s="6">
        <v>0</v>
      </c>
      <c r="C32" s="1">
        <v>0</v>
      </c>
      <c r="D32" s="1">
        <v>0</v>
      </c>
      <c r="E32" s="1">
        <v>0</v>
      </c>
      <c r="F32" s="1">
        <v>0</v>
      </c>
      <c r="G32" s="9">
        <f>SUM(MT_FINANCIAL)</f>
        <v>0</v>
      </c>
      <c r="L32" s="6"/>
      <c r="V32" s="9"/>
    </row>
    <row r="33" spans="1:22">
      <c r="A33" s="1" t="s">
        <v>54</v>
      </c>
      <c r="B33" s="6">
        <v>0</v>
      </c>
      <c r="C33" s="1">
        <v>0</v>
      </c>
      <c r="D33" s="1">
        <v>0</v>
      </c>
      <c r="E33" s="1">
        <v>0</v>
      </c>
      <c r="F33" s="1">
        <v>0</v>
      </c>
      <c r="G33" s="9">
        <f>SUM(NE_FINANCIAL)</f>
        <v>0</v>
      </c>
      <c r="L33" s="6"/>
      <c r="V33" s="9"/>
    </row>
    <row r="34" spans="1:22">
      <c r="A34" s="1" t="s">
        <v>55</v>
      </c>
      <c r="B34" s="6">
        <v>0</v>
      </c>
      <c r="C34" s="1">
        <v>0</v>
      </c>
      <c r="D34" s="1">
        <v>0</v>
      </c>
      <c r="E34" s="1">
        <v>0</v>
      </c>
      <c r="F34" s="1">
        <v>0</v>
      </c>
      <c r="G34" s="9">
        <f>SUM(NV_FINANCIAL)</f>
        <v>0</v>
      </c>
      <c r="L34" s="6"/>
      <c r="V34" s="9"/>
    </row>
    <row r="35" spans="1:22">
      <c r="A35" s="1" t="s">
        <v>56</v>
      </c>
      <c r="B35" s="6">
        <v>0</v>
      </c>
      <c r="C35" s="1">
        <v>0</v>
      </c>
      <c r="D35" s="1">
        <v>0</v>
      </c>
      <c r="E35" s="1">
        <v>0</v>
      </c>
      <c r="F35" s="1">
        <v>0</v>
      </c>
      <c r="G35" s="9">
        <f>SUM(NH_FINANCIAL)</f>
        <v>0</v>
      </c>
      <c r="L35" s="6"/>
      <c r="V35" s="9"/>
    </row>
    <row r="36" spans="1:22">
      <c r="A36" s="1" t="s">
        <v>57</v>
      </c>
      <c r="B36" s="6">
        <v>0</v>
      </c>
      <c r="C36" s="1">
        <v>0</v>
      </c>
      <c r="D36" s="1">
        <v>0</v>
      </c>
      <c r="E36" s="1">
        <v>0</v>
      </c>
      <c r="F36" s="1">
        <v>0</v>
      </c>
      <c r="G36" s="9">
        <f>SUM(NJ_FINANCIAL)</f>
        <v>0</v>
      </c>
      <c r="L36" s="6"/>
      <c r="V36" s="9"/>
    </row>
    <row r="37" spans="1:22">
      <c r="A37" s="1" t="s">
        <v>58</v>
      </c>
      <c r="B37" s="6">
        <v>-52293.741501748635</v>
      </c>
      <c r="C37" s="1">
        <v>0</v>
      </c>
      <c r="D37" s="1">
        <v>0</v>
      </c>
      <c r="E37" s="1">
        <v>0</v>
      </c>
      <c r="F37" s="1">
        <v>0</v>
      </c>
      <c r="G37" s="9">
        <f>SUM(NM_FINANCIAL)</f>
        <v>-52293.741501748635</v>
      </c>
      <c r="L37" s="6">
        <v>29979</v>
      </c>
      <c r="M37" s="1">
        <v>0</v>
      </c>
      <c r="O37" s="1">
        <v>0</v>
      </c>
      <c r="P37" s="1">
        <v>0</v>
      </c>
      <c r="R37" s="1">
        <v>0</v>
      </c>
      <c r="S37" s="1">
        <v>0</v>
      </c>
      <c r="U37" s="1">
        <v>0</v>
      </c>
      <c r="V37" s="9">
        <v>0</v>
      </c>
    </row>
    <row r="38" spans="1:22">
      <c r="A38" s="1" t="s">
        <v>59</v>
      </c>
      <c r="B38" s="6">
        <v>0</v>
      </c>
      <c r="C38" s="1">
        <v>0</v>
      </c>
      <c r="D38" s="1">
        <v>0</v>
      </c>
      <c r="E38" s="1">
        <v>0</v>
      </c>
      <c r="F38" s="1">
        <v>0</v>
      </c>
      <c r="G38" s="9">
        <f>SUM(NY_FINANCIAL)</f>
        <v>0</v>
      </c>
      <c r="L38" s="6"/>
      <c r="V38" s="9"/>
    </row>
    <row r="39" spans="1:22">
      <c r="A39" s="1" t="s">
        <v>60</v>
      </c>
      <c r="B39" s="6">
        <v>0</v>
      </c>
      <c r="C39" s="1">
        <v>0</v>
      </c>
      <c r="D39" s="1">
        <v>0</v>
      </c>
      <c r="E39" s="1">
        <v>0</v>
      </c>
      <c r="F39" s="1">
        <v>0</v>
      </c>
      <c r="G39" s="9">
        <f>SUM(NC_FINANCIAL)</f>
        <v>0</v>
      </c>
      <c r="L39" s="6"/>
      <c r="V39" s="9"/>
    </row>
    <row r="40" spans="1:22">
      <c r="A40" s="1" t="s">
        <v>61</v>
      </c>
      <c r="B40" s="6">
        <v>0</v>
      </c>
      <c r="C40" s="1">
        <v>0</v>
      </c>
      <c r="D40" s="1">
        <v>0</v>
      </c>
      <c r="E40" s="1">
        <v>0</v>
      </c>
      <c r="F40" s="1">
        <v>0</v>
      </c>
      <c r="G40" s="9">
        <f>SUM(ND_FINANCIAL)</f>
        <v>0</v>
      </c>
      <c r="L40" s="6"/>
      <c r="V40" s="9"/>
    </row>
    <row r="41" spans="1:22">
      <c r="A41" s="1" t="s">
        <v>62</v>
      </c>
      <c r="B41" s="6">
        <v>0</v>
      </c>
      <c r="C41" s="1">
        <v>0</v>
      </c>
      <c r="D41" s="1">
        <v>0</v>
      </c>
      <c r="E41" s="1">
        <v>0</v>
      </c>
      <c r="F41" s="1">
        <v>0</v>
      </c>
      <c r="G41" s="9">
        <f>SUM(OH_FINANCIAL)</f>
        <v>0</v>
      </c>
      <c r="L41" s="6"/>
      <c r="V41" s="9"/>
    </row>
    <row r="42" spans="1:22">
      <c r="A42" s="1" t="s">
        <v>63</v>
      </c>
      <c r="B42" s="6">
        <v>-31061.577407635617</v>
      </c>
      <c r="C42" s="1">
        <v>0</v>
      </c>
      <c r="D42" s="1">
        <v>0</v>
      </c>
      <c r="E42" s="1">
        <v>0</v>
      </c>
      <c r="F42" s="1">
        <v>0</v>
      </c>
      <c r="G42" s="9">
        <f>SUM(OK_FINANCIAL)</f>
        <v>-31061.577407635617</v>
      </c>
      <c r="L42" s="6">
        <v>100000</v>
      </c>
      <c r="M42" s="1">
        <v>0</v>
      </c>
      <c r="O42" s="1">
        <v>0</v>
      </c>
      <c r="P42" s="1">
        <v>0</v>
      </c>
      <c r="R42" s="1">
        <v>0</v>
      </c>
      <c r="S42" s="1">
        <v>0</v>
      </c>
      <c r="U42" s="1">
        <v>0</v>
      </c>
      <c r="V42" s="9">
        <v>0</v>
      </c>
    </row>
    <row r="43" spans="1:22">
      <c r="A43" s="1" t="s">
        <v>64</v>
      </c>
      <c r="B43" s="6">
        <v>0</v>
      </c>
      <c r="C43" s="1">
        <v>0</v>
      </c>
      <c r="D43" s="1">
        <v>0</v>
      </c>
      <c r="E43" s="1">
        <v>0</v>
      </c>
      <c r="F43" s="1">
        <v>0</v>
      </c>
      <c r="G43" s="9">
        <f>SUM(OR_FINANCIAL)</f>
        <v>0</v>
      </c>
      <c r="L43" s="6"/>
      <c r="V43" s="9"/>
    </row>
    <row r="44" spans="1:22">
      <c r="A44" s="1" t="s">
        <v>65</v>
      </c>
      <c r="B44" s="6">
        <v>0</v>
      </c>
      <c r="C44" s="1">
        <v>0</v>
      </c>
      <c r="D44" s="1">
        <v>0</v>
      </c>
      <c r="E44" s="1">
        <v>0</v>
      </c>
      <c r="F44" s="1">
        <v>0</v>
      </c>
      <c r="G44" s="9">
        <f>SUM(PA_FINANCIAL)</f>
        <v>0</v>
      </c>
      <c r="L44" s="6"/>
      <c r="V44" s="9"/>
    </row>
    <row r="45" spans="1:22">
      <c r="A45" s="1" t="s">
        <v>66</v>
      </c>
      <c r="B45" s="6">
        <v>0</v>
      </c>
      <c r="C45" s="1">
        <v>0</v>
      </c>
      <c r="D45" s="1">
        <v>0</v>
      </c>
      <c r="E45" s="1">
        <v>0</v>
      </c>
      <c r="F45" s="1">
        <v>0</v>
      </c>
      <c r="G45" s="9">
        <f>SUM(PR_FINANCIAL)</f>
        <v>0</v>
      </c>
      <c r="L45" s="6"/>
      <c r="V45" s="9"/>
    </row>
    <row r="46" spans="1:22">
      <c r="A46" s="1" t="s">
        <v>67</v>
      </c>
      <c r="B46" s="6">
        <v>0</v>
      </c>
      <c r="C46" s="1">
        <v>0</v>
      </c>
      <c r="D46" s="1">
        <v>0</v>
      </c>
      <c r="E46" s="1">
        <v>0</v>
      </c>
      <c r="F46" s="1">
        <v>0</v>
      </c>
      <c r="G46" s="9">
        <f>SUM(RI_FINANCIAL)</f>
        <v>0</v>
      </c>
      <c r="L46" s="6"/>
      <c r="V46" s="9"/>
    </row>
    <row r="47" spans="1:22">
      <c r="A47" s="1" t="s">
        <v>68</v>
      </c>
      <c r="B47" s="6">
        <v>0</v>
      </c>
      <c r="C47" s="1">
        <v>0</v>
      </c>
      <c r="D47" s="1">
        <v>0</v>
      </c>
      <c r="E47" s="1">
        <v>0</v>
      </c>
      <c r="F47" s="1">
        <v>0</v>
      </c>
      <c r="G47" s="9">
        <f>SUM(SC_FINANCIAL)</f>
        <v>0</v>
      </c>
      <c r="L47" s="6"/>
      <c r="V47" s="9"/>
    </row>
    <row r="48" spans="1:22">
      <c r="A48" s="1" t="s">
        <v>69</v>
      </c>
      <c r="B48" s="6">
        <v>0</v>
      </c>
      <c r="C48" s="1">
        <v>0</v>
      </c>
      <c r="D48" s="1">
        <v>0</v>
      </c>
      <c r="E48" s="1">
        <v>0</v>
      </c>
      <c r="F48" s="1">
        <v>0</v>
      </c>
      <c r="G48" s="9">
        <f>SUM(SD_FINANCIAL)</f>
        <v>0</v>
      </c>
      <c r="L48" s="6"/>
      <c r="V48" s="9"/>
    </row>
    <row r="49" spans="1:22">
      <c r="A49" s="1" t="s">
        <v>70</v>
      </c>
      <c r="B49" s="6">
        <v>0</v>
      </c>
      <c r="C49" s="1">
        <v>0</v>
      </c>
      <c r="D49" s="1">
        <v>0</v>
      </c>
      <c r="E49" s="1">
        <v>0</v>
      </c>
      <c r="F49" s="1">
        <v>0</v>
      </c>
      <c r="G49" s="9">
        <f>SUM(TN_FINANCIAL)</f>
        <v>0</v>
      </c>
      <c r="L49" s="6"/>
      <c r="V49" s="9"/>
    </row>
    <row r="50" spans="1:22">
      <c r="A50" s="1" t="s">
        <v>71</v>
      </c>
      <c r="B50" s="6">
        <v>294220.03212187003</v>
      </c>
      <c r="C50" s="1">
        <v>0</v>
      </c>
      <c r="D50" s="1">
        <v>0</v>
      </c>
      <c r="E50" s="1">
        <v>0</v>
      </c>
      <c r="F50" s="1">
        <v>0</v>
      </c>
      <c r="G50" s="9">
        <f>SUM(TX_FINANCIAL)</f>
        <v>294220.03212187003</v>
      </c>
      <c r="L50" s="6">
        <v>475086</v>
      </c>
      <c r="M50" s="1">
        <v>0</v>
      </c>
      <c r="O50" s="1">
        <v>0</v>
      </c>
      <c r="P50" s="1">
        <v>0</v>
      </c>
      <c r="R50" s="1">
        <v>0</v>
      </c>
      <c r="S50" s="1">
        <v>0</v>
      </c>
      <c r="U50" s="1">
        <v>0</v>
      </c>
      <c r="V50" s="9">
        <v>0</v>
      </c>
    </row>
    <row r="51" spans="1:22">
      <c r="A51" s="1" t="s">
        <v>72</v>
      </c>
      <c r="B51" s="6">
        <v>0</v>
      </c>
      <c r="C51" s="1">
        <v>0</v>
      </c>
      <c r="D51" s="1">
        <v>0</v>
      </c>
      <c r="E51" s="1">
        <v>0</v>
      </c>
      <c r="F51" s="1">
        <v>0</v>
      </c>
      <c r="G51" s="9">
        <f>SUM(UT_FINANCIAL)</f>
        <v>0</v>
      </c>
      <c r="L51" s="6"/>
      <c r="V51" s="9"/>
    </row>
    <row r="52" spans="1:22">
      <c r="A52" s="1" t="s">
        <v>73</v>
      </c>
      <c r="B52" s="6">
        <v>0</v>
      </c>
      <c r="C52" s="1">
        <v>0</v>
      </c>
      <c r="D52" s="1">
        <v>0</v>
      </c>
      <c r="E52" s="1">
        <v>0</v>
      </c>
      <c r="F52" s="1">
        <v>0</v>
      </c>
      <c r="G52" s="9">
        <f>SUM(VT_FINANCIAL)</f>
        <v>0</v>
      </c>
      <c r="L52" s="6"/>
      <c r="V52" s="9"/>
    </row>
    <row r="53" spans="1:22">
      <c r="A53" s="1" t="s">
        <v>74</v>
      </c>
      <c r="B53" s="6">
        <v>0</v>
      </c>
      <c r="C53" s="1">
        <v>0</v>
      </c>
      <c r="D53" s="1">
        <v>0</v>
      </c>
      <c r="E53" s="1">
        <v>0</v>
      </c>
      <c r="F53" s="1">
        <v>0</v>
      </c>
      <c r="G53" s="9">
        <f>SUM(VA_FINANCIAL)</f>
        <v>0</v>
      </c>
      <c r="L53" s="6"/>
      <c r="V53" s="9"/>
    </row>
    <row r="54" spans="1:22">
      <c r="A54" s="1" t="s">
        <v>75</v>
      </c>
      <c r="B54" s="6">
        <v>0</v>
      </c>
      <c r="C54" s="1">
        <v>0</v>
      </c>
      <c r="D54" s="1">
        <v>0</v>
      </c>
      <c r="E54" s="1">
        <v>0</v>
      </c>
      <c r="F54" s="1">
        <v>0</v>
      </c>
      <c r="G54" s="9">
        <f>SUM(WA_FINANCIAL)</f>
        <v>0</v>
      </c>
      <c r="L54" s="6"/>
      <c r="V54" s="9"/>
    </row>
    <row r="55" spans="1:22">
      <c r="A55" s="1" t="s">
        <v>76</v>
      </c>
      <c r="B55" s="6">
        <v>0</v>
      </c>
      <c r="C55" s="1">
        <v>0</v>
      </c>
      <c r="D55" s="1">
        <v>0</v>
      </c>
      <c r="E55" s="1">
        <v>0</v>
      </c>
      <c r="F55" s="1">
        <v>0</v>
      </c>
      <c r="G55" s="9">
        <f>SUM(WV_FINANCIAL)</f>
        <v>0</v>
      </c>
      <c r="L55" s="6"/>
      <c r="V55" s="9"/>
    </row>
    <row r="56" spans="1:22">
      <c r="A56" s="1" t="s">
        <v>77</v>
      </c>
      <c r="B56" s="6">
        <v>0</v>
      </c>
      <c r="C56" s="1">
        <v>0</v>
      </c>
      <c r="D56" s="1">
        <v>0</v>
      </c>
      <c r="E56" s="1">
        <v>0</v>
      </c>
      <c r="F56" s="1">
        <v>0</v>
      </c>
      <c r="G56" s="9">
        <f>SUM(WI_FINANCIAL)</f>
        <v>0</v>
      </c>
      <c r="L56" s="6"/>
      <c r="V56" s="9"/>
    </row>
    <row r="57" spans="1:22">
      <c r="A57" s="1" t="s">
        <v>78</v>
      </c>
      <c r="B57" s="6">
        <v>0</v>
      </c>
      <c r="C57" s="1">
        <v>0</v>
      </c>
      <c r="D57" s="1">
        <v>0</v>
      </c>
      <c r="E57" s="1">
        <v>0</v>
      </c>
      <c r="F57" s="1">
        <v>0</v>
      </c>
      <c r="G57" s="9">
        <f>SUM(WY_FINANCIAL)</f>
        <v>0</v>
      </c>
      <c r="L57" s="6"/>
      <c r="V57" s="9"/>
    </row>
    <row r="58" spans="1:22">
      <c r="A58" s="1" t="s">
        <v>79</v>
      </c>
      <c r="B58" s="6">
        <v>0</v>
      </c>
      <c r="C58" s="1">
        <v>0</v>
      </c>
      <c r="D58" s="1">
        <v>0</v>
      </c>
      <c r="E58" s="1">
        <v>0</v>
      </c>
      <c r="F58" s="1">
        <v>0</v>
      </c>
      <c r="G58" s="9">
        <f>SUM(OT_FINANCIAL)</f>
        <v>0</v>
      </c>
      <c r="L58" s="6"/>
      <c r="V58" s="9"/>
    </row>
    <row r="59" spans="1:22">
      <c r="B59" s="6"/>
      <c r="G59" s="9"/>
      <c r="L59" s="6"/>
      <c r="V59" s="9"/>
    </row>
    <row r="60" spans="1:22">
      <c r="A60" s="1" t="s">
        <v>8</v>
      </c>
      <c r="B60" s="6">
        <f>SUM(LIFE)</f>
        <v>9546426.6887206286</v>
      </c>
      <c r="C60" s="1">
        <f>SUM(ALLOCATED)</f>
        <v>3036995.4983911808</v>
      </c>
      <c r="D60" s="1">
        <f>SUM(HEALTH)</f>
        <v>0</v>
      </c>
      <c r="E60" s="1">
        <f>SUM(UNALLOCATED)</f>
        <v>0</v>
      </c>
      <c r="F60" s="1">
        <f>SUM(LTC)</f>
        <v>0</v>
      </c>
      <c r="G60" s="9">
        <f>SUM(ALL_BLOCKS)</f>
        <v>12583422.187111812</v>
      </c>
      <c r="L60" s="6">
        <f>SUM(LIFE_CALLED)</f>
        <v>5884152</v>
      </c>
      <c r="M60" s="1">
        <f>SUM(LIFE_REFUNDED)</f>
        <v>0</v>
      </c>
      <c r="O60" s="1">
        <f>SUM(ALLOC_CALLED)</f>
        <v>2082992</v>
      </c>
      <c r="P60" s="1">
        <f>SUM(ALLOC_REFUNDED)</f>
        <v>0</v>
      </c>
      <c r="R60" s="1">
        <f>SUM(HEALTH_CALLED)</f>
        <v>52921</v>
      </c>
      <c r="S60" s="1">
        <f>SUM(HEALTH_REFUNDED)</f>
        <v>0</v>
      </c>
      <c r="U60" s="1">
        <f>SUM(UNALLOC_CALLED)</f>
        <v>0</v>
      </c>
      <c r="V60" s="9">
        <f>SUM(UNALLOC_REFUNDED)</f>
        <v>0</v>
      </c>
    </row>
    <row r="61" spans="1:22" ht="5.0999999999999996" customHeight="1">
      <c r="B61" s="6"/>
      <c r="G61" s="9"/>
      <c r="L61" s="6"/>
      <c r="V61" s="9"/>
    </row>
    <row r="62" spans="1:22">
      <c r="B62" s="6"/>
      <c r="G62" s="9"/>
      <c r="L62" s="78" t="s">
        <v>80</v>
      </c>
      <c r="M62" s="79"/>
      <c r="N62" s="79"/>
      <c r="O62" s="79"/>
      <c r="P62" s="79"/>
      <c r="Q62" s="79"/>
      <c r="R62" s="79"/>
      <c r="S62" s="79"/>
      <c r="T62" s="79"/>
      <c r="U62" s="79"/>
      <c r="V62" s="80"/>
    </row>
    <row r="63" spans="1:22">
      <c r="B63" s="6"/>
      <c r="G63" s="9"/>
      <c r="L63" s="81"/>
      <c r="M63" s="79"/>
      <c r="N63" s="79"/>
      <c r="O63" s="79"/>
      <c r="P63" s="79"/>
      <c r="Q63" s="79"/>
      <c r="R63" s="79"/>
      <c r="S63" s="79"/>
      <c r="T63" s="79"/>
      <c r="U63" s="79"/>
      <c r="V63" s="80"/>
    </row>
    <row r="64" spans="1:22">
      <c r="B64" s="8"/>
      <c r="C64" s="5"/>
      <c r="D64" s="5"/>
      <c r="E64" s="5"/>
      <c r="F64" s="5"/>
      <c r="G64" s="11"/>
      <c r="L64" s="82"/>
      <c r="M64" s="83"/>
      <c r="N64" s="83"/>
      <c r="O64" s="83"/>
      <c r="P64" s="83"/>
      <c r="Q64" s="83"/>
      <c r="R64" s="83"/>
      <c r="S64" s="83"/>
      <c r="T64" s="83"/>
      <c r="U64" s="83"/>
      <c r="V64" s="84"/>
    </row>
  </sheetData>
  <mergeCells count="8">
    <mergeCell ref="L62:V64"/>
    <mergeCell ref="A1:G1"/>
    <mergeCell ref="B3:G3"/>
    <mergeCell ref="L3:V3"/>
    <mergeCell ref="L4:M4"/>
    <mergeCell ref="O4:P4"/>
    <mergeCell ref="R4:S4"/>
    <mergeCell ref="U4:V4"/>
  </mergeCells>
  <pageMargins left="0" right="0" top="0" bottom="0" header="0" footer="0"/>
  <pageSetup scale="48"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V64"/>
  <sheetViews>
    <sheetView zoomScale="75" workbookViewId="0">
      <selection sqref="A1:G1"/>
    </sheetView>
  </sheetViews>
  <sheetFormatPr defaultColWidth="9.109375" defaultRowHeight="14.4"/>
  <cols>
    <col min="1" max="1" width="20" style="1" customWidth="1"/>
    <col min="2" max="7" width="15" style="1" customWidth="1"/>
    <col min="8" max="8" width="1" style="1" customWidth="1"/>
    <col min="9" max="9" width="30" style="1" customWidth="1"/>
    <col min="10" max="10" width="15" style="1" customWidth="1"/>
    <col min="11" max="11" width="1" style="1" customWidth="1"/>
    <col min="12" max="13" width="15" style="1" customWidth="1"/>
    <col min="14" max="14" width="1" style="1" customWidth="1"/>
    <col min="15" max="16" width="15" style="1" customWidth="1"/>
    <col min="17" max="17" width="1" style="1" customWidth="1"/>
    <col min="18" max="19" width="15" style="1" customWidth="1"/>
    <col min="20" max="20" width="1" style="1" customWidth="1"/>
    <col min="21" max="22" width="15" style="1" customWidth="1"/>
    <col min="23" max="23" width="9.109375" style="1" customWidth="1"/>
    <col min="24" max="16384" width="9.109375" style="1"/>
  </cols>
  <sheetData>
    <row r="1" spans="1:22">
      <c r="A1" s="85" t="s">
        <v>123</v>
      </c>
      <c r="B1" s="79"/>
      <c r="C1" s="79"/>
      <c r="D1" s="79"/>
      <c r="E1" s="79"/>
      <c r="F1" s="79"/>
      <c r="G1" s="79"/>
    </row>
    <row r="3" spans="1:22">
      <c r="B3" s="86" t="s">
        <v>1</v>
      </c>
      <c r="C3" s="87"/>
      <c r="D3" s="87"/>
      <c r="E3" s="87"/>
      <c r="F3" s="87"/>
      <c r="G3" s="88"/>
      <c r="L3" s="89" t="s">
        <v>2</v>
      </c>
      <c r="M3" s="90"/>
      <c r="N3" s="90"/>
      <c r="O3" s="90"/>
      <c r="P3" s="90"/>
      <c r="Q3" s="90"/>
      <c r="R3" s="90"/>
      <c r="S3" s="90"/>
      <c r="T3" s="90"/>
      <c r="U3" s="90"/>
      <c r="V3" s="91"/>
    </row>
    <row r="4" spans="1:22">
      <c r="B4" s="6"/>
      <c r="G4" s="9"/>
      <c r="L4" s="92" t="s">
        <v>3</v>
      </c>
      <c r="M4" s="93"/>
      <c r="N4" s="3"/>
      <c r="O4" s="94" t="s">
        <v>4</v>
      </c>
      <c r="P4" s="93"/>
      <c r="Q4" s="3"/>
      <c r="R4" s="94" t="s">
        <v>5</v>
      </c>
      <c r="S4" s="93"/>
      <c r="T4" s="3"/>
      <c r="U4" s="94" t="s">
        <v>6</v>
      </c>
      <c r="V4" s="95"/>
    </row>
    <row r="5" spans="1:22" ht="60" customHeight="1">
      <c r="B5" s="7" t="s">
        <v>3</v>
      </c>
      <c r="C5" s="4" t="s">
        <v>4</v>
      </c>
      <c r="D5" s="4" t="s">
        <v>5</v>
      </c>
      <c r="E5" s="4" t="s">
        <v>6</v>
      </c>
      <c r="F5" s="4" t="s">
        <v>7</v>
      </c>
      <c r="G5" s="10" t="s">
        <v>8</v>
      </c>
      <c r="L5" s="19" t="s">
        <v>9</v>
      </c>
      <c r="M5" s="18" t="s">
        <v>10</v>
      </c>
      <c r="N5" s="18"/>
      <c r="O5" s="18" t="s">
        <v>9</v>
      </c>
      <c r="P5" s="18" t="s">
        <v>10</v>
      </c>
      <c r="Q5" s="18"/>
      <c r="R5" s="18" t="s">
        <v>9</v>
      </c>
      <c r="S5" s="18" t="s">
        <v>10</v>
      </c>
      <c r="T5" s="18"/>
      <c r="U5" s="18" t="s">
        <v>9</v>
      </c>
      <c r="V5" s="20" t="s">
        <v>10</v>
      </c>
    </row>
    <row r="6" spans="1:22">
      <c r="A6" s="1" t="s">
        <v>11</v>
      </c>
      <c r="B6" s="6">
        <v>0</v>
      </c>
      <c r="C6" s="1">
        <v>0</v>
      </c>
      <c r="D6" s="1">
        <v>0</v>
      </c>
      <c r="E6" s="1">
        <v>0</v>
      </c>
      <c r="F6" s="1">
        <v>0</v>
      </c>
      <c r="G6" s="9">
        <f>SUM(AL_FINANCIAL)</f>
        <v>0</v>
      </c>
      <c r="L6" s="6"/>
      <c r="V6" s="9"/>
    </row>
    <row r="7" spans="1:22">
      <c r="A7" s="1" t="s">
        <v>12</v>
      </c>
      <c r="B7" s="6">
        <v>0</v>
      </c>
      <c r="C7" s="1">
        <v>0</v>
      </c>
      <c r="D7" s="1">
        <v>0</v>
      </c>
      <c r="E7" s="1">
        <v>0</v>
      </c>
      <c r="F7" s="1">
        <v>0</v>
      </c>
      <c r="G7" s="9">
        <f>SUM(AK_FINANCIAL)</f>
        <v>0</v>
      </c>
      <c r="I7" s="12"/>
      <c r="J7" s="15"/>
      <c r="L7" s="6"/>
      <c r="V7" s="9"/>
    </row>
    <row r="8" spans="1:22">
      <c r="A8" s="1" t="s">
        <v>13</v>
      </c>
      <c r="B8" s="6">
        <v>0</v>
      </c>
      <c r="C8" s="1">
        <v>0</v>
      </c>
      <c r="D8" s="1">
        <v>0</v>
      </c>
      <c r="E8" s="1">
        <v>0</v>
      </c>
      <c r="F8" s="1">
        <v>0</v>
      </c>
      <c r="G8" s="9">
        <f>SUM(AZ_FINANCIAL)</f>
        <v>0</v>
      </c>
      <c r="I8" s="13" t="s">
        <v>14</v>
      </c>
      <c r="J8" s="16"/>
      <c r="L8" s="6"/>
      <c r="V8" s="9"/>
    </row>
    <row r="9" spans="1:22">
      <c r="A9" s="1" t="s">
        <v>15</v>
      </c>
      <c r="B9" s="6">
        <v>0</v>
      </c>
      <c r="C9" s="1">
        <v>0</v>
      </c>
      <c r="D9" s="1">
        <v>0</v>
      </c>
      <c r="E9" s="1">
        <v>0</v>
      </c>
      <c r="F9" s="1">
        <v>0</v>
      </c>
      <c r="G9" s="9">
        <f>SUM(AR_FINANCIAL)</f>
        <v>0</v>
      </c>
      <c r="I9" s="13"/>
      <c r="J9" s="16"/>
      <c r="L9" s="6"/>
      <c r="V9" s="9"/>
    </row>
    <row r="10" spans="1:22">
      <c r="A10" s="1" t="s">
        <v>16</v>
      </c>
      <c r="B10" s="6">
        <v>0</v>
      </c>
      <c r="C10" s="1">
        <v>0</v>
      </c>
      <c r="D10" s="1">
        <v>0</v>
      </c>
      <c r="E10" s="1">
        <v>0</v>
      </c>
      <c r="F10" s="1">
        <v>0</v>
      </c>
      <c r="G10" s="9">
        <f>SUM(CA_FINANCIAL)</f>
        <v>0</v>
      </c>
      <c r="I10" s="13" t="s">
        <v>17</v>
      </c>
      <c r="J10" s="16">
        <v>19475000</v>
      </c>
      <c r="L10" s="6"/>
      <c r="V10" s="9"/>
    </row>
    <row r="11" spans="1:22">
      <c r="A11" s="1" t="s">
        <v>18</v>
      </c>
      <c r="B11" s="6">
        <v>0</v>
      </c>
      <c r="C11" s="1">
        <v>0</v>
      </c>
      <c r="D11" s="1">
        <v>0</v>
      </c>
      <c r="E11" s="1">
        <v>0</v>
      </c>
      <c r="F11" s="1">
        <v>0</v>
      </c>
      <c r="G11" s="9">
        <f>SUM(CO_FINANCIAL)</f>
        <v>0</v>
      </c>
      <c r="I11" s="13"/>
      <c r="J11" s="16"/>
      <c r="L11" s="6"/>
      <c r="V11" s="9"/>
    </row>
    <row r="12" spans="1:22">
      <c r="A12" s="1" t="s">
        <v>19</v>
      </c>
      <c r="B12" s="6">
        <v>0</v>
      </c>
      <c r="C12" s="1">
        <v>0</v>
      </c>
      <c r="D12" s="1">
        <v>0</v>
      </c>
      <c r="E12" s="1">
        <v>0</v>
      </c>
      <c r="F12" s="1">
        <v>0</v>
      </c>
      <c r="G12" s="9">
        <f>SUM(CT_FINANCIAL)</f>
        <v>0</v>
      </c>
      <c r="I12" s="13" t="s">
        <v>20</v>
      </c>
      <c r="J12" s="16"/>
      <c r="L12" s="6"/>
      <c r="V12" s="9"/>
    </row>
    <row r="13" spans="1:22">
      <c r="A13" s="1" t="s">
        <v>21</v>
      </c>
      <c r="B13" s="6">
        <v>0</v>
      </c>
      <c r="C13" s="1">
        <v>0</v>
      </c>
      <c r="D13" s="1">
        <v>0</v>
      </c>
      <c r="E13" s="1">
        <v>0</v>
      </c>
      <c r="F13" s="1">
        <v>0</v>
      </c>
      <c r="G13" s="9">
        <f>SUM(DE_FINANCIAL)</f>
        <v>0</v>
      </c>
      <c r="I13" s="13" t="s">
        <v>22</v>
      </c>
      <c r="J13" s="16">
        <v>19475000</v>
      </c>
      <c r="L13" s="6"/>
      <c r="V13" s="9"/>
    </row>
    <row r="14" spans="1:22">
      <c r="A14" s="1" t="s">
        <v>23</v>
      </c>
      <c r="B14" s="6">
        <v>0</v>
      </c>
      <c r="C14" s="1">
        <v>0</v>
      </c>
      <c r="D14" s="1">
        <v>0</v>
      </c>
      <c r="E14" s="1">
        <v>0</v>
      </c>
      <c r="F14" s="1">
        <v>0</v>
      </c>
      <c r="G14" s="9">
        <f>SUM(DC_FINANCIAL)</f>
        <v>0</v>
      </c>
      <c r="I14" s="13" t="s">
        <v>24</v>
      </c>
      <c r="J14" s="16">
        <v>4100000</v>
      </c>
      <c r="L14" s="6"/>
      <c r="V14" s="9"/>
    </row>
    <row r="15" spans="1:22">
      <c r="A15" s="1" t="s">
        <v>25</v>
      </c>
      <c r="B15" s="6">
        <v>0</v>
      </c>
      <c r="C15" s="1">
        <v>0</v>
      </c>
      <c r="D15" s="1">
        <v>0</v>
      </c>
      <c r="E15" s="1">
        <v>0</v>
      </c>
      <c r="F15" s="1">
        <v>0</v>
      </c>
      <c r="G15" s="9">
        <f>SUM(FL_FINANCIAL)</f>
        <v>0</v>
      </c>
      <c r="I15" s="13" t="s">
        <v>26</v>
      </c>
      <c r="J15" s="16">
        <v>0</v>
      </c>
      <c r="L15" s="6"/>
      <c r="V15" s="9"/>
    </row>
    <row r="16" spans="1:22">
      <c r="A16" s="1" t="s">
        <v>27</v>
      </c>
      <c r="B16" s="6">
        <v>0</v>
      </c>
      <c r="C16" s="1">
        <v>0</v>
      </c>
      <c r="D16" s="1">
        <v>0</v>
      </c>
      <c r="E16" s="1">
        <v>0</v>
      </c>
      <c r="F16" s="1">
        <v>0</v>
      </c>
      <c r="G16" s="9">
        <f>SUM(GA_FINANCIAL)</f>
        <v>0</v>
      </c>
      <c r="I16" s="13" t="s">
        <v>28</v>
      </c>
      <c r="J16" s="16">
        <v>50000</v>
      </c>
      <c r="L16" s="6"/>
      <c r="V16" s="9"/>
    </row>
    <row r="17" spans="1:22">
      <c r="A17" s="1" t="s">
        <v>29</v>
      </c>
      <c r="B17" s="6">
        <v>0</v>
      </c>
      <c r="C17" s="1">
        <v>0</v>
      </c>
      <c r="D17" s="1">
        <v>0</v>
      </c>
      <c r="E17" s="1">
        <v>0</v>
      </c>
      <c r="F17" s="1">
        <v>0</v>
      </c>
      <c r="G17" s="9">
        <f>SUM(HI_FINANCIAL)</f>
        <v>0</v>
      </c>
      <c r="I17" s="13"/>
      <c r="J17" s="16"/>
      <c r="L17" s="6"/>
      <c r="V17" s="9"/>
    </row>
    <row r="18" spans="1:22">
      <c r="A18" s="1" t="s">
        <v>30</v>
      </c>
      <c r="B18" s="6">
        <v>0</v>
      </c>
      <c r="C18" s="1">
        <v>0</v>
      </c>
      <c r="D18" s="1">
        <v>0</v>
      </c>
      <c r="E18" s="1">
        <v>0</v>
      </c>
      <c r="F18" s="1">
        <v>0</v>
      </c>
      <c r="G18" s="9">
        <f>SUM(ID_FINANCIAL)</f>
        <v>0</v>
      </c>
      <c r="I18" s="13" t="s">
        <v>31</v>
      </c>
      <c r="J18" s="16"/>
      <c r="L18" s="6"/>
      <c r="V18" s="9"/>
    </row>
    <row r="19" spans="1:22">
      <c r="A19" s="1" t="s">
        <v>32</v>
      </c>
      <c r="B19" s="6">
        <v>0</v>
      </c>
      <c r="C19" s="1">
        <v>0</v>
      </c>
      <c r="D19" s="1">
        <v>0</v>
      </c>
      <c r="E19" s="1">
        <v>0</v>
      </c>
      <c r="F19" s="1">
        <v>0</v>
      </c>
      <c r="G19" s="9">
        <f>SUM(IL_FINANCIAL)</f>
        <v>0</v>
      </c>
      <c r="I19" s="13" t="s">
        <v>33</v>
      </c>
      <c r="J19" s="16">
        <v>0</v>
      </c>
      <c r="L19" s="6"/>
      <c r="V19" s="9"/>
    </row>
    <row r="20" spans="1:22">
      <c r="A20" s="1" t="s">
        <v>34</v>
      </c>
      <c r="B20" s="6">
        <v>0</v>
      </c>
      <c r="C20" s="1">
        <v>0</v>
      </c>
      <c r="D20" s="1">
        <v>0</v>
      </c>
      <c r="E20" s="1">
        <v>0</v>
      </c>
      <c r="F20" s="1">
        <v>0</v>
      </c>
      <c r="G20" s="9">
        <f>SUM(IN_FINANCIAL)</f>
        <v>0</v>
      </c>
      <c r="I20" s="13" t="s">
        <v>35</v>
      </c>
      <c r="J20" s="16">
        <v>19475000</v>
      </c>
      <c r="L20" s="6"/>
      <c r="V20" s="9"/>
    </row>
    <row r="21" spans="1:22">
      <c r="A21" s="1" t="s">
        <v>36</v>
      </c>
      <c r="B21" s="6">
        <v>0</v>
      </c>
      <c r="C21" s="1">
        <v>0</v>
      </c>
      <c r="D21" s="1">
        <v>0</v>
      </c>
      <c r="E21" s="1">
        <v>0</v>
      </c>
      <c r="F21" s="1">
        <v>0</v>
      </c>
      <c r="G21" s="9">
        <f>SUM(IA_FINANCIAL)</f>
        <v>0</v>
      </c>
      <c r="I21" s="13" t="s">
        <v>37</v>
      </c>
      <c r="J21" s="16"/>
      <c r="L21" s="6"/>
      <c r="V21" s="9"/>
    </row>
    <row r="22" spans="1:22">
      <c r="A22" s="1" t="s">
        <v>38</v>
      </c>
      <c r="B22" s="6">
        <v>0</v>
      </c>
      <c r="C22" s="1">
        <v>0</v>
      </c>
      <c r="D22" s="1">
        <v>0</v>
      </c>
      <c r="E22" s="1">
        <v>0</v>
      </c>
      <c r="F22" s="1">
        <v>0</v>
      </c>
      <c r="G22" s="9">
        <f>SUM(KS_FINANCIAL)</f>
        <v>0</v>
      </c>
      <c r="I22" s="13" t="s">
        <v>39</v>
      </c>
      <c r="J22" s="16">
        <v>0</v>
      </c>
      <c r="L22" s="6"/>
      <c r="V22" s="9"/>
    </row>
    <row r="23" spans="1:22">
      <c r="A23" s="1" t="s">
        <v>40</v>
      </c>
      <c r="B23" s="6">
        <v>0</v>
      </c>
      <c r="C23" s="1">
        <v>0</v>
      </c>
      <c r="D23" s="1">
        <v>0</v>
      </c>
      <c r="E23" s="1">
        <v>0</v>
      </c>
      <c r="F23" s="1">
        <v>0</v>
      </c>
      <c r="G23" s="9">
        <f>SUM(KY_FINANCIAL)</f>
        <v>0</v>
      </c>
      <c r="I23" s="13" t="s">
        <v>41</v>
      </c>
      <c r="J23" s="16"/>
      <c r="L23" s="6"/>
      <c r="V23" s="9"/>
    </row>
    <row r="24" spans="1:22">
      <c r="A24" s="1" t="s">
        <v>42</v>
      </c>
      <c r="B24" s="6">
        <v>0</v>
      </c>
      <c r="C24" s="1">
        <v>0</v>
      </c>
      <c r="D24" s="1">
        <v>0</v>
      </c>
      <c r="E24" s="1">
        <v>0</v>
      </c>
      <c r="F24" s="1">
        <v>0</v>
      </c>
      <c r="G24" s="9">
        <f>SUM(LA_FINANCIAL)</f>
        <v>0</v>
      </c>
      <c r="I24" s="13" t="s">
        <v>43</v>
      </c>
      <c r="J24" s="16">
        <v>0</v>
      </c>
      <c r="L24" s="6"/>
      <c r="V24" s="9"/>
    </row>
    <row r="25" spans="1:22">
      <c r="A25" s="1" t="s">
        <v>44</v>
      </c>
      <c r="B25" s="6">
        <v>0</v>
      </c>
      <c r="C25" s="1">
        <v>0</v>
      </c>
      <c r="D25" s="1">
        <v>0</v>
      </c>
      <c r="E25" s="1">
        <v>0</v>
      </c>
      <c r="F25" s="1">
        <v>0</v>
      </c>
      <c r="G25" s="9">
        <f>SUM(ME_FINANCIAL)</f>
        <v>0</v>
      </c>
      <c r="I25" s="13"/>
      <c r="J25" s="16"/>
      <c r="L25" s="6"/>
      <c r="V25" s="9"/>
    </row>
    <row r="26" spans="1:22">
      <c r="A26" s="1" t="s">
        <v>45</v>
      </c>
      <c r="B26" s="6">
        <v>0</v>
      </c>
      <c r="C26" s="1">
        <v>0</v>
      </c>
      <c r="D26" s="1">
        <v>0</v>
      </c>
      <c r="E26" s="1">
        <v>0</v>
      </c>
      <c r="F26" s="1">
        <v>0</v>
      </c>
      <c r="G26" s="9">
        <f>SUM(MD_FINANCIAL)</f>
        <v>0</v>
      </c>
      <c r="I26" s="13" t="s">
        <v>46</v>
      </c>
      <c r="J26" s="16">
        <f>SUM(ADD_FINANCIAL)-SUM(LESS_FINANCIAL)</f>
        <v>23625000</v>
      </c>
      <c r="L26" s="6"/>
      <c r="V26" s="9"/>
    </row>
    <row r="27" spans="1:22">
      <c r="A27" s="1" t="s">
        <v>47</v>
      </c>
      <c r="B27" s="6">
        <v>0</v>
      </c>
      <c r="C27" s="1">
        <v>0</v>
      </c>
      <c r="D27" s="1">
        <v>0</v>
      </c>
      <c r="E27" s="1">
        <v>0</v>
      </c>
      <c r="F27" s="1">
        <v>0</v>
      </c>
      <c r="G27" s="9">
        <f>SUM(MA_FINANCIAL)</f>
        <v>0</v>
      </c>
      <c r="I27" s="13" t="s">
        <v>48</v>
      </c>
      <c r="J27" s="16">
        <f>SUM(ALL_BLOCKS)</f>
        <v>23625000</v>
      </c>
      <c r="L27" s="6"/>
      <c r="V27" s="9"/>
    </row>
    <row r="28" spans="1:22">
      <c r="A28" s="1" t="s">
        <v>49</v>
      </c>
      <c r="B28" s="6">
        <v>0</v>
      </c>
      <c r="C28" s="1">
        <v>0</v>
      </c>
      <c r="D28" s="1">
        <v>0</v>
      </c>
      <c r="E28" s="1">
        <v>0</v>
      </c>
      <c r="F28" s="1">
        <v>0</v>
      </c>
      <c r="G28" s="9">
        <f>SUM(MI_FINANCIAL)</f>
        <v>0</v>
      </c>
      <c r="I28" s="14"/>
      <c r="J28" s="17"/>
      <c r="L28" s="6"/>
      <c r="V28" s="9"/>
    </row>
    <row r="29" spans="1:22">
      <c r="A29" s="1" t="s">
        <v>50</v>
      </c>
      <c r="B29" s="6">
        <v>0</v>
      </c>
      <c r="C29" s="1">
        <v>0</v>
      </c>
      <c r="D29" s="1">
        <v>0</v>
      </c>
      <c r="E29" s="1">
        <v>0</v>
      </c>
      <c r="F29" s="1">
        <v>0</v>
      </c>
      <c r="G29" s="9">
        <f>SUM(MN_FINANCIAL)</f>
        <v>0</v>
      </c>
      <c r="L29" s="6"/>
      <c r="V29" s="9"/>
    </row>
    <row r="30" spans="1:22">
      <c r="A30" s="1" t="s">
        <v>51</v>
      </c>
      <c r="B30" s="6">
        <v>0</v>
      </c>
      <c r="C30" s="1">
        <v>0</v>
      </c>
      <c r="D30" s="1">
        <v>0</v>
      </c>
      <c r="E30" s="1">
        <v>0</v>
      </c>
      <c r="F30" s="1">
        <v>0</v>
      </c>
      <c r="G30" s="9">
        <f>SUM(MS_FINANCIAL)</f>
        <v>0</v>
      </c>
      <c r="L30" s="6"/>
      <c r="V30" s="9"/>
    </row>
    <row r="31" spans="1:22">
      <c r="A31" s="1" t="s">
        <v>52</v>
      </c>
      <c r="B31" s="6">
        <v>0</v>
      </c>
      <c r="C31" s="1">
        <v>0</v>
      </c>
      <c r="D31" s="1">
        <v>0</v>
      </c>
      <c r="E31" s="1">
        <v>0</v>
      </c>
      <c r="F31" s="1">
        <v>0</v>
      </c>
      <c r="G31" s="9">
        <f>SUM(MO_FINANCIAL)</f>
        <v>0</v>
      </c>
      <c r="L31" s="6"/>
      <c r="V31" s="9"/>
    </row>
    <row r="32" spans="1:22">
      <c r="A32" s="1" t="s">
        <v>53</v>
      </c>
      <c r="B32" s="6">
        <v>0</v>
      </c>
      <c r="C32" s="1">
        <v>0</v>
      </c>
      <c r="D32" s="1">
        <v>0</v>
      </c>
      <c r="E32" s="1">
        <v>0</v>
      </c>
      <c r="F32" s="1">
        <v>0</v>
      </c>
      <c r="G32" s="9">
        <f>SUM(MT_FINANCIAL)</f>
        <v>0</v>
      </c>
      <c r="L32" s="6"/>
      <c r="V32" s="9"/>
    </row>
    <row r="33" spans="1:22">
      <c r="A33" s="1" t="s">
        <v>54</v>
      </c>
      <c r="B33" s="6">
        <v>0</v>
      </c>
      <c r="C33" s="1">
        <v>0</v>
      </c>
      <c r="D33" s="1">
        <v>0</v>
      </c>
      <c r="E33" s="1">
        <v>0</v>
      </c>
      <c r="F33" s="1">
        <v>0</v>
      </c>
      <c r="G33" s="9">
        <f>SUM(NE_FINANCIAL)</f>
        <v>0</v>
      </c>
      <c r="L33" s="6"/>
      <c r="V33" s="9"/>
    </row>
    <row r="34" spans="1:22">
      <c r="A34" s="1" t="s">
        <v>55</v>
      </c>
      <c r="B34" s="6">
        <v>0</v>
      </c>
      <c r="C34" s="1">
        <v>0</v>
      </c>
      <c r="D34" s="1">
        <v>0</v>
      </c>
      <c r="E34" s="1">
        <v>0</v>
      </c>
      <c r="F34" s="1">
        <v>0</v>
      </c>
      <c r="G34" s="9">
        <f>SUM(NV_FINANCIAL)</f>
        <v>0</v>
      </c>
      <c r="L34" s="6"/>
      <c r="V34" s="9"/>
    </row>
    <row r="35" spans="1:22">
      <c r="A35" s="1" t="s">
        <v>56</v>
      </c>
      <c r="B35" s="6">
        <v>0</v>
      </c>
      <c r="C35" s="1">
        <v>0</v>
      </c>
      <c r="D35" s="1">
        <v>0</v>
      </c>
      <c r="E35" s="1">
        <v>0</v>
      </c>
      <c r="F35" s="1">
        <v>0</v>
      </c>
      <c r="G35" s="9">
        <f>SUM(NH_FINANCIAL)</f>
        <v>0</v>
      </c>
      <c r="L35" s="6"/>
      <c r="V35" s="9"/>
    </row>
    <row r="36" spans="1:22">
      <c r="A36" s="1" t="s">
        <v>57</v>
      </c>
      <c r="B36" s="6">
        <v>0</v>
      </c>
      <c r="C36" s="1">
        <v>0</v>
      </c>
      <c r="D36" s="1">
        <v>23625000</v>
      </c>
      <c r="E36" s="1">
        <v>0</v>
      </c>
      <c r="F36" s="1">
        <v>0</v>
      </c>
      <c r="G36" s="9">
        <f>SUM(NJ_FINANCIAL)</f>
        <v>23625000</v>
      </c>
      <c r="L36" s="6">
        <v>0</v>
      </c>
      <c r="M36" s="1">
        <v>0</v>
      </c>
      <c r="O36" s="1">
        <v>0</v>
      </c>
      <c r="P36" s="1">
        <v>0</v>
      </c>
      <c r="R36" s="1">
        <v>26600000</v>
      </c>
      <c r="S36" s="1">
        <v>26599905</v>
      </c>
      <c r="U36" s="1">
        <v>0</v>
      </c>
      <c r="V36" s="9">
        <v>0</v>
      </c>
    </row>
    <row r="37" spans="1:22">
      <c r="A37" s="1" t="s">
        <v>58</v>
      </c>
      <c r="B37" s="6">
        <v>0</v>
      </c>
      <c r="C37" s="1">
        <v>0</v>
      </c>
      <c r="D37" s="1">
        <v>0</v>
      </c>
      <c r="E37" s="1">
        <v>0</v>
      </c>
      <c r="F37" s="1">
        <v>0</v>
      </c>
      <c r="G37" s="9">
        <f>SUM(NM_FINANCIAL)</f>
        <v>0</v>
      </c>
      <c r="L37" s="6"/>
      <c r="V37" s="9"/>
    </row>
    <row r="38" spans="1:22">
      <c r="A38" s="1" t="s">
        <v>59</v>
      </c>
      <c r="B38" s="6">
        <v>0</v>
      </c>
      <c r="C38" s="1">
        <v>0</v>
      </c>
      <c r="D38" s="1">
        <v>0</v>
      </c>
      <c r="E38" s="1">
        <v>0</v>
      </c>
      <c r="F38" s="1">
        <v>0</v>
      </c>
      <c r="G38" s="9">
        <f>SUM(NY_FINANCIAL)</f>
        <v>0</v>
      </c>
      <c r="L38" s="6"/>
      <c r="V38" s="9"/>
    </row>
    <row r="39" spans="1:22">
      <c r="A39" s="1" t="s">
        <v>60</v>
      </c>
      <c r="B39" s="6">
        <v>0</v>
      </c>
      <c r="C39" s="1">
        <v>0</v>
      </c>
      <c r="D39" s="1">
        <v>0</v>
      </c>
      <c r="E39" s="1">
        <v>0</v>
      </c>
      <c r="F39" s="1">
        <v>0</v>
      </c>
      <c r="G39" s="9">
        <f>SUM(NC_FINANCIAL)</f>
        <v>0</v>
      </c>
      <c r="L39" s="6"/>
      <c r="V39" s="9"/>
    </row>
    <row r="40" spans="1:22">
      <c r="A40" s="1" t="s">
        <v>61</v>
      </c>
      <c r="B40" s="6">
        <v>0</v>
      </c>
      <c r="C40" s="1">
        <v>0</v>
      </c>
      <c r="D40" s="1">
        <v>0</v>
      </c>
      <c r="E40" s="1">
        <v>0</v>
      </c>
      <c r="F40" s="1">
        <v>0</v>
      </c>
      <c r="G40" s="9">
        <f>SUM(ND_FINANCIAL)</f>
        <v>0</v>
      </c>
      <c r="L40" s="6"/>
      <c r="V40" s="9"/>
    </row>
    <row r="41" spans="1:22">
      <c r="A41" s="1" t="s">
        <v>62</v>
      </c>
      <c r="B41" s="6">
        <v>0</v>
      </c>
      <c r="C41" s="1">
        <v>0</v>
      </c>
      <c r="D41" s="1">
        <v>0</v>
      </c>
      <c r="E41" s="1">
        <v>0</v>
      </c>
      <c r="F41" s="1">
        <v>0</v>
      </c>
      <c r="G41" s="9">
        <f>SUM(OH_FINANCIAL)</f>
        <v>0</v>
      </c>
      <c r="L41" s="6"/>
      <c r="V41" s="9"/>
    </row>
    <row r="42" spans="1:22">
      <c r="A42" s="1" t="s">
        <v>63</v>
      </c>
      <c r="B42" s="6">
        <v>0</v>
      </c>
      <c r="C42" s="1">
        <v>0</v>
      </c>
      <c r="D42" s="1">
        <v>0</v>
      </c>
      <c r="E42" s="1">
        <v>0</v>
      </c>
      <c r="F42" s="1">
        <v>0</v>
      </c>
      <c r="G42" s="9">
        <f>SUM(OK_FINANCIAL)</f>
        <v>0</v>
      </c>
      <c r="L42" s="6"/>
      <c r="V42" s="9"/>
    </row>
    <row r="43" spans="1:22">
      <c r="A43" s="1" t="s">
        <v>64</v>
      </c>
      <c r="B43" s="6">
        <v>0</v>
      </c>
      <c r="C43" s="1">
        <v>0</v>
      </c>
      <c r="D43" s="1">
        <v>0</v>
      </c>
      <c r="E43" s="1">
        <v>0</v>
      </c>
      <c r="F43" s="1">
        <v>0</v>
      </c>
      <c r="G43" s="9">
        <f>SUM(OR_FINANCIAL)</f>
        <v>0</v>
      </c>
      <c r="L43" s="6"/>
      <c r="V43" s="9"/>
    </row>
    <row r="44" spans="1:22">
      <c r="A44" s="1" t="s">
        <v>65</v>
      </c>
      <c r="B44" s="6">
        <v>0</v>
      </c>
      <c r="C44" s="1">
        <v>0</v>
      </c>
      <c r="D44" s="1">
        <v>0</v>
      </c>
      <c r="E44" s="1">
        <v>0</v>
      </c>
      <c r="F44" s="1">
        <v>0</v>
      </c>
      <c r="G44" s="9">
        <f>SUM(PA_FINANCIAL)</f>
        <v>0</v>
      </c>
      <c r="L44" s="6"/>
      <c r="V44" s="9"/>
    </row>
    <row r="45" spans="1:22">
      <c r="A45" s="1" t="s">
        <v>66</v>
      </c>
      <c r="B45" s="6">
        <v>0</v>
      </c>
      <c r="C45" s="1">
        <v>0</v>
      </c>
      <c r="D45" s="1">
        <v>0</v>
      </c>
      <c r="E45" s="1">
        <v>0</v>
      </c>
      <c r="F45" s="1">
        <v>0</v>
      </c>
      <c r="G45" s="9">
        <f>SUM(PR_FINANCIAL)</f>
        <v>0</v>
      </c>
      <c r="L45" s="6"/>
      <c r="V45" s="9"/>
    </row>
    <row r="46" spans="1:22">
      <c r="A46" s="1" t="s">
        <v>67</v>
      </c>
      <c r="B46" s="6">
        <v>0</v>
      </c>
      <c r="C46" s="1">
        <v>0</v>
      </c>
      <c r="D46" s="1">
        <v>0</v>
      </c>
      <c r="E46" s="1">
        <v>0</v>
      </c>
      <c r="F46" s="1">
        <v>0</v>
      </c>
      <c r="G46" s="9">
        <f>SUM(RI_FINANCIAL)</f>
        <v>0</v>
      </c>
      <c r="L46" s="6"/>
      <c r="V46" s="9"/>
    </row>
    <row r="47" spans="1:22">
      <c r="A47" s="1" t="s">
        <v>68</v>
      </c>
      <c r="B47" s="6">
        <v>0</v>
      </c>
      <c r="C47" s="1">
        <v>0</v>
      </c>
      <c r="D47" s="1">
        <v>0</v>
      </c>
      <c r="E47" s="1">
        <v>0</v>
      </c>
      <c r="F47" s="1">
        <v>0</v>
      </c>
      <c r="G47" s="9">
        <f>SUM(SC_FINANCIAL)</f>
        <v>0</v>
      </c>
      <c r="L47" s="6"/>
      <c r="V47" s="9"/>
    </row>
    <row r="48" spans="1:22">
      <c r="A48" s="1" t="s">
        <v>69</v>
      </c>
      <c r="B48" s="6">
        <v>0</v>
      </c>
      <c r="C48" s="1">
        <v>0</v>
      </c>
      <c r="D48" s="1">
        <v>0</v>
      </c>
      <c r="E48" s="1">
        <v>0</v>
      </c>
      <c r="F48" s="1">
        <v>0</v>
      </c>
      <c r="G48" s="9">
        <f>SUM(SD_FINANCIAL)</f>
        <v>0</v>
      </c>
      <c r="L48" s="6"/>
      <c r="V48" s="9"/>
    </row>
    <row r="49" spans="1:22">
      <c r="A49" s="1" t="s">
        <v>70</v>
      </c>
      <c r="B49" s="6">
        <v>0</v>
      </c>
      <c r="C49" s="1">
        <v>0</v>
      </c>
      <c r="D49" s="1">
        <v>0</v>
      </c>
      <c r="E49" s="1">
        <v>0</v>
      </c>
      <c r="F49" s="1">
        <v>0</v>
      </c>
      <c r="G49" s="9">
        <f>SUM(TN_FINANCIAL)</f>
        <v>0</v>
      </c>
      <c r="L49" s="6"/>
      <c r="V49" s="9"/>
    </row>
    <row r="50" spans="1:22">
      <c r="A50" s="1" t="s">
        <v>71</v>
      </c>
      <c r="B50" s="6">
        <v>0</v>
      </c>
      <c r="C50" s="1">
        <v>0</v>
      </c>
      <c r="D50" s="1">
        <v>0</v>
      </c>
      <c r="E50" s="1">
        <v>0</v>
      </c>
      <c r="F50" s="1">
        <v>0</v>
      </c>
      <c r="G50" s="9">
        <f>SUM(TX_FINANCIAL)</f>
        <v>0</v>
      </c>
      <c r="L50" s="6"/>
      <c r="V50" s="9"/>
    </row>
    <row r="51" spans="1:22">
      <c r="A51" s="1" t="s">
        <v>72</v>
      </c>
      <c r="B51" s="6">
        <v>0</v>
      </c>
      <c r="C51" s="1">
        <v>0</v>
      </c>
      <c r="D51" s="1">
        <v>0</v>
      </c>
      <c r="E51" s="1">
        <v>0</v>
      </c>
      <c r="F51" s="1">
        <v>0</v>
      </c>
      <c r="G51" s="9">
        <f>SUM(UT_FINANCIAL)</f>
        <v>0</v>
      </c>
      <c r="L51" s="6"/>
      <c r="V51" s="9"/>
    </row>
    <row r="52" spans="1:22">
      <c r="A52" s="1" t="s">
        <v>73</v>
      </c>
      <c r="B52" s="6">
        <v>0</v>
      </c>
      <c r="C52" s="1">
        <v>0</v>
      </c>
      <c r="D52" s="1">
        <v>0</v>
      </c>
      <c r="E52" s="1">
        <v>0</v>
      </c>
      <c r="F52" s="1">
        <v>0</v>
      </c>
      <c r="G52" s="9">
        <f>SUM(VT_FINANCIAL)</f>
        <v>0</v>
      </c>
      <c r="L52" s="6"/>
      <c r="V52" s="9"/>
    </row>
    <row r="53" spans="1:22">
      <c r="A53" s="1" t="s">
        <v>74</v>
      </c>
      <c r="B53" s="6">
        <v>0</v>
      </c>
      <c r="C53" s="1">
        <v>0</v>
      </c>
      <c r="D53" s="1">
        <v>0</v>
      </c>
      <c r="E53" s="1">
        <v>0</v>
      </c>
      <c r="F53" s="1">
        <v>0</v>
      </c>
      <c r="G53" s="9">
        <f>SUM(VA_FINANCIAL)</f>
        <v>0</v>
      </c>
      <c r="L53" s="6"/>
      <c r="V53" s="9"/>
    </row>
    <row r="54" spans="1:22">
      <c r="A54" s="1" t="s">
        <v>75</v>
      </c>
      <c r="B54" s="6">
        <v>0</v>
      </c>
      <c r="C54" s="1">
        <v>0</v>
      </c>
      <c r="D54" s="1">
        <v>0</v>
      </c>
      <c r="E54" s="1">
        <v>0</v>
      </c>
      <c r="F54" s="1">
        <v>0</v>
      </c>
      <c r="G54" s="9">
        <f>SUM(WA_FINANCIAL)</f>
        <v>0</v>
      </c>
      <c r="L54" s="6"/>
      <c r="V54" s="9"/>
    </row>
    <row r="55" spans="1:22">
      <c r="A55" s="1" t="s">
        <v>76</v>
      </c>
      <c r="B55" s="6">
        <v>0</v>
      </c>
      <c r="C55" s="1">
        <v>0</v>
      </c>
      <c r="D55" s="1">
        <v>0</v>
      </c>
      <c r="E55" s="1">
        <v>0</v>
      </c>
      <c r="F55" s="1">
        <v>0</v>
      </c>
      <c r="G55" s="9">
        <f>SUM(WV_FINANCIAL)</f>
        <v>0</v>
      </c>
      <c r="L55" s="6"/>
      <c r="V55" s="9"/>
    </row>
    <row r="56" spans="1:22">
      <c r="A56" s="1" t="s">
        <v>77</v>
      </c>
      <c r="B56" s="6">
        <v>0</v>
      </c>
      <c r="C56" s="1">
        <v>0</v>
      </c>
      <c r="D56" s="1">
        <v>0</v>
      </c>
      <c r="E56" s="1">
        <v>0</v>
      </c>
      <c r="F56" s="1">
        <v>0</v>
      </c>
      <c r="G56" s="9">
        <f>SUM(WI_FINANCIAL)</f>
        <v>0</v>
      </c>
      <c r="L56" s="6"/>
      <c r="V56" s="9"/>
    </row>
    <row r="57" spans="1:22">
      <c r="A57" s="1" t="s">
        <v>78</v>
      </c>
      <c r="B57" s="6">
        <v>0</v>
      </c>
      <c r="C57" s="1">
        <v>0</v>
      </c>
      <c r="D57" s="1">
        <v>0</v>
      </c>
      <c r="E57" s="1">
        <v>0</v>
      </c>
      <c r="F57" s="1">
        <v>0</v>
      </c>
      <c r="G57" s="9">
        <f>SUM(WY_FINANCIAL)</f>
        <v>0</v>
      </c>
      <c r="L57" s="6"/>
      <c r="V57" s="9"/>
    </row>
    <row r="58" spans="1:22">
      <c r="A58" s="1" t="s">
        <v>79</v>
      </c>
      <c r="B58" s="6">
        <v>0</v>
      </c>
      <c r="C58" s="1">
        <v>0</v>
      </c>
      <c r="D58" s="1">
        <v>0</v>
      </c>
      <c r="E58" s="1">
        <v>0</v>
      </c>
      <c r="F58" s="1">
        <v>0</v>
      </c>
      <c r="G58" s="9">
        <f>SUM(OT_FINANCIAL)</f>
        <v>0</v>
      </c>
      <c r="L58" s="6"/>
      <c r="V58" s="9"/>
    </row>
    <row r="59" spans="1:22">
      <c r="B59" s="6"/>
      <c r="G59" s="9"/>
      <c r="L59" s="6"/>
      <c r="V59" s="9"/>
    </row>
    <row r="60" spans="1:22">
      <c r="A60" s="1" t="s">
        <v>8</v>
      </c>
      <c r="B60" s="6">
        <f>SUM(LIFE)</f>
        <v>0</v>
      </c>
      <c r="C60" s="1">
        <f>SUM(ALLOCATED)</f>
        <v>0</v>
      </c>
      <c r="D60" s="1">
        <f>SUM(HEALTH)</f>
        <v>23625000</v>
      </c>
      <c r="E60" s="1">
        <f>SUM(UNALLOCATED)</f>
        <v>0</v>
      </c>
      <c r="F60" s="1">
        <f>SUM(LTC)</f>
        <v>0</v>
      </c>
      <c r="G60" s="9">
        <f>SUM(ALL_BLOCKS)</f>
        <v>23625000</v>
      </c>
      <c r="L60" s="6">
        <f>SUM(LIFE_CALLED)</f>
        <v>0</v>
      </c>
      <c r="M60" s="1">
        <f>SUM(LIFE_REFUNDED)</f>
        <v>0</v>
      </c>
      <c r="O60" s="1">
        <f>SUM(ALLOC_CALLED)</f>
        <v>0</v>
      </c>
      <c r="P60" s="1">
        <f>SUM(ALLOC_REFUNDED)</f>
        <v>0</v>
      </c>
      <c r="R60" s="1">
        <f>SUM(HEALTH_CALLED)</f>
        <v>26600000</v>
      </c>
      <c r="S60" s="1">
        <f>SUM(HEALTH_REFUNDED)</f>
        <v>26599905</v>
      </c>
      <c r="U60" s="1">
        <f>SUM(UNALLOC_CALLED)</f>
        <v>0</v>
      </c>
      <c r="V60" s="9">
        <f>SUM(UNALLOC_REFUNDED)</f>
        <v>0</v>
      </c>
    </row>
    <row r="61" spans="1:22" ht="5.0999999999999996" customHeight="1">
      <c r="B61" s="6"/>
      <c r="G61" s="9"/>
      <c r="L61" s="6"/>
      <c r="V61" s="9"/>
    </row>
    <row r="62" spans="1:22">
      <c r="B62" s="6"/>
      <c r="G62" s="9"/>
      <c r="L62" s="78" t="s">
        <v>80</v>
      </c>
      <c r="M62" s="79"/>
      <c r="N62" s="79"/>
      <c r="O62" s="79"/>
      <c r="P62" s="79"/>
      <c r="Q62" s="79"/>
      <c r="R62" s="79"/>
      <c r="S62" s="79"/>
      <c r="T62" s="79"/>
      <c r="U62" s="79"/>
      <c r="V62" s="80"/>
    </row>
    <row r="63" spans="1:22">
      <c r="B63" s="6"/>
      <c r="G63" s="9"/>
      <c r="L63" s="81"/>
      <c r="M63" s="79"/>
      <c r="N63" s="79"/>
      <c r="O63" s="79"/>
      <c r="P63" s="79"/>
      <c r="Q63" s="79"/>
      <c r="R63" s="79"/>
      <c r="S63" s="79"/>
      <c r="T63" s="79"/>
      <c r="U63" s="79"/>
      <c r="V63" s="80"/>
    </row>
    <row r="64" spans="1:22">
      <c r="B64" s="8"/>
      <c r="C64" s="5"/>
      <c r="D64" s="5"/>
      <c r="E64" s="5"/>
      <c r="F64" s="5"/>
      <c r="G64" s="11"/>
      <c r="L64" s="82"/>
      <c r="M64" s="83"/>
      <c r="N64" s="83"/>
      <c r="O64" s="83"/>
      <c r="P64" s="83"/>
      <c r="Q64" s="83"/>
      <c r="R64" s="83"/>
      <c r="S64" s="83"/>
      <c r="T64" s="83"/>
      <c r="U64" s="83"/>
      <c r="V64" s="84"/>
    </row>
  </sheetData>
  <mergeCells count="8">
    <mergeCell ref="L62:V64"/>
    <mergeCell ref="A1:G1"/>
    <mergeCell ref="B3:G3"/>
    <mergeCell ref="L3:V3"/>
    <mergeCell ref="L4:M4"/>
    <mergeCell ref="O4:P4"/>
    <mergeCell ref="R4:S4"/>
    <mergeCell ref="U4:V4"/>
  </mergeCells>
  <pageMargins left="0" right="0" top="0" bottom="0" header="0" footer="0"/>
  <pageSetup scale="48"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V64"/>
  <sheetViews>
    <sheetView topLeftCell="A5" zoomScale="75" workbookViewId="0">
      <selection sqref="A1:G1"/>
    </sheetView>
  </sheetViews>
  <sheetFormatPr defaultColWidth="9.109375" defaultRowHeight="14.4"/>
  <cols>
    <col min="1" max="1" width="20" style="1" customWidth="1"/>
    <col min="2" max="7" width="15" style="1" customWidth="1"/>
    <col min="8" max="8" width="1" style="1" customWidth="1"/>
    <col min="9" max="9" width="30" style="1" customWidth="1"/>
    <col min="10" max="10" width="15" style="1" customWidth="1"/>
    <col min="11" max="11" width="1" style="1" customWidth="1"/>
    <col min="12" max="13" width="15" style="1" customWidth="1"/>
    <col min="14" max="14" width="1" style="1" customWidth="1"/>
    <col min="15" max="16" width="15" style="1" customWidth="1"/>
    <col min="17" max="17" width="1" style="1" customWidth="1"/>
    <col min="18" max="19" width="15" style="1" customWidth="1"/>
    <col min="20" max="20" width="1" style="1" customWidth="1"/>
    <col min="21" max="22" width="15" style="1" customWidth="1"/>
    <col min="23" max="23" width="9.109375" style="1" customWidth="1"/>
    <col min="24" max="16384" width="9.109375" style="1"/>
  </cols>
  <sheetData>
    <row r="1" spans="1:22">
      <c r="A1" s="85" t="s">
        <v>124</v>
      </c>
      <c r="B1" s="79"/>
      <c r="C1" s="79"/>
      <c r="D1" s="79"/>
      <c r="E1" s="79"/>
      <c r="F1" s="79"/>
      <c r="G1" s="79"/>
    </row>
    <row r="3" spans="1:22">
      <c r="B3" s="86" t="s">
        <v>1</v>
      </c>
      <c r="C3" s="87"/>
      <c r="D3" s="87"/>
      <c r="E3" s="87"/>
      <c r="F3" s="87"/>
      <c r="G3" s="88"/>
      <c r="L3" s="89" t="s">
        <v>2</v>
      </c>
      <c r="M3" s="90"/>
      <c r="N3" s="90"/>
      <c r="O3" s="90"/>
      <c r="P3" s="90"/>
      <c r="Q3" s="90"/>
      <c r="R3" s="90"/>
      <c r="S3" s="90"/>
      <c r="T3" s="90"/>
      <c r="U3" s="90"/>
      <c r="V3" s="91"/>
    </row>
    <row r="4" spans="1:22">
      <c r="B4" s="6"/>
      <c r="G4" s="9"/>
      <c r="L4" s="92" t="s">
        <v>3</v>
      </c>
      <c r="M4" s="93"/>
      <c r="N4" s="3"/>
      <c r="O4" s="94" t="s">
        <v>4</v>
      </c>
      <c r="P4" s="93"/>
      <c r="Q4" s="3"/>
      <c r="R4" s="94" t="s">
        <v>5</v>
      </c>
      <c r="S4" s="93"/>
      <c r="T4" s="3"/>
      <c r="U4" s="94" t="s">
        <v>6</v>
      </c>
      <c r="V4" s="95"/>
    </row>
    <row r="5" spans="1:22" ht="60" customHeight="1">
      <c r="B5" s="7" t="s">
        <v>3</v>
      </c>
      <c r="C5" s="4" t="s">
        <v>4</v>
      </c>
      <c r="D5" s="4" t="s">
        <v>5</v>
      </c>
      <c r="E5" s="4" t="s">
        <v>6</v>
      </c>
      <c r="F5" s="4" t="s">
        <v>7</v>
      </c>
      <c r="G5" s="10" t="s">
        <v>8</v>
      </c>
      <c r="L5" s="19" t="s">
        <v>9</v>
      </c>
      <c r="M5" s="18" t="s">
        <v>10</v>
      </c>
      <c r="N5" s="18"/>
      <c r="O5" s="18" t="s">
        <v>9</v>
      </c>
      <c r="P5" s="18" t="s">
        <v>10</v>
      </c>
      <c r="Q5" s="18"/>
      <c r="R5" s="18" t="s">
        <v>9</v>
      </c>
      <c r="S5" s="18" t="s">
        <v>10</v>
      </c>
      <c r="T5" s="18"/>
      <c r="U5" s="18" t="s">
        <v>9</v>
      </c>
      <c r="V5" s="20" t="s">
        <v>10</v>
      </c>
    </row>
    <row r="6" spans="1:22">
      <c r="A6" s="1" t="s">
        <v>11</v>
      </c>
      <c r="B6" s="6">
        <v>0</v>
      </c>
      <c r="C6" s="1">
        <v>0</v>
      </c>
      <c r="D6" s="1">
        <v>0</v>
      </c>
      <c r="E6" s="1">
        <v>0</v>
      </c>
      <c r="F6" s="1">
        <v>0</v>
      </c>
      <c r="G6" s="9">
        <f>SUM(AL_FINANCIAL)</f>
        <v>0</v>
      </c>
      <c r="L6" s="6"/>
      <c r="V6" s="9"/>
    </row>
    <row r="7" spans="1:22">
      <c r="A7" s="1" t="s">
        <v>12</v>
      </c>
      <c r="B7" s="6">
        <v>0</v>
      </c>
      <c r="C7" s="1">
        <v>0</v>
      </c>
      <c r="D7" s="1">
        <v>0</v>
      </c>
      <c r="E7" s="1">
        <v>0</v>
      </c>
      <c r="F7" s="1">
        <v>0</v>
      </c>
      <c r="G7" s="9">
        <f>SUM(AK_FINANCIAL)</f>
        <v>0</v>
      </c>
      <c r="I7" s="12"/>
      <c r="J7" s="15"/>
      <c r="L7" s="6"/>
      <c r="V7" s="9"/>
    </row>
    <row r="8" spans="1:22">
      <c r="A8" s="1" t="s">
        <v>13</v>
      </c>
      <c r="B8" s="6">
        <v>0</v>
      </c>
      <c r="C8" s="1">
        <v>0</v>
      </c>
      <c r="D8" s="1">
        <v>0</v>
      </c>
      <c r="E8" s="1">
        <v>0</v>
      </c>
      <c r="F8" s="1">
        <v>0</v>
      </c>
      <c r="G8" s="9">
        <f>SUM(AZ_FINANCIAL)</f>
        <v>0</v>
      </c>
      <c r="I8" s="13" t="s">
        <v>14</v>
      </c>
      <c r="J8" s="16"/>
      <c r="L8" s="6"/>
      <c r="V8" s="9"/>
    </row>
    <row r="9" spans="1:22">
      <c r="A9" s="1" t="s">
        <v>15</v>
      </c>
      <c r="B9" s="6">
        <v>0</v>
      </c>
      <c r="C9" s="1">
        <v>0</v>
      </c>
      <c r="D9" s="1">
        <v>0</v>
      </c>
      <c r="E9" s="1">
        <v>0</v>
      </c>
      <c r="F9" s="1">
        <v>0</v>
      </c>
      <c r="G9" s="9">
        <f>SUM(AR_FINANCIAL)</f>
        <v>0</v>
      </c>
      <c r="I9" s="13"/>
      <c r="J9" s="16"/>
      <c r="L9" s="6"/>
      <c r="V9" s="9"/>
    </row>
    <row r="10" spans="1:22">
      <c r="A10" s="1" t="s">
        <v>16</v>
      </c>
      <c r="B10" s="6">
        <v>0</v>
      </c>
      <c r="C10" s="1">
        <v>0</v>
      </c>
      <c r="D10" s="1">
        <v>0</v>
      </c>
      <c r="E10" s="1">
        <v>0</v>
      </c>
      <c r="F10" s="1">
        <v>0</v>
      </c>
      <c r="G10" s="9">
        <f>SUM(CA_FINANCIAL)</f>
        <v>0</v>
      </c>
      <c r="I10" s="13" t="s">
        <v>17</v>
      </c>
      <c r="J10" s="16">
        <v>0</v>
      </c>
      <c r="L10" s="6"/>
      <c r="V10" s="9"/>
    </row>
    <row r="11" spans="1:22">
      <c r="A11" s="1" t="s">
        <v>18</v>
      </c>
      <c r="B11" s="6">
        <v>0</v>
      </c>
      <c r="C11" s="1">
        <v>0</v>
      </c>
      <c r="D11" s="1">
        <v>0</v>
      </c>
      <c r="E11" s="1">
        <v>0</v>
      </c>
      <c r="F11" s="1">
        <v>0</v>
      </c>
      <c r="G11" s="9">
        <f>SUM(CO_FINANCIAL)</f>
        <v>0</v>
      </c>
      <c r="I11" s="13"/>
      <c r="J11" s="16"/>
      <c r="L11" s="6"/>
      <c r="V11" s="9"/>
    </row>
    <row r="12" spans="1:22">
      <c r="A12" s="1" t="s">
        <v>19</v>
      </c>
      <c r="B12" s="6">
        <v>0</v>
      </c>
      <c r="C12" s="1">
        <v>0</v>
      </c>
      <c r="D12" s="1">
        <v>0</v>
      </c>
      <c r="E12" s="1">
        <v>0</v>
      </c>
      <c r="F12" s="1">
        <v>0</v>
      </c>
      <c r="G12" s="9">
        <f>SUM(CT_FINANCIAL)</f>
        <v>0</v>
      </c>
      <c r="I12" s="13" t="s">
        <v>20</v>
      </c>
      <c r="J12" s="16"/>
      <c r="L12" s="6"/>
      <c r="V12" s="9"/>
    </row>
    <row r="13" spans="1:22">
      <c r="A13" s="1" t="s">
        <v>21</v>
      </c>
      <c r="B13" s="6">
        <v>0</v>
      </c>
      <c r="C13" s="1">
        <v>0</v>
      </c>
      <c r="D13" s="1">
        <v>72358.324653578762</v>
      </c>
      <c r="E13" s="1">
        <v>0</v>
      </c>
      <c r="F13" s="1">
        <v>0</v>
      </c>
      <c r="G13" s="9">
        <f>SUM(DE_FINANCIAL)</f>
        <v>72358.324653578762</v>
      </c>
      <c r="I13" s="13" t="s">
        <v>22</v>
      </c>
      <c r="J13" s="16">
        <v>0</v>
      </c>
      <c r="L13" s="6"/>
      <c r="V13" s="9"/>
    </row>
    <row r="14" spans="1:22">
      <c r="A14" s="1" t="s">
        <v>23</v>
      </c>
      <c r="B14" s="6">
        <v>0</v>
      </c>
      <c r="C14" s="1">
        <v>0</v>
      </c>
      <c r="D14" s="1">
        <v>0</v>
      </c>
      <c r="E14" s="1">
        <v>0</v>
      </c>
      <c r="F14" s="1">
        <v>0</v>
      </c>
      <c r="G14" s="9">
        <f>SUM(DC_FINANCIAL)</f>
        <v>0</v>
      </c>
      <c r="I14" s="13" t="s">
        <v>24</v>
      </c>
      <c r="J14" s="16">
        <v>0</v>
      </c>
      <c r="L14" s="6"/>
      <c r="V14" s="9"/>
    </row>
    <row r="15" spans="1:22">
      <c r="A15" s="1" t="s">
        <v>25</v>
      </c>
      <c r="B15" s="6">
        <v>0</v>
      </c>
      <c r="C15" s="1">
        <v>0</v>
      </c>
      <c r="D15" s="1">
        <v>0</v>
      </c>
      <c r="E15" s="1">
        <v>0</v>
      </c>
      <c r="F15" s="1">
        <v>0</v>
      </c>
      <c r="G15" s="9">
        <f>SUM(FL_FINANCIAL)</f>
        <v>0</v>
      </c>
      <c r="I15" s="13" t="s">
        <v>26</v>
      </c>
      <c r="J15" s="16">
        <v>192080.37999999998</v>
      </c>
      <c r="L15" s="6"/>
      <c r="V15" s="9"/>
    </row>
    <row r="16" spans="1:22">
      <c r="A16" s="1" t="s">
        <v>27</v>
      </c>
      <c r="B16" s="6">
        <v>0</v>
      </c>
      <c r="C16" s="1">
        <v>0</v>
      </c>
      <c r="D16" s="1">
        <v>59861.027673210607</v>
      </c>
      <c r="E16" s="1">
        <v>0</v>
      </c>
      <c r="F16" s="1">
        <v>0</v>
      </c>
      <c r="G16" s="9">
        <f>SUM(GA_FINANCIAL)</f>
        <v>59861.027673210607</v>
      </c>
      <c r="I16" s="13" t="s">
        <v>28</v>
      </c>
      <c r="J16" s="16">
        <v>0</v>
      </c>
      <c r="L16" s="6"/>
      <c r="V16" s="9"/>
    </row>
    <row r="17" spans="1:22">
      <c r="A17" s="1" t="s">
        <v>29</v>
      </c>
      <c r="B17" s="6">
        <v>0</v>
      </c>
      <c r="C17" s="1">
        <v>0</v>
      </c>
      <c r="D17" s="1">
        <v>0</v>
      </c>
      <c r="E17" s="1">
        <v>0</v>
      </c>
      <c r="F17" s="1">
        <v>0</v>
      </c>
      <c r="G17" s="9">
        <f>SUM(HI_FINANCIAL)</f>
        <v>0</v>
      </c>
      <c r="I17" s="13"/>
      <c r="J17" s="16"/>
      <c r="L17" s="6"/>
      <c r="V17" s="9"/>
    </row>
    <row r="18" spans="1:22">
      <c r="A18" s="1" t="s">
        <v>30</v>
      </c>
      <c r="B18" s="6">
        <v>0</v>
      </c>
      <c r="C18" s="1">
        <v>0</v>
      </c>
      <c r="D18" s="1">
        <v>0</v>
      </c>
      <c r="E18" s="1">
        <v>0</v>
      </c>
      <c r="F18" s="1">
        <v>0</v>
      </c>
      <c r="G18" s="9">
        <f>SUM(ID_FINANCIAL)</f>
        <v>0</v>
      </c>
      <c r="I18" s="13" t="s">
        <v>31</v>
      </c>
      <c r="J18" s="16"/>
      <c r="L18" s="6"/>
      <c r="V18" s="9"/>
    </row>
    <row r="19" spans="1:22">
      <c r="A19" s="1" t="s">
        <v>32</v>
      </c>
      <c r="B19" s="6">
        <v>0</v>
      </c>
      <c r="C19" s="1">
        <v>0</v>
      </c>
      <c r="D19" s="1">
        <v>0</v>
      </c>
      <c r="E19" s="1">
        <v>0</v>
      </c>
      <c r="F19" s="1">
        <v>0</v>
      </c>
      <c r="G19" s="9">
        <f>SUM(IL_FINANCIAL)</f>
        <v>0</v>
      </c>
      <c r="I19" s="13" t="s">
        <v>33</v>
      </c>
      <c r="J19" s="16">
        <v>0</v>
      </c>
      <c r="L19" s="6"/>
      <c r="V19" s="9"/>
    </row>
    <row r="20" spans="1:22">
      <c r="A20" s="1" t="s">
        <v>34</v>
      </c>
      <c r="B20" s="6">
        <v>0</v>
      </c>
      <c r="C20" s="1">
        <v>0</v>
      </c>
      <c r="D20" s="1">
        <v>0</v>
      </c>
      <c r="E20" s="1">
        <v>0</v>
      </c>
      <c r="F20" s="1">
        <v>0</v>
      </c>
      <c r="G20" s="9">
        <f>SUM(IN_FINANCIAL)</f>
        <v>0</v>
      </c>
      <c r="I20" s="13" t="s">
        <v>35</v>
      </c>
      <c r="J20" s="16">
        <v>0</v>
      </c>
      <c r="L20" s="6"/>
      <c r="V20" s="9"/>
    </row>
    <row r="21" spans="1:22">
      <c r="A21" s="1" t="s">
        <v>36</v>
      </c>
      <c r="B21" s="6">
        <v>0</v>
      </c>
      <c r="C21" s="1">
        <v>0</v>
      </c>
      <c r="D21" s="1">
        <v>0</v>
      </c>
      <c r="E21" s="1">
        <v>0</v>
      </c>
      <c r="F21" s="1">
        <v>0</v>
      </c>
      <c r="G21" s="9">
        <f>SUM(IA_FINANCIAL)</f>
        <v>0</v>
      </c>
      <c r="I21" s="13" t="s">
        <v>37</v>
      </c>
      <c r="J21" s="16"/>
      <c r="L21" s="6"/>
      <c r="V21" s="9"/>
    </row>
    <row r="22" spans="1:22">
      <c r="A22" s="1" t="s">
        <v>38</v>
      </c>
      <c r="B22" s="6">
        <v>0</v>
      </c>
      <c r="C22" s="1">
        <v>0</v>
      </c>
      <c r="D22" s="1">
        <v>0</v>
      </c>
      <c r="E22" s="1">
        <v>0</v>
      </c>
      <c r="F22" s="1">
        <v>0</v>
      </c>
      <c r="G22" s="9">
        <f>SUM(KS_FINANCIAL)</f>
        <v>0</v>
      </c>
      <c r="I22" s="13" t="s">
        <v>39</v>
      </c>
      <c r="J22" s="16">
        <v>0</v>
      </c>
      <c r="L22" s="6"/>
      <c r="V22" s="9"/>
    </row>
    <row r="23" spans="1:22">
      <c r="A23" s="1" t="s">
        <v>40</v>
      </c>
      <c r="B23" s="6">
        <v>0</v>
      </c>
      <c r="C23" s="1">
        <v>0</v>
      </c>
      <c r="D23" s="1">
        <v>0</v>
      </c>
      <c r="E23" s="1">
        <v>0</v>
      </c>
      <c r="F23" s="1">
        <v>0</v>
      </c>
      <c r="G23" s="9">
        <f>SUM(KY_FINANCIAL)</f>
        <v>0</v>
      </c>
      <c r="I23" s="13" t="s">
        <v>41</v>
      </c>
      <c r="J23" s="16"/>
      <c r="L23" s="6"/>
      <c r="V23" s="9"/>
    </row>
    <row r="24" spans="1:22">
      <c r="A24" s="1" t="s">
        <v>42</v>
      </c>
      <c r="B24" s="6">
        <v>0</v>
      </c>
      <c r="C24" s="1">
        <v>0</v>
      </c>
      <c r="D24" s="1">
        <v>0</v>
      </c>
      <c r="E24" s="1">
        <v>0</v>
      </c>
      <c r="F24" s="1">
        <v>0</v>
      </c>
      <c r="G24" s="9">
        <f>SUM(LA_FINANCIAL)</f>
        <v>0</v>
      </c>
      <c r="I24" s="13" t="s">
        <v>43</v>
      </c>
      <c r="J24" s="16">
        <v>0</v>
      </c>
      <c r="L24" s="6"/>
      <c r="V24" s="9"/>
    </row>
    <row r="25" spans="1:22">
      <c r="A25" s="1" t="s">
        <v>44</v>
      </c>
      <c r="B25" s="6">
        <v>0</v>
      </c>
      <c r="C25" s="1">
        <v>0</v>
      </c>
      <c r="D25" s="1">
        <v>0</v>
      </c>
      <c r="E25" s="1">
        <v>0</v>
      </c>
      <c r="F25" s="1">
        <v>0</v>
      </c>
      <c r="G25" s="9">
        <f>SUM(ME_FINANCIAL)</f>
        <v>0</v>
      </c>
      <c r="I25" s="13"/>
      <c r="J25" s="16"/>
      <c r="L25" s="6"/>
      <c r="V25" s="9"/>
    </row>
    <row r="26" spans="1:22">
      <c r="A26" s="1" t="s">
        <v>45</v>
      </c>
      <c r="B26" s="6">
        <v>0</v>
      </c>
      <c r="C26" s="1">
        <v>0</v>
      </c>
      <c r="D26" s="1">
        <v>0</v>
      </c>
      <c r="E26" s="1">
        <v>0</v>
      </c>
      <c r="F26" s="1">
        <v>0</v>
      </c>
      <c r="G26" s="9">
        <f>SUM(MD_FINANCIAL)</f>
        <v>0</v>
      </c>
      <c r="I26" s="13" t="s">
        <v>46</v>
      </c>
      <c r="J26" s="16">
        <f>SUM(ADD_FINANCIAL)-SUM(LESS_FINANCIAL)</f>
        <v>192080.37999999998</v>
      </c>
      <c r="L26" s="6"/>
      <c r="V26" s="9"/>
    </row>
    <row r="27" spans="1:22">
      <c r="A27" s="1" t="s">
        <v>47</v>
      </c>
      <c r="B27" s="6">
        <v>0</v>
      </c>
      <c r="C27" s="1">
        <v>0</v>
      </c>
      <c r="D27" s="1">
        <v>0</v>
      </c>
      <c r="E27" s="1">
        <v>0</v>
      </c>
      <c r="F27" s="1">
        <v>0</v>
      </c>
      <c r="G27" s="9">
        <f>SUM(MA_FINANCIAL)</f>
        <v>0</v>
      </c>
      <c r="I27" s="13" t="s">
        <v>48</v>
      </c>
      <c r="J27" s="16">
        <f>SUM(ALL_BLOCKS)</f>
        <v>192080.37999999998</v>
      </c>
      <c r="L27" s="6"/>
      <c r="V27" s="9"/>
    </row>
    <row r="28" spans="1:22">
      <c r="A28" s="1" t="s">
        <v>49</v>
      </c>
      <c r="B28" s="6">
        <v>0</v>
      </c>
      <c r="C28" s="1">
        <v>0</v>
      </c>
      <c r="D28" s="1">
        <v>0</v>
      </c>
      <c r="E28" s="1">
        <v>0</v>
      </c>
      <c r="F28" s="1">
        <v>0</v>
      </c>
      <c r="G28" s="9">
        <f>SUM(MI_FINANCIAL)</f>
        <v>0</v>
      </c>
      <c r="I28" s="14"/>
      <c r="J28" s="17"/>
      <c r="L28" s="6"/>
      <c r="V28" s="9"/>
    </row>
    <row r="29" spans="1:22">
      <c r="A29" s="1" t="s">
        <v>50</v>
      </c>
      <c r="B29" s="6">
        <v>0</v>
      </c>
      <c r="C29" s="1">
        <v>0</v>
      </c>
      <c r="D29" s="1">
        <v>0</v>
      </c>
      <c r="E29" s="1">
        <v>0</v>
      </c>
      <c r="F29" s="1">
        <v>0</v>
      </c>
      <c r="G29" s="9">
        <f>SUM(MN_FINANCIAL)</f>
        <v>0</v>
      </c>
      <c r="L29" s="6"/>
      <c r="V29" s="9"/>
    </row>
    <row r="30" spans="1:22">
      <c r="A30" s="1" t="s">
        <v>51</v>
      </c>
      <c r="B30" s="6">
        <v>0</v>
      </c>
      <c r="C30" s="1">
        <v>0</v>
      </c>
      <c r="D30" s="1">
        <v>0</v>
      </c>
      <c r="E30" s="1">
        <v>0</v>
      </c>
      <c r="F30" s="1">
        <v>0</v>
      </c>
      <c r="G30" s="9">
        <f>SUM(MS_FINANCIAL)</f>
        <v>0</v>
      </c>
      <c r="L30" s="6"/>
      <c r="V30" s="9"/>
    </row>
    <row r="31" spans="1:22">
      <c r="A31" s="1" t="s">
        <v>52</v>
      </c>
      <c r="B31" s="6">
        <v>0</v>
      </c>
      <c r="C31" s="1">
        <v>0</v>
      </c>
      <c r="D31" s="1">
        <v>0</v>
      </c>
      <c r="E31" s="1">
        <v>0</v>
      </c>
      <c r="F31" s="1">
        <v>0</v>
      </c>
      <c r="G31" s="9">
        <f>SUM(MO_FINANCIAL)</f>
        <v>0</v>
      </c>
      <c r="L31" s="6"/>
      <c r="V31" s="9"/>
    </row>
    <row r="32" spans="1:22">
      <c r="A32" s="1" t="s">
        <v>53</v>
      </c>
      <c r="B32" s="6">
        <v>0</v>
      </c>
      <c r="C32" s="1">
        <v>0</v>
      </c>
      <c r="D32" s="1">
        <v>0</v>
      </c>
      <c r="E32" s="1">
        <v>0</v>
      </c>
      <c r="F32" s="1">
        <v>0</v>
      </c>
      <c r="G32" s="9">
        <f>SUM(MT_FINANCIAL)</f>
        <v>0</v>
      </c>
      <c r="L32" s="6"/>
      <c r="V32" s="9"/>
    </row>
    <row r="33" spans="1:22">
      <c r="A33" s="1" t="s">
        <v>54</v>
      </c>
      <c r="B33" s="6">
        <v>0</v>
      </c>
      <c r="C33" s="1">
        <v>0</v>
      </c>
      <c r="D33" s="1">
        <v>0</v>
      </c>
      <c r="E33" s="1">
        <v>0</v>
      </c>
      <c r="F33" s="1">
        <v>0</v>
      </c>
      <c r="G33" s="9">
        <f>SUM(NE_FINANCIAL)</f>
        <v>0</v>
      </c>
      <c r="L33" s="6"/>
      <c r="V33" s="9"/>
    </row>
    <row r="34" spans="1:22">
      <c r="A34" s="1" t="s">
        <v>55</v>
      </c>
      <c r="B34" s="6">
        <v>0</v>
      </c>
      <c r="C34" s="1">
        <v>0</v>
      </c>
      <c r="D34" s="1">
        <v>0</v>
      </c>
      <c r="E34" s="1">
        <v>0</v>
      </c>
      <c r="F34" s="1">
        <v>0</v>
      </c>
      <c r="G34" s="9">
        <f>SUM(NV_FINANCIAL)</f>
        <v>0</v>
      </c>
      <c r="L34" s="6"/>
      <c r="V34" s="9"/>
    </row>
    <row r="35" spans="1:22">
      <c r="A35" s="1" t="s">
        <v>56</v>
      </c>
      <c r="B35" s="6">
        <v>0</v>
      </c>
      <c r="C35" s="1">
        <v>0</v>
      </c>
      <c r="D35" s="1">
        <v>0</v>
      </c>
      <c r="E35" s="1">
        <v>0</v>
      </c>
      <c r="F35" s="1">
        <v>0</v>
      </c>
      <c r="G35" s="9">
        <f>SUM(NH_FINANCIAL)</f>
        <v>0</v>
      </c>
      <c r="L35" s="6"/>
      <c r="V35" s="9"/>
    </row>
    <row r="36" spans="1:22">
      <c r="A36" s="1" t="s">
        <v>57</v>
      </c>
      <c r="B36" s="6">
        <v>0</v>
      </c>
      <c r="C36" s="1">
        <v>0</v>
      </c>
      <c r="D36" s="1">
        <v>0</v>
      </c>
      <c r="E36" s="1">
        <v>0</v>
      </c>
      <c r="F36" s="1">
        <v>0</v>
      </c>
      <c r="G36" s="9">
        <f>SUM(NJ_FINANCIAL)</f>
        <v>0</v>
      </c>
      <c r="L36" s="6"/>
      <c r="V36" s="9"/>
    </row>
    <row r="37" spans="1:22">
      <c r="A37" s="1" t="s">
        <v>58</v>
      </c>
      <c r="B37" s="6">
        <v>0</v>
      </c>
      <c r="C37" s="1">
        <v>0</v>
      </c>
      <c r="D37" s="1">
        <v>0</v>
      </c>
      <c r="E37" s="1">
        <v>0</v>
      </c>
      <c r="F37" s="1">
        <v>0</v>
      </c>
      <c r="G37" s="9">
        <f>SUM(NM_FINANCIAL)</f>
        <v>0</v>
      </c>
      <c r="L37" s="6"/>
      <c r="V37" s="9"/>
    </row>
    <row r="38" spans="1:22">
      <c r="A38" s="1" t="s">
        <v>59</v>
      </c>
      <c r="B38" s="6">
        <v>0</v>
      </c>
      <c r="C38" s="1">
        <v>0</v>
      </c>
      <c r="D38" s="1">
        <v>0</v>
      </c>
      <c r="E38" s="1">
        <v>0</v>
      </c>
      <c r="F38" s="1">
        <v>0</v>
      </c>
      <c r="G38" s="9">
        <f>SUM(NY_FINANCIAL)</f>
        <v>0</v>
      </c>
      <c r="L38" s="6"/>
      <c r="V38" s="9"/>
    </row>
    <row r="39" spans="1:22">
      <c r="A39" s="1" t="s">
        <v>60</v>
      </c>
      <c r="B39" s="6">
        <v>0</v>
      </c>
      <c r="C39" s="1">
        <v>0</v>
      </c>
      <c r="D39" s="1">
        <v>0</v>
      </c>
      <c r="E39" s="1">
        <v>0</v>
      </c>
      <c r="F39" s="1">
        <v>0</v>
      </c>
      <c r="G39" s="9">
        <f>SUM(NC_FINANCIAL)</f>
        <v>0</v>
      </c>
      <c r="L39" s="6"/>
      <c r="V39" s="9"/>
    </row>
    <row r="40" spans="1:22">
      <c r="A40" s="1" t="s">
        <v>61</v>
      </c>
      <c r="B40" s="6">
        <v>0</v>
      </c>
      <c r="C40" s="1">
        <v>0</v>
      </c>
      <c r="D40" s="1">
        <v>0</v>
      </c>
      <c r="E40" s="1">
        <v>0</v>
      </c>
      <c r="F40" s="1">
        <v>0</v>
      </c>
      <c r="G40" s="9">
        <f>SUM(ND_FINANCIAL)</f>
        <v>0</v>
      </c>
      <c r="L40" s="6"/>
      <c r="V40" s="9"/>
    </row>
    <row r="41" spans="1:22">
      <c r="A41" s="1" t="s">
        <v>62</v>
      </c>
      <c r="B41" s="6">
        <v>0</v>
      </c>
      <c r="C41" s="1">
        <v>0</v>
      </c>
      <c r="D41" s="1">
        <v>0</v>
      </c>
      <c r="E41" s="1">
        <v>0</v>
      </c>
      <c r="F41" s="1">
        <v>0</v>
      </c>
      <c r="G41" s="9">
        <f>SUM(OH_FINANCIAL)</f>
        <v>0</v>
      </c>
      <c r="L41" s="6"/>
      <c r="V41" s="9"/>
    </row>
    <row r="42" spans="1:22">
      <c r="A42" s="1" t="s">
        <v>63</v>
      </c>
      <c r="B42" s="6">
        <v>0</v>
      </c>
      <c r="C42" s="1">
        <v>0</v>
      </c>
      <c r="D42" s="1">
        <v>0</v>
      </c>
      <c r="E42" s="1">
        <v>0</v>
      </c>
      <c r="F42" s="1">
        <v>0</v>
      </c>
      <c r="G42" s="9">
        <f>SUM(OK_FINANCIAL)</f>
        <v>0</v>
      </c>
      <c r="L42" s="6"/>
      <c r="V42" s="9"/>
    </row>
    <row r="43" spans="1:22">
      <c r="A43" s="1" t="s">
        <v>64</v>
      </c>
      <c r="B43" s="6">
        <v>0</v>
      </c>
      <c r="C43" s="1">
        <v>0</v>
      </c>
      <c r="D43" s="1">
        <v>0</v>
      </c>
      <c r="E43" s="1">
        <v>0</v>
      </c>
      <c r="F43" s="1">
        <v>0</v>
      </c>
      <c r="G43" s="9">
        <f>SUM(OR_FINANCIAL)</f>
        <v>0</v>
      </c>
      <c r="L43" s="6"/>
      <c r="V43" s="9"/>
    </row>
    <row r="44" spans="1:22">
      <c r="A44" s="1" t="s">
        <v>65</v>
      </c>
      <c r="B44" s="6">
        <v>0</v>
      </c>
      <c r="C44" s="1">
        <v>0</v>
      </c>
      <c r="D44" s="1">
        <v>0</v>
      </c>
      <c r="E44" s="1">
        <v>0</v>
      </c>
      <c r="F44" s="1">
        <v>0</v>
      </c>
      <c r="G44" s="9">
        <f>SUM(PA_FINANCIAL)</f>
        <v>0</v>
      </c>
      <c r="L44" s="6"/>
      <c r="V44" s="9"/>
    </row>
    <row r="45" spans="1:22">
      <c r="A45" s="1" t="s">
        <v>66</v>
      </c>
      <c r="B45" s="6">
        <v>0</v>
      </c>
      <c r="C45" s="1">
        <v>0</v>
      </c>
      <c r="D45" s="1">
        <v>0</v>
      </c>
      <c r="E45" s="1">
        <v>0</v>
      </c>
      <c r="F45" s="1">
        <v>0</v>
      </c>
      <c r="G45" s="9">
        <f>SUM(PR_FINANCIAL)</f>
        <v>0</v>
      </c>
      <c r="L45" s="6"/>
      <c r="V45" s="9"/>
    </row>
    <row r="46" spans="1:22">
      <c r="A46" s="1" t="s">
        <v>67</v>
      </c>
      <c r="B46" s="6">
        <v>0</v>
      </c>
      <c r="C46" s="1">
        <v>0</v>
      </c>
      <c r="D46" s="1">
        <v>0</v>
      </c>
      <c r="E46" s="1">
        <v>0</v>
      </c>
      <c r="F46" s="1">
        <v>0</v>
      </c>
      <c r="G46" s="9">
        <f>SUM(RI_FINANCIAL)</f>
        <v>0</v>
      </c>
      <c r="L46" s="6"/>
      <c r="V46" s="9"/>
    </row>
    <row r="47" spans="1:22">
      <c r="A47" s="1" t="s">
        <v>68</v>
      </c>
      <c r="B47" s="6">
        <v>0</v>
      </c>
      <c r="C47" s="1">
        <v>0</v>
      </c>
      <c r="D47" s="1">
        <v>0</v>
      </c>
      <c r="E47" s="1">
        <v>0</v>
      </c>
      <c r="F47" s="1">
        <v>0</v>
      </c>
      <c r="G47" s="9">
        <f>SUM(SC_FINANCIAL)</f>
        <v>0</v>
      </c>
      <c r="L47" s="6"/>
      <c r="V47" s="9"/>
    </row>
    <row r="48" spans="1:22">
      <c r="A48" s="1" t="s">
        <v>69</v>
      </c>
      <c r="B48" s="6">
        <v>0</v>
      </c>
      <c r="C48" s="1">
        <v>0</v>
      </c>
      <c r="D48" s="1">
        <v>0</v>
      </c>
      <c r="E48" s="1">
        <v>0</v>
      </c>
      <c r="F48" s="1">
        <v>0</v>
      </c>
      <c r="G48" s="9">
        <f>SUM(SD_FINANCIAL)</f>
        <v>0</v>
      </c>
      <c r="L48" s="6"/>
      <c r="V48" s="9"/>
    </row>
    <row r="49" spans="1:22">
      <c r="A49" s="1" t="s">
        <v>70</v>
      </c>
      <c r="B49" s="6">
        <v>0</v>
      </c>
      <c r="C49" s="1">
        <v>0</v>
      </c>
      <c r="D49" s="1">
        <v>0</v>
      </c>
      <c r="E49" s="1">
        <v>0</v>
      </c>
      <c r="F49" s="1">
        <v>0</v>
      </c>
      <c r="G49" s="9">
        <f>SUM(TN_FINANCIAL)</f>
        <v>0</v>
      </c>
      <c r="L49" s="6"/>
      <c r="V49" s="9"/>
    </row>
    <row r="50" spans="1:22">
      <c r="A50" s="1" t="s">
        <v>71</v>
      </c>
      <c r="B50" s="6">
        <v>0</v>
      </c>
      <c r="C50" s="1">
        <v>0</v>
      </c>
      <c r="D50" s="1">
        <v>59861.027673210607</v>
      </c>
      <c r="E50" s="1">
        <v>0</v>
      </c>
      <c r="F50" s="1">
        <v>0</v>
      </c>
      <c r="G50" s="9">
        <f>SUM(TX_FINANCIAL)</f>
        <v>59861.027673210607</v>
      </c>
      <c r="L50" s="6"/>
      <c r="V50" s="9"/>
    </row>
    <row r="51" spans="1:22">
      <c r="A51" s="1" t="s">
        <v>72</v>
      </c>
      <c r="B51" s="6">
        <v>0</v>
      </c>
      <c r="C51" s="1">
        <v>0</v>
      </c>
      <c r="D51" s="1">
        <v>0</v>
      </c>
      <c r="E51" s="1">
        <v>0</v>
      </c>
      <c r="F51" s="1">
        <v>0</v>
      </c>
      <c r="G51" s="9">
        <f>SUM(UT_FINANCIAL)</f>
        <v>0</v>
      </c>
      <c r="L51" s="6"/>
      <c r="V51" s="9"/>
    </row>
    <row r="52" spans="1:22">
      <c r="A52" s="1" t="s">
        <v>73</v>
      </c>
      <c r="B52" s="6">
        <v>0</v>
      </c>
      <c r="C52" s="1">
        <v>0</v>
      </c>
      <c r="D52" s="1">
        <v>0</v>
      </c>
      <c r="E52" s="1">
        <v>0</v>
      </c>
      <c r="F52" s="1">
        <v>0</v>
      </c>
      <c r="G52" s="9">
        <f>SUM(VT_FINANCIAL)</f>
        <v>0</v>
      </c>
      <c r="L52" s="6"/>
      <c r="V52" s="9"/>
    </row>
    <row r="53" spans="1:22">
      <c r="A53" s="1" t="s">
        <v>74</v>
      </c>
      <c r="B53" s="6">
        <v>0</v>
      </c>
      <c r="C53" s="1">
        <v>0</v>
      </c>
      <c r="D53" s="1">
        <v>0</v>
      </c>
      <c r="E53" s="1">
        <v>0</v>
      </c>
      <c r="F53" s="1">
        <v>0</v>
      </c>
      <c r="G53" s="9">
        <f>SUM(VA_FINANCIAL)</f>
        <v>0</v>
      </c>
      <c r="L53" s="6"/>
      <c r="V53" s="9"/>
    </row>
    <row r="54" spans="1:22">
      <c r="A54" s="1" t="s">
        <v>75</v>
      </c>
      <c r="B54" s="6">
        <v>0</v>
      </c>
      <c r="C54" s="1">
        <v>0</v>
      </c>
      <c r="D54" s="1">
        <v>0</v>
      </c>
      <c r="E54" s="1">
        <v>0</v>
      </c>
      <c r="F54" s="1">
        <v>0</v>
      </c>
      <c r="G54" s="9">
        <f>SUM(WA_FINANCIAL)</f>
        <v>0</v>
      </c>
      <c r="L54" s="6"/>
      <c r="V54" s="9"/>
    </row>
    <row r="55" spans="1:22">
      <c r="A55" s="1" t="s">
        <v>76</v>
      </c>
      <c r="B55" s="6">
        <v>0</v>
      </c>
      <c r="C55" s="1">
        <v>0</v>
      </c>
      <c r="D55" s="1">
        <v>0</v>
      </c>
      <c r="E55" s="1">
        <v>0</v>
      </c>
      <c r="F55" s="1">
        <v>0</v>
      </c>
      <c r="G55" s="9">
        <f>SUM(WV_FINANCIAL)</f>
        <v>0</v>
      </c>
      <c r="L55" s="6"/>
      <c r="V55" s="9"/>
    </row>
    <row r="56" spans="1:22">
      <c r="A56" s="1" t="s">
        <v>77</v>
      </c>
      <c r="B56" s="6">
        <v>0</v>
      </c>
      <c r="C56" s="1">
        <v>0</v>
      </c>
      <c r="D56" s="1">
        <v>0</v>
      </c>
      <c r="E56" s="1">
        <v>0</v>
      </c>
      <c r="F56" s="1">
        <v>0</v>
      </c>
      <c r="G56" s="9">
        <f>SUM(WI_FINANCIAL)</f>
        <v>0</v>
      </c>
      <c r="L56" s="6"/>
      <c r="V56" s="9"/>
    </row>
    <row r="57" spans="1:22">
      <c r="A57" s="1" t="s">
        <v>78</v>
      </c>
      <c r="B57" s="6">
        <v>0</v>
      </c>
      <c r="C57" s="1">
        <v>0</v>
      </c>
      <c r="D57" s="1">
        <v>0</v>
      </c>
      <c r="E57" s="1">
        <v>0</v>
      </c>
      <c r="F57" s="1">
        <v>0</v>
      </c>
      <c r="G57" s="9">
        <f>SUM(WY_FINANCIAL)</f>
        <v>0</v>
      </c>
      <c r="L57" s="6"/>
      <c r="V57" s="9"/>
    </row>
    <row r="58" spans="1:22">
      <c r="A58" s="1" t="s">
        <v>79</v>
      </c>
      <c r="B58" s="6">
        <v>0</v>
      </c>
      <c r="C58" s="1">
        <v>0</v>
      </c>
      <c r="D58" s="1">
        <v>0</v>
      </c>
      <c r="E58" s="1">
        <v>0</v>
      </c>
      <c r="F58" s="1">
        <v>0</v>
      </c>
      <c r="G58" s="9">
        <f>SUM(OT_FINANCIAL)</f>
        <v>0</v>
      </c>
      <c r="L58" s="6"/>
      <c r="V58" s="9"/>
    </row>
    <row r="59" spans="1:22">
      <c r="B59" s="6"/>
      <c r="G59" s="9"/>
      <c r="L59" s="6"/>
      <c r="V59" s="9"/>
    </row>
    <row r="60" spans="1:22">
      <c r="A60" s="1" t="s">
        <v>8</v>
      </c>
      <c r="B60" s="6">
        <f>SUM(LIFE)</f>
        <v>0</v>
      </c>
      <c r="C60" s="1">
        <f>SUM(ALLOCATED)</f>
        <v>0</v>
      </c>
      <c r="D60" s="1">
        <f>SUM(HEALTH)</f>
        <v>192080.37999999998</v>
      </c>
      <c r="E60" s="1">
        <f>SUM(UNALLOCATED)</f>
        <v>0</v>
      </c>
      <c r="F60" s="1">
        <f>SUM(LTC)</f>
        <v>0</v>
      </c>
      <c r="G60" s="9">
        <f>SUM(ALL_BLOCKS)</f>
        <v>192080.37999999998</v>
      </c>
      <c r="L60" s="6">
        <f>SUM(LIFE_CALLED)</f>
        <v>0</v>
      </c>
      <c r="M60" s="1">
        <f>SUM(LIFE_REFUNDED)</f>
        <v>0</v>
      </c>
      <c r="O60" s="1">
        <f>SUM(ALLOC_CALLED)</f>
        <v>0</v>
      </c>
      <c r="P60" s="1">
        <f>SUM(ALLOC_REFUNDED)</f>
        <v>0</v>
      </c>
      <c r="R60" s="1">
        <f>SUM(HEALTH_CALLED)</f>
        <v>0</v>
      </c>
      <c r="S60" s="1">
        <f>SUM(HEALTH_REFUNDED)</f>
        <v>0</v>
      </c>
      <c r="U60" s="1">
        <f>SUM(UNALLOC_CALLED)</f>
        <v>0</v>
      </c>
      <c r="V60" s="9">
        <f>SUM(UNALLOC_REFUNDED)</f>
        <v>0</v>
      </c>
    </row>
    <row r="61" spans="1:22" ht="5.0999999999999996" customHeight="1">
      <c r="B61" s="6"/>
      <c r="G61" s="9"/>
      <c r="L61" s="6"/>
      <c r="V61" s="9"/>
    </row>
    <row r="62" spans="1:22">
      <c r="B62" s="6"/>
      <c r="G62" s="9"/>
      <c r="L62" s="78" t="s">
        <v>80</v>
      </c>
      <c r="M62" s="79"/>
      <c r="N62" s="79"/>
      <c r="O62" s="79"/>
      <c r="P62" s="79"/>
      <c r="Q62" s="79"/>
      <c r="R62" s="79"/>
      <c r="S62" s="79"/>
      <c r="T62" s="79"/>
      <c r="U62" s="79"/>
      <c r="V62" s="80"/>
    </row>
    <row r="63" spans="1:22">
      <c r="B63" s="6"/>
      <c r="G63" s="9"/>
      <c r="L63" s="81"/>
      <c r="M63" s="79"/>
      <c r="N63" s="79"/>
      <c r="O63" s="79"/>
      <c r="P63" s="79"/>
      <c r="Q63" s="79"/>
      <c r="R63" s="79"/>
      <c r="S63" s="79"/>
      <c r="T63" s="79"/>
      <c r="U63" s="79"/>
      <c r="V63" s="80"/>
    </row>
    <row r="64" spans="1:22">
      <c r="B64" s="8"/>
      <c r="C64" s="5"/>
      <c r="D64" s="5"/>
      <c r="E64" s="5"/>
      <c r="F64" s="5"/>
      <c r="G64" s="11"/>
      <c r="L64" s="82"/>
      <c r="M64" s="83"/>
      <c r="N64" s="83"/>
      <c r="O64" s="83"/>
      <c r="P64" s="83"/>
      <c r="Q64" s="83"/>
      <c r="R64" s="83"/>
      <c r="S64" s="83"/>
      <c r="T64" s="83"/>
      <c r="U64" s="83"/>
      <c r="V64" s="84"/>
    </row>
  </sheetData>
  <mergeCells count="8">
    <mergeCell ref="L62:V64"/>
    <mergeCell ref="A1:G1"/>
    <mergeCell ref="B3:G3"/>
    <mergeCell ref="L3:V3"/>
    <mergeCell ref="L4:M4"/>
    <mergeCell ref="O4:P4"/>
    <mergeCell ref="R4:S4"/>
    <mergeCell ref="U4:V4"/>
  </mergeCells>
  <pageMargins left="0" right="0" top="0" bottom="0" header="0" footer="0"/>
  <pageSetup scale="48"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V64"/>
  <sheetViews>
    <sheetView zoomScale="75" workbookViewId="0">
      <selection sqref="A1:G1"/>
    </sheetView>
  </sheetViews>
  <sheetFormatPr defaultColWidth="9.109375" defaultRowHeight="14.4"/>
  <cols>
    <col min="1" max="1" width="20" style="1" customWidth="1"/>
    <col min="2" max="7" width="15" style="1" customWidth="1"/>
    <col min="8" max="8" width="1" style="1" customWidth="1"/>
    <col min="9" max="9" width="30" style="1" customWidth="1"/>
    <col min="10" max="10" width="15" style="1" customWidth="1"/>
    <col min="11" max="11" width="1" style="1" customWidth="1"/>
    <col min="12" max="13" width="15" style="1" customWidth="1"/>
    <col min="14" max="14" width="1" style="1" customWidth="1"/>
    <col min="15" max="16" width="15" style="1" customWidth="1"/>
    <col min="17" max="17" width="1" style="1" customWidth="1"/>
    <col min="18" max="19" width="15" style="1" customWidth="1"/>
    <col min="20" max="20" width="1" style="1" customWidth="1"/>
    <col min="21" max="22" width="15" style="1" customWidth="1"/>
    <col min="23" max="23" width="9.109375" style="1" customWidth="1"/>
    <col min="24" max="16384" width="9.109375" style="1"/>
  </cols>
  <sheetData>
    <row r="1" spans="1:22">
      <c r="A1" s="85" t="s">
        <v>125</v>
      </c>
      <c r="B1" s="79"/>
      <c r="C1" s="79"/>
      <c r="D1" s="79"/>
      <c r="E1" s="79"/>
      <c r="F1" s="79"/>
      <c r="G1" s="79"/>
    </row>
    <row r="3" spans="1:22">
      <c r="B3" s="86" t="s">
        <v>1</v>
      </c>
      <c r="C3" s="87"/>
      <c r="D3" s="87"/>
      <c r="E3" s="87"/>
      <c r="F3" s="87"/>
      <c r="G3" s="88"/>
      <c r="L3" s="89" t="s">
        <v>2</v>
      </c>
      <c r="M3" s="90"/>
      <c r="N3" s="90"/>
      <c r="O3" s="90"/>
      <c r="P3" s="90"/>
      <c r="Q3" s="90"/>
      <c r="R3" s="90"/>
      <c r="S3" s="90"/>
      <c r="T3" s="90"/>
      <c r="U3" s="90"/>
      <c r="V3" s="91"/>
    </row>
    <row r="4" spans="1:22">
      <c r="B4" s="6"/>
      <c r="G4" s="9"/>
      <c r="L4" s="92" t="s">
        <v>3</v>
      </c>
      <c r="M4" s="93"/>
      <c r="N4" s="3"/>
      <c r="O4" s="94" t="s">
        <v>4</v>
      </c>
      <c r="P4" s="93"/>
      <c r="Q4" s="3"/>
      <c r="R4" s="94" t="s">
        <v>5</v>
      </c>
      <c r="S4" s="93"/>
      <c r="T4" s="3"/>
      <c r="U4" s="94" t="s">
        <v>6</v>
      </c>
      <c r="V4" s="95"/>
    </row>
    <row r="5" spans="1:22" ht="60" customHeight="1">
      <c r="B5" s="7" t="s">
        <v>3</v>
      </c>
      <c r="C5" s="4" t="s">
        <v>4</v>
      </c>
      <c r="D5" s="4" t="s">
        <v>5</v>
      </c>
      <c r="E5" s="4" t="s">
        <v>6</v>
      </c>
      <c r="F5" s="4" t="s">
        <v>7</v>
      </c>
      <c r="G5" s="10" t="s">
        <v>8</v>
      </c>
      <c r="L5" s="19" t="s">
        <v>9</v>
      </c>
      <c r="M5" s="18" t="s">
        <v>10</v>
      </c>
      <c r="N5" s="18"/>
      <c r="O5" s="18" t="s">
        <v>9</v>
      </c>
      <c r="P5" s="18" t="s">
        <v>10</v>
      </c>
      <c r="Q5" s="18"/>
      <c r="R5" s="18" t="s">
        <v>9</v>
      </c>
      <c r="S5" s="18" t="s">
        <v>10</v>
      </c>
      <c r="T5" s="18"/>
      <c r="U5" s="18" t="s">
        <v>9</v>
      </c>
      <c r="V5" s="20" t="s">
        <v>10</v>
      </c>
    </row>
    <row r="6" spans="1:22">
      <c r="A6" s="1" t="s">
        <v>11</v>
      </c>
      <c r="B6" s="6">
        <v>15569.216092486691</v>
      </c>
      <c r="C6" s="1">
        <v>0</v>
      </c>
      <c r="D6" s="1">
        <v>2773.9725376302958</v>
      </c>
      <c r="E6" s="1">
        <v>0</v>
      </c>
      <c r="F6" s="1">
        <v>0</v>
      </c>
      <c r="G6" s="9">
        <f>SUM(AL_FINANCIAL)</f>
        <v>18343.188630116987</v>
      </c>
      <c r="L6" s="6">
        <v>0</v>
      </c>
      <c r="M6" s="1">
        <v>0</v>
      </c>
      <c r="O6" s="1">
        <v>0</v>
      </c>
      <c r="P6" s="1">
        <v>0</v>
      </c>
      <c r="R6" s="1">
        <v>202000</v>
      </c>
      <c r="S6" s="1">
        <v>0</v>
      </c>
      <c r="U6" s="1">
        <v>0</v>
      </c>
      <c r="V6" s="9">
        <v>0</v>
      </c>
    </row>
    <row r="7" spans="1:22">
      <c r="A7" s="1" t="s">
        <v>12</v>
      </c>
      <c r="B7" s="6">
        <v>0</v>
      </c>
      <c r="C7" s="1">
        <v>0</v>
      </c>
      <c r="D7" s="1">
        <v>0</v>
      </c>
      <c r="E7" s="1">
        <v>0</v>
      </c>
      <c r="F7" s="1">
        <v>0</v>
      </c>
      <c r="G7" s="9">
        <f>SUM(AK_FINANCIAL)</f>
        <v>0</v>
      </c>
      <c r="I7" s="12"/>
      <c r="J7" s="15"/>
      <c r="L7" s="6"/>
      <c r="V7" s="9"/>
    </row>
    <row r="8" spans="1:22">
      <c r="A8" s="1" t="s">
        <v>13</v>
      </c>
      <c r="B8" s="6">
        <v>0</v>
      </c>
      <c r="C8" s="1">
        <v>0</v>
      </c>
      <c r="D8" s="1">
        <v>574</v>
      </c>
      <c r="E8" s="1">
        <v>0</v>
      </c>
      <c r="F8" s="1">
        <v>0</v>
      </c>
      <c r="G8" s="9">
        <f>SUM(AZ_FINANCIAL)</f>
        <v>574</v>
      </c>
      <c r="I8" s="13" t="s">
        <v>14</v>
      </c>
      <c r="J8" s="16"/>
      <c r="L8" s="6"/>
      <c r="V8" s="9"/>
    </row>
    <row r="9" spans="1:22">
      <c r="A9" s="1" t="s">
        <v>15</v>
      </c>
      <c r="B9" s="6">
        <v>0</v>
      </c>
      <c r="C9" s="1">
        <v>0</v>
      </c>
      <c r="D9" s="1">
        <v>2890</v>
      </c>
      <c r="E9" s="1">
        <v>0</v>
      </c>
      <c r="F9" s="1">
        <v>0</v>
      </c>
      <c r="G9" s="9">
        <f>SUM(AR_FINANCIAL)</f>
        <v>2890</v>
      </c>
      <c r="I9" s="13"/>
      <c r="J9" s="16"/>
      <c r="L9" s="6"/>
      <c r="V9" s="9"/>
    </row>
    <row r="10" spans="1:22">
      <c r="A10" s="1" t="s">
        <v>16</v>
      </c>
      <c r="B10" s="6">
        <v>0</v>
      </c>
      <c r="C10" s="1">
        <v>0</v>
      </c>
      <c r="D10" s="1">
        <v>334</v>
      </c>
      <c r="E10" s="1">
        <v>0</v>
      </c>
      <c r="F10" s="1">
        <v>0</v>
      </c>
      <c r="G10" s="9">
        <f>SUM(CA_FINANCIAL)</f>
        <v>334</v>
      </c>
      <c r="I10" s="13" t="s">
        <v>17</v>
      </c>
      <c r="J10" s="16">
        <v>16205681.249743802</v>
      </c>
      <c r="L10" s="6"/>
      <c r="V10" s="9"/>
    </row>
    <row r="11" spans="1:22">
      <c r="A11" s="1" t="s">
        <v>18</v>
      </c>
      <c r="B11" s="6">
        <v>0</v>
      </c>
      <c r="C11" s="1">
        <v>0</v>
      </c>
      <c r="D11" s="1">
        <v>0</v>
      </c>
      <c r="E11" s="1">
        <v>0</v>
      </c>
      <c r="F11" s="1">
        <v>0</v>
      </c>
      <c r="G11" s="9">
        <f>SUM(CO_FINANCIAL)</f>
        <v>0</v>
      </c>
      <c r="I11" s="13"/>
      <c r="J11" s="16"/>
      <c r="L11" s="6"/>
      <c r="V11" s="9"/>
    </row>
    <row r="12" spans="1:22">
      <c r="A12" s="1" t="s">
        <v>19</v>
      </c>
      <c r="B12" s="6">
        <v>0</v>
      </c>
      <c r="C12" s="1">
        <v>0</v>
      </c>
      <c r="D12" s="1">
        <v>-1789</v>
      </c>
      <c r="E12" s="1">
        <v>0</v>
      </c>
      <c r="F12" s="1">
        <v>0</v>
      </c>
      <c r="G12" s="9">
        <f>SUM(CT_FINANCIAL)</f>
        <v>-1789</v>
      </c>
      <c r="I12" s="13" t="s">
        <v>20</v>
      </c>
      <c r="J12" s="16"/>
      <c r="L12" s="6"/>
      <c r="V12" s="9"/>
    </row>
    <row r="13" spans="1:22">
      <c r="A13" s="1" t="s">
        <v>21</v>
      </c>
      <c r="B13" s="6">
        <v>6800.1539339442315</v>
      </c>
      <c r="C13" s="1">
        <v>0</v>
      </c>
      <c r="D13" s="1">
        <v>0</v>
      </c>
      <c r="E13" s="1">
        <v>0</v>
      </c>
      <c r="F13" s="1">
        <v>0</v>
      </c>
      <c r="G13" s="9">
        <f>SUM(DE_FINANCIAL)</f>
        <v>6800.1539339442315</v>
      </c>
      <c r="I13" s="13" t="s">
        <v>22</v>
      </c>
      <c r="J13" s="16">
        <v>10602029</v>
      </c>
      <c r="L13" s="6">
        <v>0</v>
      </c>
      <c r="M13" s="1">
        <v>0</v>
      </c>
      <c r="O13" s="1">
        <v>0</v>
      </c>
      <c r="P13" s="1">
        <v>0</v>
      </c>
      <c r="R13" s="1">
        <v>100000</v>
      </c>
      <c r="S13" s="1">
        <v>0</v>
      </c>
      <c r="U13" s="1">
        <v>0</v>
      </c>
      <c r="V13" s="9">
        <v>0</v>
      </c>
    </row>
    <row r="14" spans="1:22">
      <c r="A14" s="1" t="s">
        <v>23</v>
      </c>
      <c r="B14" s="6">
        <v>0</v>
      </c>
      <c r="C14" s="1">
        <v>0</v>
      </c>
      <c r="D14" s="1">
        <v>0</v>
      </c>
      <c r="E14" s="1">
        <v>0</v>
      </c>
      <c r="F14" s="1">
        <v>0</v>
      </c>
      <c r="G14" s="9">
        <f>SUM(DC_FINANCIAL)</f>
        <v>0</v>
      </c>
      <c r="I14" s="13" t="s">
        <v>24</v>
      </c>
      <c r="J14" s="16">
        <v>3311759.0000000009</v>
      </c>
      <c r="L14" s="6"/>
      <c r="V14" s="9"/>
    </row>
    <row r="15" spans="1:22">
      <c r="A15" s="1" t="s">
        <v>25</v>
      </c>
      <c r="B15" s="6">
        <v>117323.42673982983</v>
      </c>
      <c r="C15" s="1">
        <v>15297.90363812953</v>
      </c>
      <c r="D15" s="1">
        <v>140443.01369553013</v>
      </c>
      <c r="E15" s="1">
        <v>0</v>
      </c>
      <c r="F15" s="1">
        <v>0</v>
      </c>
      <c r="G15" s="9">
        <f>SUM(FL_FINANCIAL)</f>
        <v>273064.34407348948</v>
      </c>
      <c r="I15" s="13" t="s">
        <v>26</v>
      </c>
      <c r="J15" s="16">
        <v>376931.1</v>
      </c>
      <c r="L15" s="6">
        <v>535000</v>
      </c>
      <c r="M15" s="1">
        <v>0</v>
      </c>
      <c r="O15" s="1">
        <v>65000</v>
      </c>
      <c r="P15" s="1">
        <v>0</v>
      </c>
      <c r="R15" s="1">
        <v>4900000</v>
      </c>
      <c r="S15" s="1">
        <v>0</v>
      </c>
      <c r="U15" s="1">
        <v>0</v>
      </c>
      <c r="V15" s="9">
        <v>0</v>
      </c>
    </row>
    <row r="16" spans="1:22">
      <c r="A16" s="1" t="s">
        <v>27</v>
      </c>
      <c r="B16" s="6">
        <v>57188.136317366036</v>
      </c>
      <c r="C16" s="1">
        <v>23635.274632298475</v>
      </c>
      <c r="D16" s="1">
        <v>25693.177272457862</v>
      </c>
      <c r="E16" s="1">
        <v>0</v>
      </c>
      <c r="F16" s="1">
        <v>0</v>
      </c>
      <c r="G16" s="9">
        <f>SUM(GA_FINANCIAL)</f>
        <v>106516.58822212237</v>
      </c>
      <c r="I16" s="13" t="s">
        <v>28</v>
      </c>
      <c r="J16" s="16">
        <v>0</v>
      </c>
      <c r="L16" s="6">
        <v>172000</v>
      </c>
      <c r="M16" s="1">
        <v>0</v>
      </c>
      <c r="O16" s="1">
        <v>72000</v>
      </c>
      <c r="P16" s="1">
        <v>739.16</v>
      </c>
      <c r="R16" s="1">
        <v>1200000</v>
      </c>
      <c r="S16" s="1">
        <v>0</v>
      </c>
      <c r="U16" s="1">
        <v>0</v>
      </c>
      <c r="V16" s="9">
        <v>0</v>
      </c>
    </row>
    <row r="17" spans="1:22">
      <c r="A17" s="1" t="s">
        <v>29</v>
      </c>
      <c r="B17" s="6">
        <v>0</v>
      </c>
      <c r="C17" s="1">
        <v>0</v>
      </c>
      <c r="D17" s="1">
        <v>-41</v>
      </c>
      <c r="E17" s="1">
        <v>0</v>
      </c>
      <c r="F17" s="1">
        <v>0</v>
      </c>
      <c r="G17" s="9">
        <f>SUM(HI_FINANCIAL)</f>
        <v>-41</v>
      </c>
      <c r="I17" s="13"/>
      <c r="J17" s="16"/>
      <c r="L17" s="6"/>
      <c r="V17" s="9"/>
    </row>
    <row r="18" spans="1:22">
      <c r="A18" s="1" t="s">
        <v>30</v>
      </c>
      <c r="B18" s="6">
        <v>0</v>
      </c>
      <c r="C18" s="1">
        <v>0</v>
      </c>
      <c r="D18" s="1">
        <v>1731</v>
      </c>
      <c r="E18" s="1">
        <v>0</v>
      </c>
      <c r="F18" s="1">
        <v>0</v>
      </c>
      <c r="G18" s="9">
        <f>SUM(ID_FINANCIAL)</f>
        <v>1731</v>
      </c>
      <c r="I18" s="13" t="s">
        <v>31</v>
      </c>
      <c r="J18" s="16"/>
      <c r="L18" s="6"/>
      <c r="V18" s="9"/>
    </row>
    <row r="19" spans="1:22">
      <c r="A19" s="1" t="s">
        <v>32</v>
      </c>
      <c r="B19" s="6">
        <v>0</v>
      </c>
      <c r="C19" s="1">
        <v>0</v>
      </c>
      <c r="D19" s="1">
        <v>1481</v>
      </c>
      <c r="E19" s="1">
        <v>0</v>
      </c>
      <c r="F19" s="1">
        <v>0</v>
      </c>
      <c r="G19" s="9">
        <f>SUM(IL_FINANCIAL)</f>
        <v>1481</v>
      </c>
      <c r="I19" s="13" t="s">
        <v>33</v>
      </c>
      <c r="J19" s="16">
        <v>858110</v>
      </c>
      <c r="L19" s="6"/>
      <c r="V19" s="9"/>
    </row>
    <row r="20" spans="1:22">
      <c r="A20" s="1" t="s">
        <v>34</v>
      </c>
      <c r="B20" s="6">
        <v>28063.624257193005</v>
      </c>
      <c r="C20" s="1">
        <v>0</v>
      </c>
      <c r="D20" s="1">
        <v>10965.162655968248</v>
      </c>
      <c r="E20" s="1">
        <v>0</v>
      </c>
      <c r="F20" s="1">
        <v>0</v>
      </c>
      <c r="G20" s="9">
        <f>SUM(IN_FINANCIAL)</f>
        <v>39028.786913161253</v>
      </c>
      <c r="I20" s="13" t="s">
        <v>35</v>
      </c>
      <c r="J20" s="16">
        <v>10356665.249743806</v>
      </c>
      <c r="L20" s="6">
        <v>0</v>
      </c>
      <c r="M20" s="1">
        <v>0</v>
      </c>
      <c r="O20" s="1">
        <v>0</v>
      </c>
      <c r="P20" s="1">
        <v>0</v>
      </c>
      <c r="R20" s="1">
        <v>590456</v>
      </c>
      <c r="S20" s="1">
        <v>0</v>
      </c>
      <c r="U20" s="1">
        <v>0</v>
      </c>
      <c r="V20" s="9">
        <v>0</v>
      </c>
    </row>
    <row r="21" spans="1:22">
      <c r="A21" s="1" t="s">
        <v>36</v>
      </c>
      <c r="B21" s="6">
        <v>0</v>
      </c>
      <c r="C21" s="1">
        <v>0</v>
      </c>
      <c r="D21" s="1">
        <v>54</v>
      </c>
      <c r="E21" s="1">
        <v>0</v>
      </c>
      <c r="F21" s="1">
        <v>0</v>
      </c>
      <c r="G21" s="9">
        <f>SUM(IA_FINANCIAL)</f>
        <v>54</v>
      </c>
      <c r="I21" s="13" t="s">
        <v>37</v>
      </c>
      <c r="J21" s="16"/>
      <c r="L21" s="6"/>
      <c r="V21" s="9"/>
    </row>
    <row r="22" spans="1:22">
      <c r="A22" s="1" t="s">
        <v>38</v>
      </c>
      <c r="B22" s="6">
        <v>0</v>
      </c>
      <c r="C22" s="1">
        <v>0</v>
      </c>
      <c r="D22" s="1">
        <v>379</v>
      </c>
      <c r="E22" s="1">
        <v>0</v>
      </c>
      <c r="F22" s="1">
        <v>0</v>
      </c>
      <c r="G22" s="9">
        <f>SUM(KS_FINANCIAL)</f>
        <v>379</v>
      </c>
      <c r="I22" s="13" t="s">
        <v>39</v>
      </c>
      <c r="J22" s="16">
        <v>418260</v>
      </c>
      <c r="L22" s="6"/>
      <c r="V22" s="9"/>
    </row>
    <row r="23" spans="1:22">
      <c r="A23" s="1" t="s">
        <v>40</v>
      </c>
      <c r="B23" s="6">
        <v>0</v>
      </c>
      <c r="C23" s="1">
        <v>0</v>
      </c>
      <c r="D23" s="1">
        <v>80646.268806073815</v>
      </c>
      <c r="E23" s="1">
        <v>0</v>
      </c>
      <c r="F23" s="1">
        <v>0</v>
      </c>
      <c r="G23" s="9">
        <f>SUM(KY_FINANCIAL)</f>
        <v>80646.268806073815</v>
      </c>
      <c r="I23" s="13" t="s">
        <v>41</v>
      </c>
      <c r="J23" s="16"/>
      <c r="L23" s="6">
        <v>2378202</v>
      </c>
      <c r="M23" s="1">
        <v>1606905.95</v>
      </c>
      <c r="O23" s="1">
        <v>0</v>
      </c>
      <c r="P23" s="1">
        <v>0</v>
      </c>
      <c r="R23" s="1">
        <v>374000</v>
      </c>
      <c r="S23" s="1">
        <v>175940</v>
      </c>
      <c r="U23" s="1">
        <v>0</v>
      </c>
      <c r="V23" s="9">
        <v>0</v>
      </c>
    </row>
    <row r="24" spans="1:22">
      <c r="A24" s="1" t="s">
        <v>42</v>
      </c>
      <c r="B24" s="6">
        <v>0</v>
      </c>
      <c r="C24" s="1">
        <v>0</v>
      </c>
      <c r="D24" s="1">
        <v>0</v>
      </c>
      <c r="E24" s="1">
        <v>0</v>
      </c>
      <c r="F24" s="1">
        <v>0</v>
      </c>
      <c r="G24" s="9">
        <f>SUM(LA_FINANCIAL)</f>
        <v>0</v>
      </c>
      <c r="I24" s="13" t="s">
        <v>43</v>
      </c>
      <c r="J24" s="16">
        <v>17058382.000000004</v>
      </c>
      <c r="L24" s="6"/>
      <c r="V24" s="9"/>
    </row>
    <row r="25" spans="1:22">
      <c r="A25" s="1" t="s">
        <v>44</v>
      </c>
      <c r="B25" s="6">
        <v>0</v>
      </c>
      <c r="C25" s="1">
        <v>0</v>
      </c>
      <c r="D25" s="1">
        <v>0</v>
      </c>
      <c r="E25" s="1">
        <v>0</v>
      </c>
      <c r="F25" s="1">
        <v>0</v>
      </c>
      <c r="G25" s="9">
        <f>SUM(ME_FINANCIAL)</f>
        <v>0</v>
      </c>
      <c r="I25" s="13"/>
      <c r="J25" s="16"/>
      <c r="L25" s="6"/>
      <c r="V25" s="9"/>
    </row>
    <row r="26" spans="1:22">
      <c r="A26" s="1" t="s">
        <v>45</v>
      </c>
      <c r="B26" s="6">
        <v>24110.003987351927</v>
      </c>
      <c r="C26" s="1">
        <v>0</v>
      </c>
      <c r="D26" s="1">
        <v>554.59020213100348</v>
      </c>
      <c r="E26" s="1">
        <v>0</v>
      </c>
      <c r="F26" s="1">
        <v>0</v>
      </c>
      <c r="G26" s="9">
        <f>SUM(MD_FINANCIAL)</f>
        <v>24664.59418948293</v>
      </c>
      <c r="I26" s="13" t="s">
        <v>46</v>
      </c>
      <c r="J26" s="16">
        <f>SUM(ADD_FINANCIAL)-SUM(LESS_FINANCIAL)</f>
        <v>1804983.099999994</v>
      </c>
      <c r="L26" s="6">
        <v>400000</v>
      </c>
      <c r="M26" s="1">
        <v>0</v>
      </c>
      <c r="O26" s="1">
        <v>0</v>
      </c>
      <c r="P26" s="1">
        <v>0</v>
      </c>
      <c r="R26" s="1">
        <v>0</v>
      </c>
      <c r="S26" s="1">
        <v>0</v>
      </c>
      <c r="U26" s="1">
        <v>0</v>
      </c>
      <c r="V26" s="9">
        <v>0</v>
      </c>
    </row>
    <row r="27" spans="1:22">
      <c r="A27" s="1" t="s">
        <v>47</v>
      </c>
      <c r="B27" s="6">
        <v>0</v>
      </c>
      <c r="C27" s="1">
        <v>0</v>
      </c>
      <c r="D27" s="1">
        <v>1377</v>
      </c>
      <c r="E27" s="1">
        <v>0</v>
      </c>
      <c r="F27" s="1">
        <v>0</v>
      </c>
      <c r="G27" s="9">
        <f>SUM(MA_FINANCIAL)</f>
        <v>1377</v>
      </c>
      <c r="I27" s="13" t="s">
        <v>48</v>
      </c>
      <c r="J27" s="16">
        <f>SUM(ALL_BLOCKS)</f>
        <v>1804983.0999999994</v>
      </c>
      <c r="L27" s="6"/>
      <c r="V27" s="9"/>
    </row>
    <row r="28" spans="1:22">
      <c r="A28" s="1" t="s">
        <v>49</v>
      </c>
      <c r="B28" s="6">
        <v>0</v>
      </c>
      <c r="C28" s="1">
        <v>0</v>
      </c>
      <c r="D28" s="1">
        <v>4098</v>
      </c>
      <c r="E28" s="1">
        <v>0</v>
      </c>
      <c r="F28" s="1">
        <v>0</v>
      </c>
      <c r="G28" s="9">
        <f>SUM(MI_FINANCIAL)</f>
        <v>4098</v>
      </c>
      <c r="I28" s="14"/>
      <c r="J28" s="17"/>
      <c r="L28" s="6"/>
      <c r="V28" s="9"/>
    </row>
    <row r="29" spans="1:22">
      <c r="A29" s="1" t="s">
        <v>50</v>
      </c>
      <c r="B29" s="6">
        <v>0</v>
      </c>
      <c r="C29" s="1">
        <v>0</v>
      </c>
      <c r="D29" s="1">
        <v>1811</v>
      </c>
      <c r="E29" s="1">
        <v>0</v>
      </c>
      <c r="F29" s="1">
        <v>0</v>
      </c>
      <c r="G29" s="9">
        <f>SUM(MN_FINANCIAL)</f>
        <v>1811</v>
      </c>
      <c r="L29" s="6"/>
      <c r="V29" s="9"/>
    </row>
    <row r="30" spans="1:22">
      <c r="A30" s="1" t="s">
        <v>51</v>
      </c>
      <c r="B30" s="6">
        <v>0</v>
      </c>
      <c r="C30" s="1">
        <v>0</v>
      </c>
      <c r="D30" s="1">
        <v>849</v>
      </c>
      <c r="E30" s="1">
        <v>0</v>
      </c>
      <c r="F30" s="1">
        <v>0</v>
      </c>
      <c r="G30" s="9">
        <f>SUM(MS_FINANCIAL)</f>
        <v>849</v>
      </c>
      <c r="L30" s="6"/>
      <c r="V30" s="9"/>
    </row>
    <row r="31" spans="1:22">
      <c r="A31" s="1" t="s">
        <v>52</v>
      </c>
      <c r="B31" s="6">
        <v>6523.0186946637696</v>
      </c>
      <c r="C31" s="1">
        <v>1063.6274260439714</v>
      </c>
      <c r="D31" s="1">
        <v>1134.9039395584368</v>
      </c>
      <c r="E31" s="1">
        <v>0</v>
      </c>
      <c r="F31" s="1">
        <v>0</v>
      </c>
      <c r="G31" s="9">
        <f>SUM(MO_FINANCIAL)</f>
        <v>8721.5500602661778</v>
      </c>
      <c r="L31" s="6">
        <v>25000</v>
      </c>
      <c r="M31" s="1">
        <v>0</v>
      </c>
      <c r="O31" s="1">
        <v>0</v>
      </c>
      <c r="P31" s="1">
        <v>0</v>
      </c>
      <c r="R31" s="1">
        <v>25000</v>
      </c>
      <c r="S31" s="1">
        <v>0</v>
      </c>
      <c r="U31" s="1">
        <v>0</v>
      </c>
      <c r="V31" s="9">
        <v>0</v>
      </c>
    </row>
    <row r="32" spans="1:22">
      <c r="A32" s="1" t="s">
        <v>53</v>
      </c>
      <c r="B32" s="6">
        <v>0</v>
      </c>
      <c r="C32" s="1">
        <v>0</v>
      </c>
      <c r="D32" s="1">
        <v>0</v>
      </c>
      <c r="E32" s="1">
        <v>0</v>
      </c>
      <c r="F32" s="1">
        <v>0</v>
      </c>
      <c r="G32" s="9">
        <f>SUM(MT_FINANCIAL)</f>
        <v>0</v>
      </c>
      <c r="L32" s="6"/>
      <c r="V32" s="9"/>
    </row>
    <row r="33" spans="1:22">
      <c r="A33" s="1" t="s">
        <v>54</v>
      </c>
      <c r="B33" s="6">
        <v>0</v>
      </c>
      <c r="C33" s="1">
        <v>0</v>
      </c>
      <c r="D33" s="1">
        <v>0</v>
      </c>
      <c r="E33" s="1">
        <v>0</v>
      </c>
      <c r="F33" s="1">
        <v>0</v>
      </c>
      <c r="G33" s="9">
        <f>SUM(NE_FINANCIAL)</f>
        <v>0</v>
      </c>
      <c r="L33" s="6"/>
      <c r="V33" s="9"/>
    </row>
    <row r="34" spans="1:22">
      <c r="A34" s="1" t="s">
        <v>55</v>
      </c>
      <c r="B34" s="6">
        <v>0</v>
      </c>
      <c r="C34" s="1">
        <v>0</v>
      </c>
      <c r="D34" s="1">
        <v>0</v>
      </c>
      <c r="E34" s="1">
        <v>0</v>
      </c>
      <c r="F34" s="1">
        <v>0</v>
      </c>
      <c r="G34" s="9">
        <f>SUM(NV_FINANCIAL)</f>
        <v>0</v>
      </c>
      <c r="L34" s="6"/>
      <c r="V34" s="9"/>
    </row>
    <row r="35" spans="1:22">
      <c r="A35" s="1" t="s">
        <v>56</v>
      </c>
      <c r="B35" s="6">
        <v>0</v>
      </c>
      <c r="C35" s="1">
        <v>0</v>
      </c>
      <c r="D35" s="1">
        <v>1051</v>
      </c>
      <c r="E35" s="1">
        <v>0</v>
      </c>
      <c r="F35" s="1">
        <v>0</v>
      </c>
      <c r="G35" s="9">
        <f>SUM(NH_FINANCIAL)</f>
        <v>1051</v>
      </c>
      <c r="L35" s="6"/>
      <c r="V35" s="9"/>
    </row>
    <row r="36" spans="1:22">
      <c r="A36" s="1" t="s">
        <v>57</v>
      </c>
      <c r="B36" s="6">
        <v>0</v>
      </c>
      <c r="C36" s="1">
        <v>0</v>
      </c>
      <c r="D36" s="1">
        <v>0</v>
      </c>
      <c r="E36" s="1">
        <v>0</v>
      </c>
      <c r="F36" s="1">
        <v>0</v>
      </c>
      <c r="G36" s="9">
        <f>SUM(NJ_FINANCIAL)</f>
        <v>0</v>
      </c>
      <c r="L36" s="6"/>
      <c r="V36" s="9"/>
    </row>
    <row r="37" spans="1:22">
      <c r="A37" s="1" t="s">
        <v>58</v>
      </c>
      <c r="B37" s="6">
        <v>0</v>
      </c>
      <c r="C37" s="1">
        <v>0</v>
      </c>
      <c r="D37" s="1">
        <v>0</v>
      </c>
      <c r="E37" s="1">
        <v>0</v>
      </c>
      <c r="F37" s="1">
        <v>0</v>
      </c>
      <c r="G37" s="9">
        <f>SUM(NM_FINANCIAL)</f>
        <v>0</v>
      </c>
      <c r="L37" s="6"/>
      <c r="V37" s="9"/>
    </row>
    <row r="38" spans="1:22">
      <c r="A38" s="1" t="s">
        <v>59</v>
      </c>
      <c r="B38" s="6">
        <v>0</v>
      </c>
      <c r="C38" s="1">
        <v>0</v>
      </c>
      <c r="D38" s="1">
        <v>3814</v>
      </c>
      <c r="E38" s="1">
        <v>0</v>
      </c>
      <c r="F38" s="1">
        <v>0</v>
      </c>
      <c r="G38" s="9">
        <f>SUM(NY_FINANCIAL)</f>
        <v>3814</v>
      </c>
      <c r="L38" s="6"/>
      <c r="V38" s="9"/>
    </row>
    <row r="39" spans="1:22">
      <c r="A39" s="1" t="s">
        <v>60</v>
      </c>
      <c r="B39" s="6">
        <v>-5479.290048263385</v>
      </c>
      <c r="C39" s="1">
        <v>0</v>
      </c>
      <c r="D39" s="1">
        <v>0</v>
      </c>
      <c r="E39" s="1">
        <v>0</v>
      </c>
      <c r="F39" s="1">
        <v>0</v>
      </c>
      <c r="G39" s="9">
        <f>SUM(NC_FINANCIAL)</f>
        <v>-5479.290048263385</v>
      </c>
      <c r="L39" s="6"/>
      <c r="V39" s="9"/>
    </row>
    <row r="40" spans="1:22">
      <c r="A40" s="1" t="s">
        <v>61</v>
      </c>
      <c r="B40" s="6">
        <v>0</v>
      </c>
      <c r="C40" s="1">
        <v>0</v>
      </c>
      <c r="D40" s="1">
        <v>0</v>
      </c>
      <c r="E40" s="1">
        <v>0</v>
      </c>
      <c r="F40" s="1">
        <v>0</v>
      </c>
      <c r="G40" s="9">
        <f>SUM(ND_FINANCIAL)</f>
        <v>0</v>
      </c>
      <c r="L40" s="6"/>
      <c r="V40" s="9"/>
    </row>
    <row r="41" spans="1:22">
      <c r="A41" s="1" t="s">
        <v>62</v>
      </c>
      <c r="B41" s="6">
        <v>0</v>
      </c>
      <c r="C41" s="1">
        <v>0</v>
      </c>
      <c r="D41" s="1">
        <v>2817</v>
      </c>
      <c r="E41" s="1">
        <v>0</v>
      </c>
      <c r="F41" s="1">
        <v>0</v>
      </c>
      <c r="G41" s="9">
        <f>SUM(OH_FINANCIAL)</f>
        <v>2817</v>
      </c>
      <c r="L41" s="6"/>
      <c r="V41" s="9"/>
    </row>
    <row r="42" spans="1:22">
      <c r="A42" s="1" t="s">
        <v>63</v>
      </c>
      <c r="B42" s="6">
        <v>20582.119561954081</v>
      </c>
      <c r="C42" s="1">
        <v>1118.7967510752405</v>
      </c>
      <c r="D42" s="1">
        <v>1701.9993128059486</v>
      </c>
      <c r="E42" s="1">
        <v>0</v>
      </c>
      <c r="F42" s="1">
        <v>0</v>
      </c>
      <c r="G42" s="9">
        <f>SUM(OK_FINANCIAL)</f>
        <v>23402.915625835274</v>
      </c>
      <c r="L42" s="6">
        <v>40000</v>
      </c>
      <c r="M42" s="1">
        <v>17600</v>
      </c>
      <c r="O42" s="1">
        <v>0</v>
      </c>
      <c r="P42" s="1">
        <v>0</v>
      </c>
      <c r="R42" s="1">
        <v>210000</v>
      </c>
      <c r="S42" s="1">
        <v>92400</v>
      </c>
      <c r="U42" s="1">
        <v>0</v>
      </c>
      <c r="V42" s="9">
        <v>0</v>
      </c>
    </row>
    <row r="43" spans="1:22">
      <c r="A43" s="1" t="s">
        <v>64</v>
      </c>
      <c r="B43" s="6">
        <v>0</v>
      </c>
      <c r="C43" s="1">
        <v>0</v>
      </c>
      <c r="D43" s="1">
        <v>62</v>
      </c>
      <c r="E43" s="1">
        <v>0</v>
      </c>
      <c r="F43" s="1">
        <v>0</v>
      </c>
      <c r="G43" s="9">
        <f>SUM(OR_FINANCIAL)</f>
        <v>62</v>
      </c>
      <c r="L43" s="6"/>
      <c r="V43" s="9"/>
    </row>
    <row r="44" spans="1:22">
      <c r="A44" s="1" t="s">
        <v>65</v>
      </c>
      <c r="B44" s="6">
        <v>42271.624010259926</v>
      </c>
      <c r="C44" s="1">
        <v>383.89373805976311</v>
      </c>
      <c r="D44" s="1">
        <v>922.93536408814907</v>
      </c>
      <c r="E44" s="1">
        <v>0</v>
      </c>
      <c r="F44" s="1">
        <v>0</v>
      </c>
      <c r="G44" s="9">
        <f>SUM(PA_FINANCIAL)</f>
        <v>43578.453112407835</v>
      </c>
      <c r="L44" s="6">
        <v>249570</v>
      </c>
      <c r="M44" s="1">
        <v>0</v>
      </c>
      <c r="O44" s="1">
        <v>0</v>
      </c>
      <c r="P44" s="1">
        <v>0</v>
      </c>
      <c r="R44" s="1">
        <v>750420</v>
      </c>
      <c r="S44" s="1">
        <v>0</v>
      </c>
      <c r="U44" s="1">
        <v>0</v>
      </c>
      <c r="V44" s="9">
        <v>0</v>
      </c>
    </row>
    <row r="45" spans="1:22">
      <c r="A45" s="1" t="s">
        <v>66</v>
      </c>
      <c r="B45" s="6">
        <v>0</v>
      </c>
      <c r="C45" s="1">
        <v>0</v>
      </c>
      <c r="D45" s="1">
        <v>0</v>
      </c>
      <c r="E45" s="1">
        <v>0</v>
      </c>
      <c r="F45" s="1">
        <v>0</v>
      </c>
      <c r="G45" s="9">
        <f>SUM(PR_FINANCIAL)</f>
        <v>0</v>
      </c>
      <c r="L45" s="6"/>
      <c r="V45" s="9"/>
    </row>
    <row r="46" spans="1:22">
      <c r="A46" s="1" t="s">
        <v>67</v>
      </c>
      <c r="B46" s="6">
        <v>0</v>
      </c>
      <c r="C46" s="1">
        <v>0</v>
      </c>
      <c r="D46" s="1">
        <v>5</v>
      </c>
      <c r="E46" s="1">
        <v>0</v>
      </c>
      <c r="F46" s="1">
        <v>0</v>
      </c>
      <c r="G46" s="9">
        <f>SUM(RI_FINANCIAL)</f>
        <v>5</v>
      </c>
      <c r="L46" s="6"/>
      <c r="V46" s="9"/>
    </row>
    <row r="47" spans="1:22">
      <c r="A47" s="1" t="s">
        <v>68</v>
      </c>
      <c r="B47" s="6">
        <v>213441.95142118959</v>
      </c>
      <c r="C47" s="1">
        <v>10440.076605862218</v>
      </c>
      <c r="D47" s="1">
        <v>0</v>
      </c>
      <c r="E47" s="1">
        <v>0</v>
      </c>
      <c r="F47" s="1">
        <v>0</v>
      </c>
      <c r="G47" s="9">
        <f>SUM(SC_FINANCIAL)</f>
        <v>223882.0280270518</v>
      </c>
      <c r="L47" s="6"/>
      <c r="V47" s="9"/>
    </row>
    <row r="48" spans="1:22">
      <c r="A48" s="1" t="s">
        <v>69</v>
      </c>
      <c r="B48" s="6">
        <v>0</v>
      </c>
      <c r="C48" s="1">
        <v>0</v>
      </c>
      <c r="D48" s="1">
        <v>0</v>
      </c>
      <c r="E48" s="1">
        <v>0</v>
      </c>
      <c r="F48" s="1">
        <v>0</v>
      </c>
      <c r="G48" s="9">
        <f>SUM(SD_FINANCIAL)</f>
        <v>0</v>
      </c>
      <c r="L48" s="6"/>
      <c r="V48" s="9"/>
    </row>
    <row r="49" spans="1:22">
      <c r="A49" s="1" t="s">
        <v>70</v>
      </c>
      <c r="B49" s="6">
        <v>15968.545206963638</v>
      </c>
      <c r="C49" s="1">
        <v>0</v>
      </c>
      <c r="D49" s="1">
        <v>1085.6888401498763</v>
      </c>
      <c r="E49" s="1">
        <v>0</v>
      </c>
      <c r="F49" s="1">
        <v>0</v>
      </c>
      <c r="G49" s="9">
        <f>SUM(TN_FINANCIAL)</f>
        <v>17054.234047113514</v>
      </c>
      <c r="L49" s="6">
        <v>200000</v>
      </c>
      <c r="M49" s="1">
        <v>0</v>
      </c>
      <c r="O49" s="1">
        <v>0</v>
      </c>
      <c r="P49" s="1">
        <v>0</v>
      </c>
      <c r="R49" s="1">
        <v>53000</v>
      </c>
      <c r="S49" s="1">
        <v>0</v>
      </c>
      <c r="U49" s="1">
        <v>0</v>
      </c>
      <c r="V49" s="9">
        <v>0</v>
      </c>
    </row>
    <row r="50" spans="1:22">
      <c r="A50" s="1" t="s">
        <v>71</v>
      </c>
      <c r="B50" s="6">
        <v>92655.276825762587</v>
      </c>
      <c r="C50" s="1">
        <v>0</v>
      </c>
      <c r="D50" s="1">
        <v>0</v>
      </c>
      <c r="E50" s="1">
        <v>0</v>
      </c>
      <c r="F50" s="1">
        <v>0</v>
      </c>
      <c r="G50" s="9">
        <f>SUM(TX_FINANCIAL)</f>
        <v>92655.276825762587</v>
      </c>
      <c r="L50" s="6">
        <v>65397</v>
      </c>
      <c r="M50" s="1">
        <v>151779.33250000002</v>
      </c>
      <c r="O50" s="1">
        <v>0</v>
      </c>
      <c r="P50" s="1">
        <v>0</v>
      </c>
      <c r="R50" s="1">
        <v>1359712</v>
      </c>
      <c r="S50" s="1">
        <v>1266259.6675</v>
      </c>
      <c r="U50" s="1">
        <v>0</v>
      </c>
      <c r="V50" s="9">
        <v>0</v>
      </c>
    </row>
    <row r="51" spans="1:22">
      <c r="A51" s="1" t="s">
        <v>72</v>
      </c>
      <c r="B51" s="6">
        <v>0</v>
      </c>
      <c r="C51" s="1">
        <v>0</v>
      </c>
      <c r="D51" s="1">
        <v>96</v>
      </c>
      <c r="E51" s="1">
        <v>0</v>
      </c>
      <c r="F51" s="1">
        <v>0</v>
      </c>
      <c r="G51" s="9">
        <f>SUM(UT_FINANCIAL)</f>
        <v>96</v>
      </c>
      <c r="L51" s="6"/>
      <c r="V51" s="9"/>
    </row>
    <row r="52" spans="1:22">
      <c r="A52" s="1" t="s">
        <v>73</v>
      </c>
      <c r="B52" s="6">
        <v>0</v>
      </c>
      <c r="C52" s="1">
        <v>0</v>
      </c>
      <c r="D52" s="1">
        <v>0</v>
      </c>
      <c r="E52" s="1">
        <v>0</v>
      </c>
      <c r="F52" s="1">
        <v>0</v>
      </c>
      <c r="G52" s="9">
        <f>SUM(VT_FINANCIAL)</f>
        <v>0</v>
      </c>
      <c r="L52" s="6"/>
      <c r="V52" s="9"/>
    </row>
    <row r="53" spans="1:22">
      <c r="A53" s="1" t="s">
        <v>74</v>
      </c>
      <c r="B53" s="6">
        <v>58905.095809094142</v>
      </c>
      <c r="C53" s="1">
        <v>455.35940917175139</v>
      </c>
      <c r="D53" s="1">
        <v>2837.1994439155824</v>
      </c>
      <c r="E53" s="1">
        <v>0</v>
      </c>
      <c r="F53" s="1">
        <v>0</v>
      </c>
      <c r="G53" s="9">
        <f>SUM(VA_FINANCIAL)</f>
        <v>62197.654662181478</v>
      </c>
      <c r="L53" s="6">
        <v>560269</v>
      </c>
      <c r="M53" s="1">
        <v>382889</v>
      </c>
      <c r="O53" s="1">
        <v>4588</v>
      </c>
      <c r="P53" s="1">
        <v>13137</v>
      </c>
      <c r="R53" s="1">
        <v>333201</v>
      </c>
      <c r="S53" s="1">
        <v>383000</v>
      </c>
      <c r="U53" s="1">
        <v>0</v>
      </c>
      <c r="V53" s="9">
        <v>0</v>
      </c>
    </row>
    <row r="54" spans="1:22">
      <c r="A54" s="1" t="s">
        <v>75</v>
      </c>
      <c r="B54" s="6">
        <v>0</v>
      </c>
      <c r="C54" s="1">
        <v>0</v>
      </c>
      <c r="D54" s="1">
        <v>0</v>
      </c>
      <c r="E54" s="1">
        <v>0</v>
      </c>
      <c r="F54" s="1">
        <v>0</v>
      </c>
      <c r="G54" s="9">
        <f>SUM(WA_FINANCIAL)</f>
        <v>0</v>
      </c>
      <c r="L54" s="6"/>
      <c r="V54" s="9"/>
    </row>
    <row r="55" spans="1:22">
      <c r="A55" s="1" t="s">
        <v>76</v>
      </c>
      <c r="B55" s="6">
        <v>643266.17274909467</v>
      </c>
      <c r="C55" s="1">
        <v>24884.348575252181</v>
      </c>
      <c r="D55" s="1">
        <v>100162.83159490593</v>
      </c>
      <c r="E55" s="1">
        <v>0</v>
      </c>
      <c r="F55" s="1">
        <v>0</v>
      </c>
      <c r="G55" s="9">
        <f>SUM(WV_FINANCIAL)</f>
        <v>768313.35291925282</v>
      </c>
      <c r="L55" s="6">
        <v>606438</v>
      </c>
      <c r="M55" s="1">
        <v>128826</v>
      </c>
      <c r="O55" s="1">
        <v>73076</v>
      </c>
      <c r="P55" s="1">
        <v>140773</v>
      </c>
      <c r="R55" s="1">
        <v>3240504</v>
      </c>
      <c r="S55" s="1">
        <v>3765849</v>
      </c>
      <c r="U55" s="1">
        <v>0</v>
      </c>
      <c r="V55" s="9">
        <v>0</v>
      </c>
    </row>
    <row r="56" spans="1:22">
      <c r="A56" s="1" t="s">
        <v>77</v>
      </c>
      <c r="B56" s="6">
        <v>0</v>
      </c>
      <c r="C56" s="1">
        <v>0</v>
      </c>
      <c r="D56" s="1">
        <v>0</v>
      </c>
      <c r="E56" s="1">
        <v>0</v>
      </c>
      <c r="F56" s="1">
        <v>0</v>
      </c>
      <c r="G56" s="9">
        <f>SUM(WI_FINANCIAL)</f>
        <v>0</v>
      </c>
      <c r="L56" s="6"/>
      <c r="V56" s="9"/>
    </row>
    <row r="57" spans="1:22">
      <c r="A57" s="1" t="s">
        <v>78</v>
      </c>
      <c r="B57" s="6">
        <v>0</v>
      </c>
      <c r="C57" s="1">
        <v>0</v>
      </c>
      <c r="D57" s="1">
        <v>0</v>
      </c>
      <c r="E57" s="1">
        <v>0</v>
      </c>
      <c r="F57" s="1">
        <v>0</v>
      </c>
      <c r="G57" s="9">
        <f>SUM(WY_FINANCIAL)</f>
        <v>0</v>
      </c>
      <c r="L57" s="6"/>
      <c r="V57" s="9"/>
    </row>
    <row r="58" spans="1:22">
      <c r="A58" s="1" t="s">
        <v>79</v>
      </c>
      <c r="B58" s="6">
        <v>0</v>
      </c>
      <c r="C58" s="1">
        <v>0</v>
      </c>
      <c r="D58" s="1">
        <v>0</v>
      </c>
      <c r="E58" s="1">
        <v>0</v>
      </c>
      <c r="F58" s="1">
        <v>0</v>
      </c>
      <c r="G58" s="9">
        <f>SUM(OT_FINANCIAL)</f>
        <v>0</v>
      </c>
      <c r="L58" s="6"/>
      <c r="V58" s="9"/>
    </row>
    <row r="59" spans="1:22">
      <c r="B59" s="6"/>
      <c r="G59" s="9"/>
      <c r="L59" s="6"/>
      <c r="V59" s="9"/>
    </row>
    <row r="60" spans="1:22">
      <c r="A60" s="1" t="s">
        <v>8</v>
      </c>
      <c r="B60" s="6">
        <f>SUM(LIFE)</f>
        <v>1337189.0755588906</v>
      </c>
      <c r="C60" s="1">
        <f>SUM(ALLOCATED)</f>
        <v>77279.28077589313</v>
      </c>
      <c r="D60" s="1">
        <f>SUM(HEALTH)</f>
        <v>390514.74366521533</v>
      </c>
      <c r="E60" s="1">
        <f>SUM(UNALLOCATED)</f>
        <v>0</v>
      </c>
      <c r="F60" s="1">
        <f>SUM(LTC)</f>
        <v>0</v>
      </c>
      <c r="G60" s="9">
        <f>SUM(ALL_BLOCKS)</f>
        <v>1804983.0999999994</v>
      </c>
      <c r="L60" s="6">
        <f>SUM(LIFE_CALLED)</f>
        <v>5231876</v>
      </c>
      <c r="M60" s="1">
        <f>SUM(LIFE_REFUNDED)</f>
        <v>2288000.2824999997</v>
      </c>
      <c r="O60" s="1">
        <f>SUM(ALLOC_CALLED)</f>
        <v>214664</v>
      </c>
      <c r="P60" s="1">
        <f>SUM(ALLOC_REFUNDED)</f>
        <v>154649.16</v>
      </c>
      <c r="R60" s="1">
        <f>SUM(HEALTH_CALLED)</f>
        <v>13338293</v>
      </c>
      <c r="S60" s="1">
        <f>SUM(HEALTH_REFUNDED)</f>
        <v>5683448.6675000004</v>
      </c>
      <c r="U60" s="1">
        <f>SUM(UNALLOC_CALLED)</f>
        <v>0</v>
      </c>
      <c r="V60" s="9">
        <f>SUM(UNALLOC_REFUNDED)</f>
        <v>0</v>
      </c>
    </row>
    <row r="61" spans="1:22" ht="5.0999999999999996" customHeight="1">
      <c r="B61" s="6"/>
      <c r="G61" s="9"/>
      <c r="L61" s="6"/>
      <c r="V61" s="9"/>
    </row>
    <row r="62" spans="1:22">
      <c r="B62" s="6"/>
      <c r="G62" s="9"/>
      <c r="L62" s="78" t="s">
        <v>80</v>
      </c>
      <c r="M62" s="79"/>
      <c r="N62" s="79"/>
      <c r="O62" s="79"/>
      <c r="P62" s="79"/>
      <c r="Q62" s="79"/>
      <c r="R62" s="79"/>
      <c r="S62" s="79"/>
      <c r="T62" s="79"/>
      <c r="U62" s="79"/>
      <c r="V62" s="80"/>
    </row>
    <row r="63" spans="1:22">
      <c r="B63" s="6"/>
      <c r="G63" s="9"/>
      <c r="L63" s="81"/>
      <c r="M63" s="79"/>
      <c r="N63" s="79"/>
      <c r="O63" s="79"/>
      <c r="P63" s="79"/>
      <c r="Q63" s="79"/>
      <c r="R63" s="79"/>
      <c r="S63" s="79"/>
      <c r="T63" s="79"/>
      <c r="U63" s="79"/>
      <c r="V63" s="80"/>
    </row>
    <row r="64" spans="1:22">
      <c r="B64" s="8"/>
      <c r="C64" s="5"/>
      <c r="D64" s="5"/>
      <c r="E64" s="5"/>
      <c r="F64" s="5"/>
      <c r="G64" s="11"/>
      <c r="L64" s="82"/>
      <c r="M64" s="83"/>
      <c r="N64" s="83"/>
      <c r="O64" s="83"/>
      <c r="P64" s="83"/>
      <c r="Q64" s="83"/>
      <c r="R64" s="83"/>
      <c r="S64" s="83"/>
      <c r="T64" s="83"/>
      <c r="U64" s="83"/>
      <c r="V64" s="84"/>
    </row>
  </sheetData>
  <mergeCells count="8">
    <mergeCell ref="L62:V64"/>
    <mergeCell ref="A1:G1"/>
    <mergeCell ref="B3:G3"/>
    <mergeCell ref="L3:V3"/>
    <mergeCell ref="L4:M4"/>
    <mergeCell ref="O4:P4"/>
    <mergeCell ref="R4:S4"/>
    <mergeCell ref="U4:V4"/>
  </mergeCells>
  <pageMargins left="0" right="0" top="0" bottom="0" header="0" footer="0"/>
  <pageSetup scale="48"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V64"/>
  <sheetViews>
    <sheetView zoomScale="75" workbookViewId="0">
      <selection sqref="A1:G1"/>
    </sheetView>
  </sheetViews>
  <sheetFormatPr defaultColWidth="9.109375" defaultRowHeight="14.4"/>
  <cols>
    <col min="1" max="1" width="20" style="1" customWidth="1"/>
    <col min="2" max="7" width="15" style="1" customWidth="1"/>
    <col min="8" max="8" width="1" style="1" customWidth="1"/>
    <col min="9" max="9" width="30" style="1" customWidth="1"/>
    <col min="10" max="10" width="15" style="1" customWidth="1"/>
    <col min="11" max="11" width="1" style="1" customWidth="1"/>
    <col min="12" max="13" width="15" style="1" customWidth="1"/>
    <col min="14" max="14" width="1" style="1" customWidth="1"/>
    <col min="15" max="16" width="15" style="1" customWidth="1"/>
    <col min="17" max="17" width="1" style="1" customWidth="1"/>
    <col min="18" max="19" width="15" style="1" customWidth="1"/>
    <col min="20" max="20" width="1" style="1" customWidth="1"/>
    <col min="21" max="22" width="15" style="1" customWidth="1"/>
    <col min="23" max="23" width="9.109375" style="1" customWidth="1"/>
    <col min="24" max="16384" width="9.109375" style="1"/>
  </cols>
  <sheetData>
    <row r="1" spans="1:22">
      <c r="A1" s="85" t="s">
        <v>126</v>
      </c>
      <c r="B1" s="79"/>
      <c r="C1" s="79"/>
      <c r="D1" s="79"/>
      <c r="E1" s="79"/>
      <c r="F1" s="79"/>
      <c r="G1" s="79"/>
    </row>
    <row r="3" spans="1:22">
      <c r="B3" s="86" t="s">
        <v>1</v>
      </c>
      <c r="C3" s="87"/>
      <c r="D3" s="87"/>
      <c r="E3" s="87"/>
      <c r="F3" s="87"/>
      <c r="G3" s="88"/>
      <c r="L3" s="89" t="s">
        <v>2</v>
      </c>
      <c r="M3" s="90"/>
      <c r="N3" s="90"/>
      <c r="O3" s="90"/>
      <c r="P3" s="90"/>
      <c r="Q3" s="90"/>
      <c r="R3" s="90"/>
      <c r="S3" s="90"/>
      <c r="T3" s="90"/>
      <c r="U3" s="90"/>
      <c r="V3" s="91"/>
    </row>
    <row r="4" spans="1:22">
      <c r="B4" s="6"/>
      <c r="G4" s="9"/>
      <c r="L4" s="92" t="s">
        <v>3</v>
      </c>
      <c r="M4" s="93"/>
      <c r="N4" s="3"/>
      <c r="O4" s="94" t="s">
        <v>4</v>
      </c>
      <c r="P4" s="93"/>
      <c r="Q4" s="3"/>
      <c r="R4" s="94" t="s">
        <v>5</v>
      </c>
      <c r="S4" s="93"/>
      <c r="T4" s="3"/>
      <c r="U4" s="94" t="s">
        <v>6</v>
      </c>
      <c r="V4" s="95"/>
    </row>
    <row r="5" spans="1:22" ht="60" customHeight="1">
      <c r="B5" s="7" t="s">
        <v>3</v>
      </c>
      <c r="C5" s="4" t="s">
        <v>4</v>
      </c>
      <c r="D5" s="4" t="s">
        <v>5</v>
      </c>
      <c r="E5" s="4" t="s">
        <v>6</v>
      </c>
      <c r="F5" s="4" t="s">
        <v>7</v>
      </c>
      <c r="G5" s="10" t="s">
        <v>8</v>
      </c>
      <c r="L5" s="19" t="s">
        <v>9</v>
      </c>
      <c r="M5" s="18" t="s">
        <v>10</v>
      </c>
      <c r="N5" s="18"/>
      <c r="O5" s="18" t="s">
        <v>9</v>
      </c>
      <c r="P5" s="18" t="s">
        <v>10</v>
      </c>
      <c r="Q5" s="18"/>
      <c r="R5" s="18" t="s">
        <v>9</v>
      </c>
      <c r="S5" s="18" t="s">
        <v>10</v>
      </c>
      <c r="T5" s="18"/>
      <c r="U5" s="18" t="s">
        <v>9</v>
      </c>
      <c r="V5" s="20" t="s">
        <v>10</v>
      </c>
    </row>
    <row r="6" spans="1:22">
      <c r="A6" s="1" t="s">
        <v>11</v>
      </c>
      <c r="B6" s="6">
        <v>0</v>
      </c>
      <c r="C6" s="1">
        <v>0</v>
      </c>
      <c r="D6" s="1">
        <v>0</v>
      </c>
      <c r="E6" s="1">
        <v>0</v>
      </c>
      <c r="F6" s="1">
        <v>0</v>
      </c>
      <c r="G6" s="9">
        <f>SUM(AL_FINANCIAL)</f>
        <v>0</v>
      </c>
      <c r="L6" s="6"/>
      <c r="V6" s="9"/>
    </row>
    <row r="7" spans="1:22">
      <c r="A7" s="1" t="s">
        <v>12</v>
      </c>
      <c r="B7" s="6">
        <v>0</v>
      </c>
      <c r="C7" s="1">
        <v>0</v>
      </c>
      <c r="D7" s="1">
        <v>0</v>
      </c>
      <c r="E7" s="1">
        <v>0</v>
      </c>
      <c r="F7" s="1">
        <v>0</v>
      </c>
      <c r="G7" s="9">
        <f>SUM(AK_FINANCIAL)</f>
        <v>0</v>
      </c>
      <c r="I7" s="12"/>
      <c r="J7" s="15"/>
      <c r="L7" s="6"/>
      <c r="V7" s="9"/>
    </row>
    <row r="8" spans="1:22">
      <c r="A8" s="1" t="s">
        <v>13</v>
      </c>
      <c r="B8" s="6">
        <v>0</v>
      </c>
      <c r="C8" s="1">
        <v>0</v>
      </c>
      <c r="D8" s="1">
        <v>0</v>
      </c>
      <c r="E8" s="1">
        <v>0</v>
      </c>
      <c r="F8" s="1">
        <v>0</v>
      </c>
      <c r="G8" s="9">
        <f>SUM(AZ_FINANCIAL)</f>
        <v>0</v>
      </c>
      <c r="I8" s="13" t="s">
        <v>14</v>
      </c>
      <c r="J8" s="16"/>
      <c r="L8" s="6"/>
      <c r="V8" s="9"/>
    </row>
    <row r="9" spans="1:22">
      <c r="A9" s="1" t="s">
        <v>15</v>
      </c>
      <c r="B9" s="6">
        <v>0</v>
      </c>
      <c r="C9" s="1">
        <v>0</v>
      </c>
      <c r="D9" s="1">
        <v>0</v>
      </c>
      <c r="E9" s="1">
        <v>0</v>
      </c>
      <c r="F9" s="1">
        <v>0</v>
      </c>
      <c r="G9" s="9">
        <f>SUM(AR_FINANCIAL)</f>
        <v>0</v>
      </c>
      <c r="I9" s="13"/>
      <c r="J9" s="16"/>
      <c r="L9" s="6"/>
      <c r="V9" s="9"/>
    </row>
    <row r="10" spans="1:22">
      <c r="A10" s="1" t="s">
        <v>16</v>
      </c>
      <c r="B10" s="6">
        <v>727983.87554992689</v>
      </c>
      <c r="C10" s="1">
        <v>0</v>
      </c>
      <c r="D10" s="1">
        <v>59498.78</v>
      </c>
      <c r="E10" s="1">
        <v>0</v>
      </c>
      <c r="F10" s="1">
        <v>0</v>
      </c>
      <c r="G10" s="9">
        <f>SUM(CA_FINANCIAL)</f>
        <v>787482.65554992692</v>
      </c>
      <c r="I10" s="13" t="s">
        <v>17</v>
      </c>
      <c r="J10" s="16">
        <v>319462.36400000006</v>
      </c>
      <c r="L10" s="6"/>
      <c r="V10" s="9"/>
    </row>
    <row r="11" spans="1:22">
      <c r="A11" s="1" t="s">
        <v>18</v>
      </c>
      <c r="B11" s="6">
        <v>0</v>
      </c>
      <c r="C11" s="1">
        <v>0</v>
      </c>
      <c r="D11" s="1">
        <v>0</v>
      </c>
      <c r="E11" s="1">
        <v>0</v>
      </c>
      <c r="F11" s="1">
        <v>0</v>
      </c>
      <c r="G11" s="9">
        <f>SUM(CO_FINANCIAL)</f>
        <v>0</v>
      </c>
      <c r="I11" s="13"/>
      <c r="J11" s="16"/>
      <c r="L11" s="6"/>
      <c r="V11" s="9"/>
    </row>
    <row r="12" spans="1:22">
      <c r="A12" s="1" t="s">
        <v>19</v>
      </c>
      <c r="B12" s="6">
        <v>0</v>
      </c>
      <c r="C12" s="1">
        <v>0</v>
      </c>
      <c r="D12" s="1">
        <v>0</v>
      </c>
      <c r="E12" s="1">
        <v>0</v>
      </c>
      <c r="F12" s="1">
        <v>0</v>
      </c>
      <c r="G12" s="9">
        <f>SUM(CT_FINANCIAL)</f>
        <v>0</v>
      </c>
      <c r="I12" s="13" t="s">
        <v>20</v>
      </c>
      <c r="J12" s="16"/>
      <c r="L12" s="6"/>
      <c r="V12" s="9"/>
    </row>
    <row r="13" spans="1:22">
      <c r="A13" s="1" t="s">
        <v>21</v>
      </c>
      <c r="B13" s="6">
        <v>0</v>
      </c>
      <c r="C13" s="1">
        <v>0</v>
      </c>
      <c r="D13" s="1">
        <v>0</v>
      </c>
      <c r="E13" s="1">
        <v>0</v>
      </c>
      <c r="F13" s="1">
        <v>0</v>
      </c>
      <c r="G13" s="9">
        <f>SUM(DE_FINANCIAL)</f>
        <v>0</v>
      </c>
      <c r="I13" s="13" t="s">
        <v>22</v>
      </c>
      <c r="J13" s="16">
        <v>272265.99</v>
      </c>
      <c r="L13" s="6"/>
      <c r="V13" s="9"/>
    </row>
    <row r="14" spans="1:22">
      <c r="A14" s="1" t="s">
        <v>23</v>
      </c>
      <c r="B14" s="6">
        <v>1460.999409344782</v>
      </c>
      <c r="C14" s="1">
        <v>0</v>
      </c>
      <c r="D14" s="1">
        <v>0</v>
      </c>
      <c r="E14" s="1">
        <v>0</v>
      </c>
      <c r="F14" s="1">
        <v>0</v>
      </c>
      <c r="G14" s="9">
        <f>SUM(DC_FINANCIAL)</f>
        <v>1460.999409344782</v>
      </c>
      <c r="I14" s="13" t="s">
        <v>24</v>
      </c>
      <c r="J14" s="16">
        <v>323349.86</v>
      </c>
      <c r="L14" s="6"/>
      <c r="V14" s="9"/>
    </row>
    <row r="15" spans="1:22">
      <c r="A15" s="1" t="s">
        <v>25</v>
      </c>
      <c r="B15" s="6">
        <v>0</v>
      </c>
      <c r="C15" s="1">
        <v>0</v>
      </c>
      <c r="D15" s="1">
        <v>0</v>
      </c>
      <c r="E15" s="1">
        <v>0</v>
      </c>
      <c r="F15" s="1">
        <v>0</v>
      </c>
      <c r="G15" s="9">
        <f>SUM(FL_FINANCIAL)</f>
        <v>0</v>
      </c>
      <c r="I15" s="13" t="s">
        <v>26</v>
      </c>
      <c r="J15" s="16">
        <v>816262.66999999993</v>
      </c>
      <c r="L15" s="6"/>
      <c r="V15" s="9"/>
    </row>
    <row r="16" spans="1:22">
      <c r="A16" s="1" t="s">
        <v>27</v>
      </c>
      <c r="B16" s="6">
        <v>28156.129738025618</v>
      </c>
      <c r="C16" s="1">
        <v>0</v>
      </c>
      <c r="D16" s="1">
        <v>0</v>
      </c>
      <c r="E16" s="1">
        <v>0</v>
      </c>
      <c r="F16" s="1">
        <v>0</v>
      </c>
      <c r="G16" s="9">
        <f>SUM(GA_FINANCIAL)</f>
        <v>28156.129738025618</v>
      </c>
      <c r="I16" s="13" t="s">
        <v>28</v>
      </c>
      <c r="J16" s="16">
        <v>0</v>
      </c>
      <c r="L16" s="6"/>
      <c r="V16" s="9"/>
    </row>
    <row r="17" spans="1:22">
      <c r="A17" s="1" t="s">
        <v>29</v>
      </c>
      <c r="B17" s="6">
        <v>0</v>
      </c>
      <c r="C17" s="1">
        <v>0</v>
      </c>
      <c r="D17" s="1">
        <v>0</v>
      </c>
      <c r="E17" s="1">
        <v>0</v>
      </c>
      <c r="F17" s="1">
        <v>0</v>
      </c>
      <c r="G17" s="9">
        <f>SUM(HI_FINANCIAL)</f>
        <v>0</v>
      </c>
      <c r="I17" s="13"/>
      <c r="J17" s="16"/>
      <c r="L17" s="6"/>
      <c r="V17" s="9"/>
    </row>
    <row r="18" spans="1:22">
      <c r="A18" s="1" t="s">
        <v>30</v>
      </c>
      <c r="B18" s="6">
        <v>0</v>
      </c>
      <c r="C18" s="1">
        <v>0</v>
      </c>
      <c r="D18" s="1">
        <v>0</v>
      </c>
      <c r="E18" s="1">
        <v>0</v>
      </c>
      <c r="F18" s="1">
        <v>0</v>
      </c>
      <c r="G18" s="9">
        <f>SUM(ID_FINANCIAL)</f>
        <v>0</v>
      </c>
      <c r="I18" s="13" t="s">
        <v>31</v>
      </c>
      <c r="J18" s="16"/>
      <c r="L18" s="6"/>
      <c r="V18" s="9"/>
    </row>
    <row r="19" spans="1:22">
      <c r="A19" s="1" t="s">
        <v>32</v>
      </c>
      <c r="B19" s="6">
        <v>167995.43102726695</v>
      </c>
      <c r="C19" s="1">
        <v>12328.5</v>
      </c>
      <c r="D19" s="1">
        <v>0</v>
      </c>
      <c r="E19" s="1">
        <v>0</v>
      </c>
      <c r="F19" s="1">
        <v>0</v>
      </c>
      <c r="G19" s="9">
        <f>SUM(IL_FINANCIAL)</f>
        <v>180323.93102726695</v>
      </c>
      <c r="I19" s="13" t="s">
        <v>33</v>
      </c>
      <c r="J19" s="16">
        <v>0</v>
      </c>
      <c r="L19" s="6">
        <v>200000</v>
      </c>
      <c r="M19" s="1">
        <v>0</v>
      </c>
      <c r="O19" s="1">
        <v>100000</v>
      </c>
      <c r="P19" s="1">
        <v>0</v>
      </c>
      <c r="R19" s="1">
        <v>0</v>
      </c>
      <c r="S19" s="1">
        <v>0</v>
      </c>
      <c r="U19" s="1">
        <v>0</v>
      </c>
      <c r="V19" s="9">
        <v>0</v>
      </c>
    </row>
    <row r="20" spans="1:22">
      <c r="A20" s="1" t="s">
        <v>34</v>
      </c>
      <c r="B20" s="6">
        <v>0</v>
      </c>
      <c r="C20" s="1">
        <v>0</v>
      </c>
      <c r="D20" s="1">
        <v>0</v>
      </c>
      <c r="E20" s="1">
        <v>0</v>
      </c>
      <c r="F20" s="1">
        <v>0</v>
      </c>
      <c r="G20" s="9">
        <f>SUM(IN_FINANCIAL)</f>
        <v>0</v>
      </c>
      <c r="I20" s="13" t="s">
        <v>35</v>
      </c>
      <c r="J20" s="16">
        <v>0</v>
      </c>
      <c r="L20" s="6"/>
      <c r="V20" s="9"/>
    </row>
    <row r="21" spans="1:22">
      <c r="A21" s="1" t="s">
        <v>36</v>
      </c>
      <c r="B21" s="6">
        <v>0</v>
      </c>
      <c r="C21" s="1">
        <v>0</v>
      </c>
      <c r="D21" s="1">
        <v>0</v>
      </c>
      <c r="E21" s="1">
        <v>0</v>
      </c>
      <c r="F21" s="1">
        <v>0</v>
      </c>
      <c r="G21" s="9">
        <f>SUM(IA_FINANCIAL)</f>
        <v>0</v>
      </c>
      <c r="I21" s="13" t="s">
        <v>37</v>
      </c>
      <c r="J21" s="16"/>
      <c r="L21" s="6"/>
      <c r="V21" s="9"/>
    </row>
    <row r="22" spans="1:22">
      <c r="A22" s="1" t="s">
        <v>38</v>
      </c>
      <c r="B22" s="6">
        <v>0</v>
      </c>
      <c r="C22" s="1">
        <v>0</v>
      </c>
      <c r="D22" s="1">
        <v>0</v>
      </c>
      <c r="E22" s="1">
        <v>0</v>
      </c>
      <c r="F22" s="1">
        <v>0</v>
      </c>
      <c r="G22" s="9">
        <f>SUM(KS_FINANCIAL)</f>
        <v>0</v>
      </c>
      <c r="I22" s="13" t="s">
        <v>39</v>
      </c>
      <c r="J22" s="16">
        <v>-23500</v>
      </c>
      <c r="L22" s="6"/>
      <c r="V22" s="9"/>
    </row>
    <row r="23" spans="1:22">
      <c r="A23" s="1" t="s">
        <v>40</v>
      </c>
      <c r="B23" s="6">
        <v>0</v>
      </c>
      <c r="C23" s="1">
        <v>0</v>
      </c>
      <c r="D23" s="1">
        <v>0</v>
      </c>
      <c r="E23" s="1">
        <v>0</v>
      </c>
      <c r="F23" s="1">
        <v>0</v>
      </c>
      <c r="G23" s="9">
        <f>SUM(KY_FINANCIAL)</f>
        <v>0</v>
      </c>
      <c r="I23" s="13" t="s">
        <v>41</v>
      </c>
      <c r="J23" s="16"/>
      <c r="L23" s="6"/>
      <c r="V23" s="9"/>
    </row>
    <row r="24" spans="1:22">
      <c r="A24" s="1" t="s">
        <v>42</v>
      </c>
      <c r="B24" s="6">
        <v>15823.636426960427</v>
      </c>
      <c r="C24" s="1">
        <v>0</v>
      </c>
      <c r="D24" s="1">
        <v>0</v>
      </c>
      <c r="E24" s="1">
        <v>0</v>
      </c>
      <c r="F24" s="1">
        <v>0</v>
      </c>
      <c r="G24" s="9">
        <f>SUM(LA_FINANCIAL)</f>
        <v>15823.636426960427</v>
      </c>
      <c r="I24" s="13" t="s">
        <v>43</v>
      </c>
      <c r="J24" s="16">
        <v>154160.03</v>
      </c>
      <c r="L24" s="6"/>
      <c r="V24" s="9"/>
    </row>
    <row r="25" spans="1:22">
      <c r="A25" s="1" t="s">
        <v>44</v>
      </c>
      <c r="B25" s="6">
        <v>0</v>
      </c>
      <c r="C25" s="1">
        <v>0</v>
      </c>
      <c r="D25" s="1">
        <v>0</v>
      </c>
      <c r="E25" s="1">
        <v>0</v>
      </c>
      <c r="F25" s="1">
        <v>0</v>
      </c>
      <c r="G25" s="9">
        <f>SUM(ME_FINANCIAL)</f>
        <v>0</v>
      </c>
      <c r="I25" s="13"/>
      <c r="J25" s="16"/>
      <c r="L25" s="6"/>
      <c r="V25" s="9"/>
    </row>
    <row r="26" spans="1:22">
      <c r="A26" s="1" t="s">
        <v>45</v>
      </c>
      <c r="B26" s="6">
        <v>85.999965231794135</v>
      </c>
      <c r="C26" s="1">
        <v>0</v>
      </c>
      <c r="D26" s="1">
        <v>0</v>
      </c>
      <c r="E26" s="1">
        <v>0</v>
      </c>
      <c r="F26" s="1">
        <v>0</v>
      </c>
      <c r="G26" s="9">
        <f>SUM(MD_FINANCIAL)</f>
        <v>85.999965231794135</v>
      </c>
      <c r="I26" s="13" t="s">
        <v>46</v>
      </c>
      <c r="J26" s="16">
        <f>SUM(ADD_FINANCIAL)-SUM(LESS_FINANCIAL)</f>
        <v>1600680.8540000001</v>
      </c>
      <c r="L26" s="6"/>
      <c r="V26" s="9"/>
    </row>
    <row r="27" spans="1:22">
      <c r="A27" s="1" t="s">
        <v>47</v>
      </c>
      <c r="B27" s="6">
        <v>0</v>
      </c>
      <c r="C27" s="1">
        <v>0</v>
      </c>
      <c r="D27" s="1">
        <v>0</v>
      </c>
      <c r="E27" s="1">
        <v>0</v>
      </c>
      <c r="F27" s="1">
        <v>0</v>
      </c>
      <c r="G27" s="9">
        <f>SUM(MA_FINANCIAL)</f>
        <v>0</v>
      </c>
      <c r="I27" s="13" t="s">
        <v>48</v>
      </c>
      <c r="J27" s="16">
        <f>SUM(ALL_BLOCKS)</f>
        <v>1600680.8539999998</v>
      </c>
      <c r="L27" s="6"/>
      <c r="V27" s="9"/>
    </row>
    <row r="28" spans="1:22">
      <c r="A28" s="1" t="s">
        <v>49</v>
      </c>
      <c r="B28" s="6">
        <v>77100.976421900763</v>
      </c>
      <c r="C28" s="1">
        <v>0</v>
      </c>
      <c r="D28" s="1">
        <v>0</v>
      </c>
      <c r="E28" s="1">
        <v>0</v>
      </c>
      <c r="F28" s="1">
        <v>0</v>
      </c>
      <c r="G28" s="9">
        <f>SUM(MI_FINANCIAL)</f>
        <v>77100.976421900763</v>
      </c>
      <c r="I28" s="14"/>
      <c r="J28" s="17"/>
      <c r="L28" s="6"/>
      <c r="V28" s="9"/>
    </row>
    <row r="29" spans="1:22">
      <c r="A29" s="1" t="s">
        <v>50</v>
      </c>
      <c r="B29" s="6">
        <v>0</v>
      </c>
      <c r="C29" s="1">
        <v>0</v>
      </c>
      <c r="D29" s="1">
        <v>0</v>
      </c>
      <c r="E29" s="1">
        <v>0</v>
      </c>
      <c r="F29" s="1">
        <v>0</v>
      </c>
      <c r="G29" s="9">
        <f>SUM(MN_FINANCIAL)</f>
        <v>0</v>
      </c>
      <c r="L29" s="6"/>
      <c r="V29" s="9"/>
    </row>
    <row r="30" spans="1:22">
      <c r="A30" s="1" t="s">
        <v>51</v>
      </c>
      <c r="B30" s="6">
        <v>3788.9991473703935</v>
      </c>
      <c r="C30" s="1">
        <v>0</v>
      </c>
      <c r="D30" s="1">
        <v>0</v>
      </c>
      <c r="E30" s="1">
        <v>0</v>
      </c>
      <c r="F30" s="1">
        <v>0</v>
      </c>
      <c r="G30" s="9">
        <f>SUM(MS_FINANCIAL)</f>
        <v>3788.9991473703935</v>
      </c>
      <c r="L30" s="6"/>
      <c r="V30" s="9"/>
    </row>
    <row r="31" spans="1:22">
      <c r="A31" s="1" t="s">
        <v>52</v>
      </c>
      <c r="B31" s="6">
        <v>0</v>
      </c>
      <c r="C31" s="1">
        <v>0</v>
      </c>
      <c r="D31" s="1">
        <v>0</v>
      </c>
      <c r="E31" s="1">
        <v>0</v>
      </c>
      <c r="F31" s="1">
        <v>0</v>
      </c>
      <c r="G31" s="9">
        <f>SUM(MO_FINANCIAL)</f>
        <v>0</v>
      </c>
      <c r="L31" s="6"/>
      <c r="V31" s="9"/>
    </row>
    <row r="32" spans="1:22">
      <c r="A32" s="1" t="s">
        <v>53</v>
      </c>
      <c r="B32" s="6">
        <v>0</v>
      </c>
      <c r="C32" s="1">
        <v>0</v>
      </c>
      <c r="D32" s="1">
        <v>0</v>
      </c>
      <c r="E32" s="1">
        <v>0</v>
      </c>
      <c r="F32" s="1">
        <v>0</v>
      </c>
      <c r="G32" s="9">
        <f>SUM(MT_FINANCIAL)</f>
        <v>0</v>
      </c>
      <c r="L32" s="6"/>
      <c r="V32" s="9"/>
    </row>
    <row r="33" spans="1:22">
      <c r="A33" s="1" t="s">
        <v>54</v>
      </c>
      <c r="B33" s="6">
        <v>0</v>
      </c>
      <c r="C33" s="1">
        <v>0</v>
      </c>
      <c r="D33" s="1">
        <v>0</v>
      </c>
      <c r="E33" s="1">
        <v>0</v>
      </c>
      <c r="F33" s="1">
        <v>0</v>
      </c>
      <c r="G33" s="9">
        <f>SUM(NE_FINANCIAL)</f>
        <v>0</v>
      </c>
      <c r="L33" s="6"/>
      <c r="V33" s="9"/>
    </row>
    <row r="34" spans="1:22">
      <c r="A34" s="1" t="s">
        <v>55</v>
      </c>
      <c r="B34" s="6">
        <v>3383.9986319115278</v>
      </c>
      <c r="C34" s="1">
        <v>0</v>
      </c>
      <c r="D34" s="1">
        <v>0</v>
      </c>
      <c r="E34" s="1">
        <v>0</v>
      </c>
      <c r="F34" s="1">
        <v>0</v>
      </c>
      <c r="G34" s="9">
        <f>SUM(NV_FINANCIAL)</f>
        <v>3383.9986319115278</v>
      </c>
      <c r="L34" s="6"/>
      <c r="V34" s="9"/>
    </row>
    <row r="35" spans="1:22">
      <c r="A35" s="1" t="s">
        <v>56</v>
      </c>
      <c r="B35" s="6">
        <v>0</v>
      </c>
      <c r="C35" s="1">
        <v>0</v>
      </c>
      <c r="D35" s="1">
        <v>0</v>
      </c>
      <c r="E35" s="1">
        <v>0</v>
      </c>
      <c r="F35" s="1">
        <v>0</v>
      </c>
      <c r="G35" s="9">
        <f>SUM(NH_FINANCIAL)</f>
        <v>0</v>
      </c>
      <c r="L35" s="6"/>
      <c r="V35" s="9"/>
    </row>
    <row r="36" spans="1:22">
      <c r="A36" s="1" t="s">
        <v>57</v>
      </c>
      <c r="B36" s="6">
        <v>0</v>
      </c>
      <c r="C36" s="1">
        <v>0</v>
      </c>
      <c r="D36" s="1">
        <v>0</v>
      </c>
      <c r="E36" s="1">
        <v>0</v>
      </c>
      <c r="F36" s="1">
        <v>0</v>
      </c>
      <c r="G36" s="9">
        <f>SUM(NJ_FINANCIAL)</f>
        <v>0</v>
      </c>
      <c r="L36" s="6"/>
      <c r="V36" s="9"/>
    </row>
    <row r="37" spans="1:22">
      <c r="A37" s="1" t="s">
        <v>58</v>
      </c>
      <c r="B37" s="6">
        <v>0</v>
      </c>
      <c r="C37" s="1">
        <v>0</v>
      </c>
      <c r="D37" s="1">
        <v>0</v>
      </c>
      <c r="E37" s="1">
        <v>0</v>
      </c>
      <c r="F37" s="1">
        <v>0</v>
      </c>
      <c r="G37" s="9">
        <f>SUM(NM_FINANCIAL)</f>
        <v>0</v>
      </c>
      <c r="L37" s="6"/>
      <c r="V37" s="9"/>
    </row>
    <row r="38" spans="1:22">
      <c r="A38" s="1" t="s">
        <v>59</v>
      </c>
      <c r="B38" s="6">
        <v>0</v>
      </c>
      <c r="C38" s="1">
        <v>0</v>
      </c>
      <c r="D38" s="1">
        <v>0</v>
      </c>
      <c r="E38" s="1">
        <v>0</v>
      </c>
      <c r="F38" s="1">
        <v>0</v>
      </c>
      <c r="G38" s="9">
        <f>SUM(NY_FINANCIAL)</f>
        <v>0</v>
      </c>
      <c r="L38" s="6"/>
      <c r="V38" s="9"/>
    </row>
    <row r="39" spans="1:22">
      <c r="A39" s="1" t="s">
        <v>60</v>
      </c>
      <c r="B39" s="6">
        <v>263540.59035943315</v>
      </c>
      <c r="C39" s="1">
        <v>0</v>
      </c>
      <c r="D39" s="1">
        <v>0</v>
      </c>
      <c r="E39" s="1">
        <v>0</v>
      </c>
      <c r="F39" s="1">
        <v>0</v>
      </c>
      <c r="G39" s="9">
        <f>SUM(NC_FINANCIAL)</f>
        <v>263540.59035943315</v>
      </c>
      <c r="L39" s="6">
        <v>300000</v>
      </c>
      <c r="M39" s="1">
        <v>0</v>
      </c>
      <c r="O39" s="1">
        <v>0</v>
      </c>
      <c r="P39" s="1">
        <v>0</v>
      </c>
      <c r="R39" s="1">
        <v>0</v>
      </c>
      <c r="S39" s="1">
        <v>0</v>
      </c>
      <c r="U39" s="1">
        <v>0</v>
      </c>
      <c r="V39" s="9">
        <v>0</v>
      </c>
    </row>
    <row r="40" spans="1:22">
      <c r="A40" s="1" t="s">
        <v>61</v>
      </c>
      <c r="B40" s="6">
        <v>0</v>
      </c>
      <c r="C40" s="1">
        <v>0</v>
      </c>
      <c r="D40" s="1">
        <v>0</v>
      </c>
      <c r="E40" s="1">
        <v>0</v>
      </c>
      <c r="F40" s="1">
        <v>0</v>
      </c>
      <c r="G40" s="9">
        <f>SUM(ND_FINANCIAL)</f>
        <v>0</v>
      </c>
      <c r="L40" s="6"/>
      <c r="V40" s="9"/>
    </row>
    <row r="41" spans="1:22">
      <c r="A41" s="1" t="s">
        <v>62</v>
      </c>
      <c r="B41" s="6">
        <v>0</v>
      </c>
      <c r="C41" s="1">
        <v>0</v>
      </c>
      <c r="D41" s="1">
        <v>0</v>
      </c>
      <c r="E41" s="1">
        <v>0</v>
      </c>
      <c r="F41" s="1">
        <v>0</v>
      </c>
      <c r="G41" s="9">
        <f>SUM(OH_FINANCIAL)</f>
        <v>0</v>
      </c>
      <c r="L41" s="6"/>
      <c r="V41" s="9"/>
    </row>
    <row r="42" spans="1:22">
      <c r="A42" s="1" t="s">
        <v>63</v>
      </c>
      <c r="B42" s="6">
        <v>0</v>
      </c>
      <c r="C42" s="1">
        <v>0</v>
      </c>
      <c r="D42" s="1">
        <v>0</v>
      </c>
      <c r="E42" s="1">
        <v>0</v>
      </c>
      <c r="F42" s="1">
        <v>0</v>
      </c>
      <c r="G42" s="9">
        <f>SUM(OK_FINANCIAL)</f>
        <v>0</v>
      </c>
      <c r="L42" s="6"/>
      <c r="V42" s="9"/>
    </row>
    <row r="43" spans="1:22">
      <c r="A43" s="1" t="s">
        <v>64</v>
      </c>
      <c r="B43" s="6">
        <v>0</v>
      </c>
      <c r="C43" s="1">
        <v>0</v>
      </c>
      <c r="D43" s="1">
        <v>0</v>
      </c>
      <c r="E43" s="1">
        <v>0</v>
      </c>
      <c r="F43" s="1">
        <v>0</v>
      </c>
      <c r="G43" s="9">
        <f>SUM(OR_FINANCIAL)</f>
        <v>0</v>
      </c>
      <c r="L43" s="6"/>
      <c r="V43" s="9"/>
    </row>
    <row r="44" spans="1:22">
      <c r="A44" s="1" t="s">
        <v>65</v>
      </c>
      <c r="B44" s="6">
        <v>0</v>
      </c>
      <c r="C44" s="1">
        <v>0</v>
      </c>
      <c r="D44" s="1">
        <v>0</v>
      </c>
      <c r="E44" s="1">
        <v>0</v>
      </c>
      <c r="F44" s="1">
        <v>0</v>
      </c>
      <c r="G44" s="9">
        <f>SUM(PA_FINANCIAL)</f>
        <v>0</v>
      </c>
      <c r="L44" s="6"/>
      <c r="V44" s="9"/>
    </row>
    <row r="45" spans="1:22">
      <c r="A45" s="1" t="s">
        <v>66</v>
      </c>
      <c r="B45" s="6">
        <v>0</v>
      </c>
      <c r="C45" s="1">
        <v>0</v>
      </c>
      <c r="D45" s="1">
        <v>0</v>
      </c>
      <c r="E45" s="1">
        <v>0</v>
      </c>
      <c r="F45" s="1">
        <v>0</v>
      </c>
      <c r="G45" s="9">
        <f>SUM(PR_FINANCIAL)</f>
        <v>0</v>
      </c>
      <c r="L45" s="6"/>
      <c r="V45" s="9"/>
    </row>
    <row r="46" spans="1:22">
      <c r="A46" s="1" t="s">
        <v>67</v>
      </c>
      <c r="B46" s="6">
        <v>0</v>
      </c>
      <c r="C46" s="1">
        <v>0</v>
      </c>
      <c r="D46" s="1">
        <v>0</v>
      </c>
      <c r="E46" s="1">
        <v>0</v>
      </c>
      <c r="F46" s="1">
        <v>0</v>
      </c>
      <c r="G46" s="9">
        <f>SUM(RI_FINANCIAL)</f>
        <v>0</v>
      </c>
      <c r="L46" s="6"/>
      <c r="V46" s="9"/>
    </row>
    <row r="47" spans="1:22">
      <c r="A47" s="1" t="s">
        <v>68</v>
      </c>
      <c r="B47" s="6">
        <v>0</v>
      </c>
      <c r="C47" s="1">
        <v>0</v>
      </c>
      <c r="D47" s="1">
        <v>0</v>
      </c>
      <c r="E47" s="1">
        <v>0</v>
      </c>
      <c r="F47" s="1">
        <v>0</v>
      </c>
      <c r="G47" s="9">
        <f>SUM(SC_FINANCIAL)</f>
        <v>0</v>
      </c>
      <c r="L47" s="6"/>
      <c r="V47" s="9"/>
    </row>
    <row r="48" spans="1:22">
      <c r="A48" s="1" t="s">
        <v>69</v>
      </c>
      <c r="B48" s="6">
        <v>0</v>
      </c>
      <c r="C48" s="1">
        <v>0</v>
      </c>
      <c r="D48" s="1">
        <v>0</v>
      </c>
      <c r="E48" s="1">
        <v>0</v>
      </c>
      <c r="F48" s="1">
        <v>0</v>
      </c>
      <c r="G48" s="9">
        <f>SUM(SD_FINANCIAL)</f>
        <v>0</v>
      </c>
      <c r="L48" s="6"/>
      <c r="V48" s="9"/>
    </row>
    <row r="49" spans="1:22">
      <c r="A49" s="1" t="s">
        <v>70</v>
      </c>
      <c r="B49" s="6">
        <v>364.99985243726582</v>
      </c>
      <c r="C49" s="1">
        <v>0</v>
      </c>
      <c r="D49" s="1">
        <v>0</v>
      </c>
      <c r="E49" s="1">
        <v>0</v>
      </c>
      <c r="F49" s="1">
        <v>0</v>
      </c>
      <c r="G49" s="9">
        <f>SUM(TN_FINANCIAL)</f>
        <v>364.99985243726582</v>
      </c>
      <c r="L49" s="6"/>
      <c r="V49" s="9"/>
    </row>
    <row r="50" spans="1:22">
      <c r="A50" s="1" t="s">
        <v>71</v>
      </c>
      <c r="B50" s="6">
        <v>239167.93747019029</v>
      </c>
      <c r="C50" s="1">
        <v>0</v>
      </c>
      <c r="D50" s="1">
        <v>0</v>
      </c>
      <c r="E50" s="1">
        <v>0</v>
      </c>
      <c r="F50" s="1">
        <v>0</v>
      </c>
      <c r="G50" s="9">
        <f>SUM(TX_FINANCIAL)</f>
        <v>239167.93747019029</v>
      </c>
      <c r="L50" s="6">
        <v>0</v>
      </c>
      <c r="M50" s="1">
        <v>0</v>
      </c>
      <c r="O50" s="1">
        <v>0</v>
      </c>
      <c r="P50" s="1">
        <v>0</v>
      </c>
      <c r="R50" s="1">
        <v>224926</v>
      </c>
      <c r="S50" s="1">
        <v>0</v>
      </c>
      <c r="U50" s="1">
        <v>0</v>
      </c>
      <c r="V50" s="9">
        <v>0</v>
      </c>
    </row>
    <row r="51" spans="1:22">
      <c r="A51" s="1" t="s">
        <v>72</v>
      </c>
      <c r="B51" s="6">
        <v>0</v>
      </c>
      <c r="C51" s="1">
        <v>0</v>
      </c>
      <c r="D51" s="1">
        <v>0</v>
      </c>
      <c r="E51" s="1">
        <v>0</v>
      </c>
      <c r="F51" s="1">
        <v>0</v>
      </c>
      <c r="G51" s="9">
        <f>SUM(UT_FINANCIAL)</f>
        <v>0</v>
      </c>
      <c r="L51" s="6"/>
      <c r="V51" s="9"/>
    </row>
    <row r="52" spans="1:22">
      <c r="A52" s="1" t="s">
        <v>73</v>
      </c>
      <c r="B52" s="6">
        <v>0</v>
      </c>
      <c r="C52" s="1">
        <v>0</v>
      </c>
      <c r="D52" s="1">
        <v>0</v>
      </c>
      <c r="E52" s="1">
        <v>0</v>
      </c>
      <c r="F52" s="1">
        <v>0</v>
      </c>
      <c r="G52" s="9">
        <f>SUM(VT_FINANCIAL)</f>
        <v>0</v>
      </c>
      <c r="L52" s="6"/>
      <c r="V52" s="9"/>
    </row>
    <row r="53" spans="1:22">
      <c r="A53" s="1" t="s">
        <v>74</v>
      </c>
      <c r="B53" s="6">
        <v>0</v>
      </c>
      <c r="C53" s="1">
        <v>0</v>
      </c>
      <c r="D53" s="1">
        <v>0</v>
      </c>
      <c r="E53" s="1">
        <v>0</v>
      </c>
      <c r="F53" s="1">
        <v>0</v>
      </c>
      <c r="G53" s="9">
        <f>SUM(VA_FINANCIAL)</f>
        <v>0</v>
      </c>
      <c r="L53" s="6"/>
      <c r="V53" s="9"/>
    </row>
    <row r="54" spans="1:22">
      <c r="A54" s="1" t="s">
        <v>75</v>
      </c>
      <c r="B54" s="6">
        <v>0</v>
      </c>
      <c r="C54" s="1">
        <v>0</v>
      </c>
      <c r="D54" s="1">
        <v>0</v>
      </c>
      <c r="E54" s="1">
        <v>0</v>
      </c>
      <c r="F54" s="1">
        <v>0</v>
      </c>
      <c r="G54" s="9">
        <f>SUM(WA_FINANCIAL)</f>
        <v>0</v>
      </c>
      <c r="L54" s="6"/>
      <c r="V54" s="9"/>
    </row>
    <row r="55" spans="1:22">
      <c r="A55" s="1" t="s">
        <v>76</v>
      </c>
      <c r="B55" s="6">
        <v>0</v>
      </c>
      <c r="C55" s="1">
        <v>0</v>
      </c>
      <c r="D55" s="1">
        <v>0</v>
      </c>
      <c r="E55" s="1">
        <v>0</v>
      </c>
      <c r="F55" s="1">
        <v>0</v>
      </c>
      <c r="G55" s="9">
        <f>SUM(WV_FINANCIAL)</f>
        <v>0</v>
      </c>
      <c r="L55" s="6"/>
      <c r="V55" s="9"/>
    </row>
    <row r="56" spans="1:22">
      <c r="A56" s="1" t="s">
        <v>77</v>
      </c>
      <c r="B56" s="6">
        <v>0</v>
      </c>
      <c r="C56" s="1">
        <v>0</v>
      </c>
      <c r="D56" s="1">
        <v>0</v>
      </c>
      <c r="E56" s="1">
        <v>0</v>
      </c>
      <c r="F56" s="1">
        <v>0</v>
      </c>
      <c r="G56" s="9">
        <f>SUM(WI_FINANCIAL)</f>
        <v>0</v>
      </c>
      <c r="L56" s="6"/>
      <c r="V56" s="9"/>
    </row>
    <row r="57" spans="1:22">
      <c r="A57" s="1" t="s">
        <v>78</v>
      </c>
      <c r="B57" s="6">
        <v>0</v>
      </c>
      <c r="C57" s="1">
        <v>0</v>
      </c>
      <c r="D57" s="1">
        <v>0</v>
      </c>
      <c r="E57" s="1">
        <v>0</v>
      </c>
      <c r="F57" s="1">
        <v>0</v>
      </c>
      <c r="G57" s="9">
        <f>SUM(WY_FINANCIAL)</f>
        <v>0</v>
      </c>
      <c r="L57" s="6"/>
      <c r="V57" s="9"/>
    </row>
    <row r="58" spans="1:22">
      <c r="A58" s="1" t="s">
        <v>79</v>
      </c>
      <c r="B58" s="6">
        <v>0</v>
      </c>
      <c r="C58" s="1">
        <v>0</v>
      </c>
      <c r="D58" s="1">
        <v>0</v>
      </c>
      <c r="E58" s="1">
        <v>0</v>
      </c>
      <c r="F58" s="1">
        <v>0</v>
      </c>
      <c r="G58" s="9">
        <f>SUM(OT_FINANCIAL)</f>
        <v>0</v>
      </c>
      <c r="L58" s="6"/>
      <c r="V58" s="9"/>
    </row>
    <row r="59" spans="1:22">
      <c r="B59" s="6"/>
      <c r="G59" s="9"/>
      <c r="L59" s="6"/>
      <c r="V59" s="9"/>
    </row>
    <row r="60" spans="1:22">
      <c r="A60" s="1" t="s">
        <v>8</v>
      </c>
      <c r="B60" s="6">
        <f>SUM(LIFE)</f>
        <v>1528853.5739999998</v>
      </c>
      <c r="C60" s="1">
        <f>SUM(ALLOCATED)</f>
        <v>12328.5</v>
      </c>
      <c r="D60" s="1">
        <f>SUM(HEALTH)</f>
        <v>59498.78</v>
      </c>
      <c r="E60" s="1">
        <f>SUM(UNALLOCATED)</f>
        <v>0</v>
      </c>
      <c r="F60" s="1">
        <f>SUM(LTC)</f>
        <v>0</v>
      </c>
      <c r="G60" s="9">
        <f>SUM(ALL_BLOCKS)</f>
        <v>1600680.8539999998</v>
      </c>
      <c r="L60" s="6">
        <f>SUM(LIFE_CALLED)</f>
        <v>500000</v>
      </c>
      <c r="M60" s="1">
        <f>SUM(LIFE_REFUNDED)</f>
        <v>0</v>
      </c>
      <c r="O60" s="1">
        <f>SUM(ALLOC_CALLED)</f>
        <v>100000</v>
      </c>
      <c r="P60" s="1">
        <f>SUM(ALLOC_REFUNDED)</f>
        <v>0</v>
      </c>
      <c r="R60" s="1">
        <f>SUM(HEALTH_CALLED)</f>
        <v>224926</v>
      </c>
      <c r="S60" s="1">
        <f>SUM(HEALTH_REFUNDED)</f>
        <v>0</v>
      </c>
      <c r="U60" s="1">
        <f>SUM(UNALLOC_CALLED)</f>
        <v>0</v>
      </c>
      <c r="V60" s="9">
        <f>SUM(UNALLOC_REFUNDED)</f>
        <v>0</v>
      </c>
    </row>
    <row r="61" spans="1:22" ht="5.0999999999999996" customHeight="1">
      <c r="B61" s="6"/>
      <c r="G61" s="9"/>
      <c r="L61" s="6"/>
      <c r="V61" s="9"/>
    </row>
    <row r="62" spans="1:22">
      <c r="B62" s="6"/>
      <c r="G62" s="9"/>
      <c r="L62" s="78" t="s">
        <v>80</v>
      </c>
      <c r="M62" s="79"/>
      <c r="N62" s="79"/>
      <c r="O62" s="79"/>
      <c r="P62" s="79"/>
      <c r="Q62" s="79"/>
      <c r="R62" s="79"/>
      <c r="S62" s="79"/>
      <c r="T62" s="79"/>
      <c r="U62" s="79"/>
      <c r="V62" s="80"/>
    </row>
    <row r="63" spans="1:22">
      <c r="B63" s="6"/>
      <c r="G63" s="9"/>
      <c r="L63" s="81"/>
      <c r="M63" s="79"/>
      <c r="N63" s="79"/>
      <c r="O63" s="79"/>
      <c r="P63" s="79"/>
      <c r="Q63" s="79"/>
      <c r="R63" s="79"/>
      <c r="S63" s="79"/>
      <c r="T63" s="79"/>
      <c r="U63" s="79"/>
      <c r="V63" s="80"/>
    </row>
    <row r="64" spans="1:22">
      <c r="B64" s="8"/>
      <c r="C64" s="5"/>
      <c r="D64" s="5"/>
      <c r="E64" s="5"/>
      <c r="F64" s="5"/>
      <c r="G64" s="11"/>
      <c r="L64" s="82"/>
      <c r="M64" s="83"/>
      <c r="N64" s="83"/>
      <c r="O64" s="83"/>
      <c r="P64" s="83"/>
      <c r="Q64" s="83"/>
      <c r="R64" s="83"/>
      <c r="S64" s="83"/>
      <c r="T64" s="83"/>
      <c r="U64" s="83"/>
      <c r="V64" s="84"/>
    </row>
  </sheetData>
  <mergeCells count="8">
    <mergeCell ref="L62:V64"/>
    <mergeCell ref="A1:G1"/>
    <mergeCell ref="B3:G3"/>
    <mergeCell ref="L3:V3"/>
    <mergeCell ref="L4:M4"/>
    <mergeCell ref="O4:P4"/>
    <mergeCell ref="R4:S4"/>
    <mergeCell ref="U4:V4"/>
  </mergeCells>
  <pageMargins left="0" right="0" top="0" bottom="0" header="0" footer="0"/>
  <pageSetup scale="48"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V64"/>
  <sheetViews>
    <sheetView zoomScale="75" workbookViewId="0">
      <selection sqref="A1:G1"/>
    </sheetView>
  </sheetViews>
  <sheetFormatPr defaultColWidth="9.109375" defaultRowHeight="14.4"/>
  <cols>
    <col min="1" max="1" width="20" style="1" customWidth="1"/>
    <col min="2" max="7" width="15" style="1" customWidth="1"/>
    <col min="8" max="8" width="1" style="1" customWidth="1"/>
    <col min="9" max="9" width="30" style="1" customWidth="1"/>
    <col min="10" max="10" width="15" style="1" customWidth="1"/>
    <col min="11" max="11" width="1" style="1" customWidth="1"/>
    <col min="12" max="13" width="15" style="1" customWidth="1"/>
    <col min="14" max="14" width="1" style="1" customWidth="1"/>
    <col min="15" max="16" width="15" style="1" customWidth="1"/>
    <col min="17" max="17" width="1" style="1" customWidth="1"/>
    <col min="18" max="19" width="15" style="1" customWidth="1"/>
    <col min="20" max="20" width="1" style="1" customWidth="1"/>
    <col min="21" max="22" width="15" style="1" customWidth="1"/>
    <col min="23" max="23" width="9.109375" style="1" customWidth="1"/>
    <col min="24" max="16384" width="9.109375" style="1"/>
  </cols>
  <sheetData>
    <row r="1" spans="1:22">
      <c r="A1" s="85" t="s">
        <v>127</v>
      </c>
      <c r="B1" s="79"/>
      <c r="C1" s="79"/>
      <c r="D1" s="79"/>
      <c r="E1" s="79"/>
      <c r="F1" s="79"/>
      <c r="G1" s="79"/>
    </row>
    <row r="3" spans="1:22">
      <c r="B3" s="86" t="s">
        <v>1</v>
      </c>
      <c r="C3" s="87"/>
      <c r="D3" s="87"/>
      <c r="E3" s="87"/>
      <c r="F3" s="87"/>
      <c r="G3" s="88"/>
      <c r="L3" s="89" t="s">
        <v>2</v>
      </c>
      <c r="M3" s="90"/>
      <c r="N3" s="90"/>
      <c r="O3" s="90"/>
      <c r="P3" s="90"/>
      <c r="Q3" s="90"/>
      <c r="R3" s="90"/>
      <c r="S3" s="90"/>
      <c r="T3" s="90"/>
      <c r="U3" s="90"/>
      <c r="V3" s="91"/>
    </row>
    <row r="4" spans="1:22">
      <c r="B4" s="6"/>
      <c r="G4" s="9"/>
      <c r="L4" s="92" t="s">
        <v>3</v>
      </c>
      <c r="M4" s="93"/>
      <c r="N4" s="3"/>
      <c r="O4" s="94" t="s">
        <v>4</v>
      </c>
      <c r="P4" s="93"/>
      <c r="Q4" s="3"/>
      <c r="R4" s="94" t="s">
        <v>5</v>
      </c>
      <c r="S4" s="93"/>
      <c r="T4" s="3"/>
      <c r="U4" s="94" t="s">
        <v>6</v>
      </c>
      <c r="V4" s="95"/>
    </row>
    <row r="5" spans="1:22" ht="60" customHeight="1">
      <c r="B5" s="7" t="s">
        <v>3</v>
      </c>
      <c r="C5" s="4" t="s">
        <v>4</v>
      </c>
      <c r="D5" s="4" t="s">
        <v>5</v>
      </c>
      <c r="E5" s="4" t="s">
        <v>6</v>
      </c>
      <c r="F5" s="4" t="s">
        <v>7</v>
      </c>
      <c r="G5" s="10" t="s">
        <v>8</v>
      </c>
      <c r="L5" s="19" t="s">
        <v>9</v>
      </c>
      <c r="M5" s="18" t="s">
        <v>10</v>
      </c>
      <c r="N5" s="18"/>
      <c r="O5" s="18" t="s">
        <v>9</v>
      </c>
      <c r="P5" s="18" t="s">
        <v>10</v>
      </c>
      <c r="Q5" s="18"/>
      <c r="R5" s="18" t="s">
        <v>9</v>
      </c>
      <c r="S5" s="18" t="s">
        <v>10</v>
      </c>
      <c r="T5" s="18"/>
      <c r="U5" s="18" t="s">
        <v>9</v>
      </c>
      <c r="V5" s="20" t="s">
        <v>10</v>
      </c>
    </row>
    <row r="6" spans="1:22">
      <c r="A6" s="1" t="s">
        <v>11</v>
      </c>
      <c r="B6" s="6">
        <v>42367.607213945696</v>
      </c>
      <c r="C6" s="1">
        <v>335132.24654015223</v>
      </c>
      <c r="D6" s="1">
        <v>0</v>
      </c>
      <c r="E6" s="1">
        <v>0</v>
      </c>
      <c r="F6" s="1">
        <v>0</v>
      </c>
      <c r="G6" s="9">
        <f>SUM(AL_FINANCIAL)</f>
        <v>377499.85375409795</v>
      </c>
      <c r="L6" s="6">
        <v>380000</v>
      </c>
      <c r="M6" s="1">
        <v>0</v>
      </c>
      <c r="O6" s="1">
        <v>302720</v>
      </c>
      <c r="P6" s="1">
        <v>0</v>
      </c>
      <c r="R6" s="1">
        <v>0</v>
      </c>
      <c r="S6" s="1">
        <v>0</v>
      </c>
      <c r="U6" s="1">
        <v>0</v>
      </c>
      <c r="V6" s="9">
        <v>0</v>
      </c>
    </row>
    <row r="7" spans="1:22">
      <c r="A7" s="1" t="s">
        <v>12</v>
      </c>
      <c r="B7" s="6">
        <v>31998.180562776775</v>
      </c>
      <c r="C7" s="1">
        <v>212689.17742677795</v>
      </c>
      <c r="D7" s="1">
        <v>0</v>
      </c>
      <c r="E7" s="1">
        <v>0</v>
      </c>
      <c r="F7" s="1">
        <v>0</v>
      </c>
      <c r="G7" s="9">
        <f>SUM(AK_FINANCIAL)</f>
        <v>244687.35798955473</v>
      </c>
      <c r="I7" s="12"/>
      <c r="J7" s="15"/>
      <c r="L7" s="6">
        <v>80878</v>
      </c>
      <c r="M7" s="1">
        <v>14180</v>
      </c>
      <c r="O7" s="1">
        <v>566741</v>
      </c>
      <c r="P7" s="1">
        <v>121990</v>
      </c>
      <c r="R7" s="1">
        <v>0</v>
      </c>
      <c r="S7" s="1">
        <v>0</v>
      </c>
      <c r="U7" s="1">
        <v>2000</v>
      </c>
      <c r="V7" s="9">
        <v>0</v>
      </c>
    </row>
    <row r="8" spans="1:22">
      <c r="A8" s="1" t="s">
        <v>13</v>
      </c>
      <c r="B8" s="6">
        <v>385141.02010123432</v>
      </c>
      <c r="C8" s="1">
        <v>1113946.337848271</v>
      </c>
      <c r="D8" s="1">
        <v>0</v>
      </c>
      <c r="E8" s="1">
        <v>0</v>
      </c>
      <c r="F8" s="1">
        <v>0</v>
      </c>
      <c r="G8" s="9">
        <f>SUM(AZ_FINANCIAL)</f>
        <v>1499087.3579495053</v>
      </c>
      <c r="I8" s="13" t="s">
        <v>14</v>
      </c>
      <c r="J8" s="16"/>
      <c r="L8" s="6">
        <v>559164</v>
      </c>
      <c r="M8" s="1">
        <v>0</v>
      </c>
      <c r="O8" s="1">
        <v>3944426</v>
      </c>
      <c r="P8" s="1">
        <v>0</v>
      </c>
      <c r="R8" s="1">
        <v>0</v>
      </c>
      <c r="S8" s="1">
        <v>0</v>
      </c>
      <c r="U8" s="1">
        <v>0</v>
      </c>
      <c r="V8" s="9">
        <v>0</v>
      </c>
    </row>
    <row r="9" spans="1:22">
      <c r="A9" s="1" t="s">
        <v>15</v>
      </c>
      <c r="B9" s="6">
        <v>65053.097678604187</v>
      </c>
      <c r="C9" s="1">
        <v>358141.56943924038</v>
      </c>
      <c r="D9" s="1">
        <v>0</v>
      </c>
      <c r="E9" s="1">
        <v>0</v>
      </c>
      <c r="F9" s="1">
        <v>0</v>
      </c>
      <c r="G9" s="9">
        <f>SUM(AR_FINANCIAL)</f>
        <v>423194.66711784457</v>
      </c>
      <c r="I9" s="13"/>
      <c r="J9" s="16"/>
      <c r="L9" s="6">
        <v>1149754</v>
      </c>
      <c r="M9" s="1">
        <v>0</v>
      </c>
      <c r="O9" s="1">
        <v>0</v>
      </c>
      <c r="P9" s="1">
        <v>0</v>
      </c>
      <c r="R9" s="1">
        <v>0</v>
      </c>
      <c r="S9" s="1">
        <v>0</v>
      </c>
      <c r="U9" s="1">
        <v>0</v>
      </c>
      <c r="V9" s="9">
        <v>0</v>
      </c>
    </row>
    <row r="10" spans="1:22">
      <c r="A10" s="1" t="s">
        <v>16</v>
      </c>
      <c r="B10" s="6">
        <v>0</v>
      </c>
      <c r="C10" s="1">
        <v>0</v>
      </c>
      <c r="D10" s="1">
        <v>0</v>
      </c>
      <c r="E10" s="1">
        <v>0</v>
      </c>
      <c r="F10" s="1">
        <v>0</v>
      </c>
      <c r="G10" s="9">
        <f>SUM(CA_FINANCIAL)</f>
        <v>0</v>
      </c>
      <c r="I10" s="13" t="s">
        <v>17</v>
      </c>
      <c r="J10" s="16">
        <v>600117017.40107167</v>
      </c>
      <c r="L10" s="6"/>
      <c r="V10" s="9"/>
    </row>
    <row r="11" spans="1:22">
      <c r="A11" s="1" t="s">
        <v>18</v>
      </c>
      <c r="B11" s="6">
        <v>0</v>
      </c>
      <c r="C11" s="1">
        <v>0</v>
      </c>
      <c r="D11" s="1">
        <v>0</v>
      </c>
      <c r="E11" s="1">
        <v>0</v>
      </c>
      <c r="F11" s="1">
        <v>0</v>
      </c>
      <c r="G11" s="9">
        <f>SUM(CO_FINANCIAL)</f>
        <v>0</v>
      </c>
      <c r="I11" s="13"/>
      <c r="J11" s="16"/>
      <c r="L11" s="6">
        <v>25200</v>
      </c>
      <c r="M11" s="1">
        <v>0</v>
      </c>
      <c r="O11" s="1">
        <v>44800</v>
      </c>
      <c r="P11" s="1">
        <v>0</v>
      </c>
      <c r="R11" s="1">
        <v>0</v>
      </c>
      <c r="S11" s="1">
        <v>0</v>
      </c>
      <c r="U11" s="1">
        <v>0</v>
      </c>
      <c r="V11" s="9">
        <v>0</v>
      </c>
    </row>
    <row r="12" spans="1:22">
      <c r="A12" s="1" t="s">
        <v>19</v>
      </c>
      <c r="B12" s="6">
        <v>0</v>
      </c>
      <c r="C12" s="1">
        <v>0</v>
      </c>
      <c r="D12" s="1">
        <v>0</v>
      </c>
      <c r="E12" s="1">
        <v>0</v>
      </c>
      <c r="F12" s="1">
        <v>0</v>
      </c>
      <c r="G12" s="9">
        <f>SUM(CT_FINANCIAL)</f>
        <v>0</v>
      </c>
      <c r="I12" s="13" t="s">
        <v>20</v>
      </c>
      <c r="J12" s="16"/>
      <c r="L12" s="6"/>
      <c r="V12" s="9"/>
    </row>
    <row r="13" spans="1:22">
      <c r="A13" s="1" t="s">
        <v>21</v>
      </c>
      <c r="B13" s="6">
        <v>65143.531405969239</v>
      </c>
      <c r="C13" s="1">
        <v>251516.24153908808</v>
      </c>
      <c r="D13" s="1">
        <v>0</v>
      </c>
      <c r="E13" s="1">
        <v>0</v>
      </c>
      <c r="F13" s="1">
        <v>0</v>
      </c>
      <c r="G13" s="9">
        <f>SUM(DE_FINANCIAL)</f>
        <v>316659.77294505731</v>
      </c>
      <c r="I13" s="13" t="s">
        <v>22</v>
      </c>
      <c r="J13" s="16">
        <v>0</v>
      </c>
      <c r="L13" s="6">
        <v>209250</v>
      </c>
      <c r="M13" s="1">
        <v>0</v>
      </c>
      <c r="O13" s="1">
        <v>627750</v>
      </c>
      <c r="P13" s="1">
        <v>0</v>
      </c>
      <c r="R13" s="1">
        <v>0</v>
      </c>
      <c r="S13" s="1">
        <v>0</v>
      </c>
      <c r="U13" s="1">
        <v>0</v>
      </c>
      <c r="V13" s="9">
        <v>0</v>
      </c>
    </row>
    <row r="14" spans="1:22">
      <c r="A14" s="1" t="s">
        <v>23</v>
      </c>
      <c r="B14" s="6">
        <v>0</v>
      </c>
      <c r="C14" s="1">
        <v>0</v>
      </c>
      <c r="D14" s="1">
        <v>0</v>
      </c>
      <c r="E14" s="1">
        <v>0</v>
      </c>
      <c r="F14" s="1">
        <v>0</v>
      </c>
      <c r="G14" s="9">
        <f>SUM(DC_FINANCIAL)</f>
        <v>0</v>
      </c>
      <c r="I14" s="13" t="s">
        <v>24</v>
      </c>
      <c r="J14" s="16">
        <v>0</v>
      </c>
      <c r="L14" s="6"/>
      <c r="V14" s="9"/>
    </row>
    <row r="15" spans="1:22">
      <c r="A15" s="1" t="s">
        <v>25</v>
      </c>
      <c r="B15" s="6">
        <v>5387870.8912255764</v>
      </c>
      <c r="C15" s="1">
        <v>12421305.022911783</v>
      </c>
      <c r="D15" s="1">
        <v>0</v>
      </c>
      <c r="E15" s="1">
        <v>0</v>
      </c>
      <c r="F15" s="1">
        <v>0</v>
      </c>
      <c r="G15" s="9">
        <f>SUM(FL_FINANCIAL)</f>
        <v>17809175.91413736</v>
      </c>
      <c r="I15" s="13" t="s">
        <v>26</v>
      </c>
      <c r="J15" s="16">
        <v>4528663.84</v>
      </c>
      <c r="L15" s="6">
        <v>13095654</v>
      </c>
      <c r="M15" s="1">
        <v>0</v>
      </c>
      <c r="O15" s="1">
        <v>26446748</v>
      </c>
      <c r="P15" s="1">
        <v>0</v>
      </c>
      <c r="R15" s="1">
        <v>0</v>
      </c>
      <c r="S15" s="1">
        <v>0</v>
      </c>
      <c r="U15" s="1">
        <v>0</v>
      </c>
      <c r="V15" s="9">
        <v>0</v>
      </c>
    </row>
    <row r="16" spans="1:22">
      <c r="A16" s="1" t="s">
        <v>27</v>
      </c>
      <c r="B16" s="6">
        <v>319703.32180823694</v>
      </c>
      <c r="C16" s="1">
        <v>1218938.8393791202</v>
      </c>
      <c r="D16" s="1">
        <v>0</v>
      </c>
      <c r="E16" s="1">
        <v>0</v>
      </c>
      <c r="F16" s="1">
        <v>0</v>
      </c>
      <c r="G16" s="9">
        <f>SUM(GA_FINANCIAL)</f>
        <v>1538642.161187357</v>
      </c>
      <c r="I16" s="13" t="s">
        <v>28</v>
      </c>
      <c r="J16" s="16">
        <v>0</v>
      </c>
      <c r="L16" s="6">
        <v>1064376</v>
      </c>
      <c r="M16" s="1">
        <v>0</v>
      </c>
      <c r="O16" s="1">
        <v>3444406</v>
      </c>
      <c r="P16" s="1">
        <v>63866.17</v>
      </c>
      <c r="R16" s="1">
        <v>0</v>
      </c>
      <c r="S16" s="1">
        <v>0</v>
      </c>
      <c r="U16" s="1">
        <v>0</v>
      </c>
      <c r="V16" s="9">
        <v>0</v>
      </c>
    </row>
    <row r="17" spans="1:22">
      <c r="A17" s="1" t="s">
        <v>29</v>
      </c>
      <c r="B17" s="6">
        <v>0</v>
      </c>
      <c r="C17" s="1">
        <v>0</v>
      </c>
      <c r="D17" s="1">
        <v>0</v>
      </c>
      <c r="E17" s="1">
        <v>0</v>
      </c>
      <c r="F17" s="1">
        <v>0</v>
      </c>
      <c r="G17" s="9">
        <f>SUM(HI_FINANCIAL)</f>
        <v>0</v>
      </c>
      <c r="I17" s="13"/>
      <c r="J17" s="16"/>
      <c r="L17" s="6"/>
      <c r="V17" s="9"/>
    </row>
    <row r="18" spans="1:22">
      <c r="A18" s="1" t="s">
        <v>30</v>
      </c>
      <c r="B18" s="6">
        <v>59490.89517713547</v>
      </c>
      <c r="C18" s="1">
        <v>441401.38587868289</v>
      </c>
      <c r="D18" s="1">
        <v>0</v>
      </c>
      <c r="E18" s="1">
        <v>0</v>
      </c>
      <c r="F18" s="1">
        <v>0</v>
      </c>
      <c r="G18" s="9">
        <f>SUM(ID_FINANCIAL)</f>
        <v>500892.28105581837</v>
      </c>
      <c r="I18" s="13" t="s">
        <v>31</v>
      </c>
      <c r="J18" s="16"/>
      <c r="L18" s="6">
        <v>143772</v>
      </c>
      <c r="M18" s="1">
        <v>0</v>
      </c>
      <c r="O18" s="1">
        <v>1411228</v>
      </c>
      <c r="P18" s="1">
        <v>0</v>
      </c>
      <c r="R18" s="1">
        <v>0</v>
      </c>
      <c r="S18" s="1">
        <v>0</v>
      </c>
      <c r="U18" s="1">
        <v>0</v>
      </c>
      <c r="V18" s="9">
        <v>0</v>
      </c>
    </row>
    <row r="19" spans="1:22">
      <c r="A19" s="1" t="s">
        <v>32</v>
      </c>
      <c r="B19" s="6">
        <v>2415353.0017093299</v>
      </c>
      <c r="C19" s="1">
        <v>7985166.7475485476</v>
      </c>
      <c r="D19" s="1">
        <v>0</v>
      </c>
      <c r="E19" s="1">
        <v>0</v>
      </c>
      <c r="F19" s="1">
        <v>0</v>
      </c>
      <c r="G19" s="9">
        <f>SUM(IL_FINANCIAL)</f>
        <v>10400519.749257877</v>
      </c>
      <c r="I19" s="13" t="s">
        <v>33</v>
      </c>
      <c r="J19" s="16">
        <v>269312048.69789904</v>
      </c>
      <c r="L19" s="6">
        <v>6250000</v>
      </c>
      <c r="M19" s="1">
        <v>2700000</v>
      </c>
      <c r="O19" s="1">
        <v>22000000</v>
      </c>
      <c r="P19" s="1">
        <v>9150000</v>
      </c>
      <c r="R19" s="1">
        <v>0</v>
      </c>
      <c r="S19" s="1">
        <v>0</v>
      </c>
      <c r="U19" s="1">
        <v>0</v>
      </c>
      <c r="V19" s="9">
        <v>0</v>
      </c>
    </row>
    <row r="20" spans="1:22">
      <c r="A20" s="1" t="s">
        <v>34</v>
      </c>
      <c r="B20" s="6">
        <v>1450302.762379685</v>
      </c>
      <c r="C20" s="1">
        <v>3965073.3059242512</v>
      </c>
      <c r="D20" s="1">
        <v>0</v>
      </c>
      <c r="E20" s="1">
        <v>0</v>
      </c>
      <c r="F20" s="1">
        <v>0</v>
      </c>
      <c r="G20" s="9">
        <f>SUM(IN_FINANCIAL)</f>
        <v>5415376.0683039362</v>
      </c>
      <c r="I20" s="13" t="s">
        <v>35</v>
      </c>
      <c r="J20" s="16">
        <v>151440725.99999994</v>
      </c>
      <c r="L20" s="6">
        <v>1400894</v>
      </c>
      <c r="M20" s="1">
        <v>0</v>
      </c>
      <c r="O20" s="1">
        <v>2499899</v>
      </c>
      <c r="P20" s="1">
        <v>0</v>
      </c>
      <c r="R20" s="1">
        <v>0</v>
      </c>
      <c r="S20" s="1">
        <v>0</v>
      </c>
      <c r="U20" s="1">
        <v>0</v>
      </c>
      <c r="V20" s="9">
        <v>0</v>
      </c>
    </row>
    <row r="21" spans="1:22">
      <c r="A21" s="1" t="s">
        <v>36</v>
      </c>
      <c r="B21" s="6">
        <v>1361922.2202963415</v>
      </c>
      <c r="C21" s="1">
        <v>2753599.2609393038</v>
      </c>
      <c r="D21" s="1">
        <v>0</v>
      </c>
      <c r="E21" s="1">
        <v>0</v>
      </c>
      <c r="F21" s="1">
        <v>0</v>
      </c>
      <c r="G21" s="9">
        <f>SUM(IA_FINANCIAL)</f>
        <v>4115521.4812356452</v>
      </c>
      <c r="I21" s="13" t="s">
        <v>37</v>
      </c>
      <c r="J21" s="16"/>
      <c r="L21" s="6">
        <v>2356028</v>
      </c>
      <c r="M21" s="1">
        <v>0</v>
      </c>
      <c r="O21" s="1">
        <v>6511318</v>
      </c>
      <c r="P21" s="1">
        <v>0</v>
      </c>
      <c r="R21" s="1">
        <v>0</v>
      </c>
      <c r="S21" s="1">
        <v>0</v>
      </c>
      <c r="U21" s="1">
        <v>0</v>
      </c>
      <c r="V21" s="9">
        <v>0</v>
      </c>
    </row>
    <row r="22" spans="1:22">
      <c r="A22" s="1" t="s">
        <v>38</v>
      </c>
      <c r="B22" s="6">
        <v>375478.51399132743</v>
      </c>
      <c r="C22" s="1">
        <v>1585216.3079579091</v>
      </c>
      <c r="D22" s="1">
        <v>0</v>
      </c>
      <c r="E22" s="1">
        <v>0</v>
      </c>
      <c r="F22" s="1">
        <v>0</v>
      </c>
      <c r="G22" s="9">
        <f>SUM(KS_FINANCIAL)</f>
        <v>1960694.8219492366</v>
      </c>
      <c r="I22" s="13" t="s">
        <v>39</v>
      </c>
      <c r="J22" s="16">
        <v>0</v>
      </c>
      <c r="L22" s="6">
        <v>675000</v>
      </c>
      <c r="M22" s="1">
        <v>0</v>
      </c>
      <c r="O22" s="1">
        <v>2950000</v>
      </c>
      <c r="P22" s="1">
        <v>0</v>
      </c>
      <c r="R22" s="1">
        <v>0</v>
      </c>
      <c r="S22" s="1">
        <v>0</v>
      </c>
      <c r="U22" s="1">
        <v>0</v>
      </c>
      <c r="V22" s="9">
        <v>0</v>
      </c>
    </row>
    <row r="23" spans="1:22">
      <c r="A23" s="1" t="s">
        <v>40</v>
      </c>
      <c r="B23" s="6">
        <v>255200.61338167102</v>
      </c>
      <c r="C23" s="1">
        <v>810062.85600879905</v>
      </c>
      <c r="D23" s="1">
        <v>0</v>
      </c>
      <c r="E23" s="1">
        <v>0</v>
      </c>
      <c r="F23" s="1">
        <v>0</v>
      </c>
      <c r="G23" s="9">
        <f>SUM(KY_FINANCIAL)</f>
        <v>1065263.4693904701</v>
      </c>
      <c r="I23" s="13" t="s">
        <v>41</v>
      </c>
      <c r="J23" s="16"/>
      <c r="L23" s="6">
        <v>734080</v>
      </c>
      <c r="M23" s="1">
        <v>230086.07</v>
      </c>
      <c r="O23" s="1">
        <v>2171198</v>
      </c>
      <c r="P23" s="1">
        <v>636093.96</v>
      </c>
      <c r="R23" s="1">
        <v>0</v>
      </c>
      <c r="S23" s="1">
        <v>0</v>
      </c>
      <c r="U23" s="1">
        <v>0</v>
      </c>
      <c r="V23" s="9">
        <v>0</v>
      </c>
    </row>
    <row r="24" spans="1:22">
      <c r="A24" s="1" t="s">
        <v>42</v>
      </c>
      <c r="B24" s="6">
        <v>0</v>
      </c>
      <c r="C24" s="1">
        <v>0</v>
      </c>
      <c r="D24" s="1">
        <v>0</v>
      </c>
      <c r="E24" s="1">
        <v>0</v>
      </c>
      <c r="F24" s="1">
        <v>0</v>
      </c>
      <c r="G24" s="9">
        <f>SUM(LA_FINANCIAL)</f>
        <v>0</v>
      </c>
      <c r="I24" s="13" t="s">
        <v>43</v>
      </c>
      <c r="J24" s="16">
        <v>76974408.000000015</v>
      </c>
      <c r="L24" s="6"/>
      <c r="V24" s="9"/>
    </row>
    <row r="25" spans="1:22">
      <c r="A25" s="1" t="s">
        <v>44</v>
      </c>
      <c r="B25" s="6">
        <v>0</v>
      </c>
      <c r="C25" s="1">
        <v>0</v>
      </c>
      <c r="D25" s="1">
        <v>0</v>
      </c>
      <c r="E25" s="1">
        <v>0</v>
      </c>
      <c r="F25" s="1">
        <v>0</v>
      </c>
      <c r="G25" s="9">
        <f>SUM(ME_FINANCIAL)</f>
        <v>0</v>
      </c>
      <c r="I25" s="13"/>
      <c r="J25" s="16"/>
      <c r="L25" s="6"/>
      <c r="V25" s="9"/>
    </row>
    <row r="26" spans="1:22">
      <c r="A26" s="1" t="s">
        <v>45</v>
      </c>
      <c r="B26" s="6">
        <v>161927.00910954471</v>
      </c>
      <c r="C26" s="1">
        <v>2214755.6330319764</v>
      </c>
      <c r="D26" s="1">
        <v>0</v>
      </c>
      <c r="E26" s="1">
        <v>0</v>
      </c>
      <c r="F26" s="1">
        <v>0</v>
      </c>
      <c r="G26" s="9">
        <f>SUM(MD_FINANCIAL)</f>
        <v>2376682.642141521</v>
      </c>
      <c r="I26" s="13" t="s">
        <v>46</v>
      </c>
      <c r="J26" s="16">
        <f>SUM(ADD_FINANCIAL)-SUM(LESS_FINANCIAL)</f>
        <v>106918498.54317272</v>
      </c>
      <c r="L26" s="6">
        <v>1031000</v>
      </c>
      <c r="M26" s="1">
        <v>0</v>
      </c>
      <c r="O26" s="1">
        <v>4319000</v>
      </c>
      <c r="P26" s="1">
        <v>0</v>
      </c>
      <c r="R26" s="1">
        <v>0</v>
      </c>
      <c r="S26" s="1">
        <v>0</v>
      </c>
      <c r="U26" s="1">
        <v>0</v>
      </c>
      <c r="V26" s="9">
        <v>0</v>
      </c>
    </row>
    <row r="27" spans="1:22">
      <c r="A27" s="1" t="s">
        <v>47</v>
      </c>
      <c r="B27" s="6">
        <v>62180.539039130716</v>
      </c>
      <c r="C27" s="1">
        <v>2936668.2341901329</v>
      </c>
      <c r="D27" s="1">
        <v>0</v>
      </c>
      <c r="E27" s="1">
        <v>0</v>
      </c>
      <c r="F27" s="1">
        <v>0</v>
      </c>
      <c r="G27" s="9">
        <f>SUM(MA_FINANCIAL)</f>
        <v>2998848.7732292637</v>
      </c>
      <c r="I27" s="13" t="s">
        <v>48</v>
      </c>
      <c r="J27" s="16">
        <f>SUM(ALL_BLOCKS)</f>
        <v>106918498.54317252</v>
      </c>
      <c r="L27" s="6">
        <v>275000</v>
      </c>
      <c r="M27" s="1">
        <v>0</v>
      </c>
      <c r="O27" s="1">
        <v>7235000</v>
      </c>
      <c r="P27" s="1">
        <v>0</v>
      </c>
      <c r="R27" s="1">
        <v>0</v>
      </c>
      <c r="S27" s="1">
        <v>0</v>
      </c>
      <c r="U27" s="1">
        <v>0</v>
      </c>
      <c r="V27" s="9">
        <v>0</v>
      </c>
    </row>
    <row r="28" spans="1:22">
      <c r="A28" s="1" t="s">
        <v>49</v>
      </c>
      <c r="B28" s="6">
        <v>2365003.7186197769</v>
      </c>
      <c r="C28" s="1">
        <v>6750980.4546762602</v>
      </c>
      <c r="D28" s="1">
        <v>0</v>
      </c>
      <c r="E28" s="1">
        <v>0</v>
      </c>
      <c r="F28" s="1">
        <v>0</v>
      </c>
      <c r="G28" s="9">
        <f>SUM(MI_FINANCIAL)</f>
        <v>9115984.1732960381</v>
      </c>
      <c r="I28" s="14"/>
      <c r="J28" s="17"/>
      <c r="L28" s="6">
        <v>5400000</v>
      </c>
      <c r="M28" s="1">
        <v>1980000</v>
      </c>
      <c r="O28" s="1">
        <v>15300000</v>
      </c>
      <c r="P28" s="1">
        <v>3400000</v>
      </c>
      <c r="R28" s="1">
        <v>0</v>
      </c>
      <c r="S28" s="1">
        <v>0</v>
      </c>
      <c r="U28" s="1">
        <v>0</v>
      </c>
      <c r="V28" s="9">
        <v>0</v>
      </c>
    </row>
    <row r="29" spans="1:22">
      <c r="A29" s="1" t="s">
        <v>50</v>
      </c>
      <c r="B29" s="6">
        <v>0</v>
      </c>
      <c r="C29" s="1">
        <v>0</v>
      </c>
      <c r="D29" s="1">
        <v>0</v>
      </c>
      <c r="E29" s="1">
        <v>0</v>
      </c>
      <c r="F29" s="1">
        <v>0</v>
      </c>
      <c r="G29" s="9">
        <f>SUM(MN_FINANCIAL)</f>
        <v>0</v>
      </c>
      <c r="L29" s="6"/>
      <c r="V29" s="9"/>
    </row>
    <row r="30" spans="1:22">
      <c r="A30" s="1" t="s">
        <v>51</v>
      </c>
      <c r="B30" s="6">
        <v>20482.968001481644</v>
      </c>
      <c r="C30" s="1">
        <v>276409.57592633454</v>
      </c>
      <c r="D30" s="1">
        <v>0</v>
      </c>
      <c r="E30" s="1">
        <v>0</v>
      </c>
      <c r="F30" s="1">
        <v>0</v>
      </c>
      <c r="G30" s="9">
        <f>SUM(MS_FINANCIAL)</f>
        <v>296892.54392781621</v>
      </c>
      <c r="L30" s="6">
        <v>134576</v>
      </c>
      <c r="M30" s="1">
        <v>0</v>
      </c>
      <c r="O30" s="1">
        <v>764463</v>
      </c>
      <c r="P30" s="1">
        <v>0</v>
      </c>
      <c r="R30" s="1">
        <v>0</v>
      </c>
      <c r="S30" s="1">
        <v>0</v>
      </c>
      <c r="U30" s="1">
        <v>0</v>
      </c>
      <c r="V30" s="9">
        <v>0</v>
      </c>
    </row>
    <row r="31" spans="1:22">
      <c r="A31" s="1" t="s">
        <v>52</v>
      </c>
      <c r="B31" s="6">
        <v>616997.05379166745</v>
      </c>
      <c r="C31" s="1">
        <v>3737383.0784126734</v>
      </c>
      <c r="D31" s="1">
        <v>0</v>
      </c>
      <c r="E31" s="1">
        <v>0</v>
      </c>
      <c r="F31" s="1">
        <v>0</v>
      </c>
      <c r="G31" s="9">
        <f>SUM(MO_FINANCIAL)</f>
        <v>4354380.1322043408</v>
      </c>
      <c r="L31" s="6">
        <v>1502267</v>
      </c>
      <c r="M31" s="1">
        <v>0</v>
      </c>
      <c r="O31" s="1">
        <v>7950910</v>
      </c>
      <c r="P31" s="1">
        <v>0</v>
      </c>
      <c r="R31" s="1">
        <v>0</v>
      </c>
      <c r="S31" s="1">
        <v>0</v>
      </c>
      <c r="U31" s="1">
        <v>0</v>
      </c>
      <c r="V31" s="9">
        <v>0</v>
      </c>
    </row>
    <row r="32" spans="1:22">
      <c r="A32" s="1" t="s">
        <v>53</v>
      </c>
      <c r="B32" s="6">
        <v>272518.55566572916</v>
      </c>
      <c r="C32" s="1">
        <v>243759.75134740461</v>
      </c>
      <c r="D32" s="1">
        <v>0</v>
      </c>
      <c r="E32" s="1">
        <v>0</v>
      </c>
      <c r="F32" s="1">
        <v>0</v>
      </c>
      <c r="G32" s="9">
        <f>SUM(MT_FINANCIAL)</f>
        <v>516278.30701313377</v>
      </c>
      <c r="L32" s="6">
        <v>1580000</v>
      </c>
      <c r="M32" s="1">
        <v>0</v>
      </c>
      <c r="O32" s="1">
        <v>484000</v>
      </c>
      <c r="P32" s="1">
        <v>0</v>
      </c>
      <c r="R32" s="1">
        <v>0</v>
      </c>
      <c r="S32" s="1">
        <v>0</v>
      </c>
      <c r="U32" s="1">
        <v>0</v>
      </c>
      <c r="V32" s="9">
        <v>0</v>
      </c>
    </row>
    <row r="33" spans="1:22">
      <c r="A33" s="1" t="s">
        <v>54</v>
      </c>
      <c r="B33" s="6">
        <v>451107.50402958377</v>
      </c>
      <c r="C33" s="1">
        <v>1416386.9342632378</v>
      </c>
      <c r="D33" s="1">
        <v>0</v>
      </c>
      <c r="E33" s="1">
        <v>0</v>
      </c>
      <c r="F33" s="1">
        <v>0</v>
      </c>
      <c r="G33" s="9">
        <f>SUM(NE_FINANCIAL)</f>
        <v>1867494.4382928214</v>
      </c>
      <c r="L33" s="6">
        <v>1723246</v>
      </c>
      <c r="M33" s="1">
        <v>0</v>
      </c>
      <c r="O33" s="1">
        <v>3764563</v>
      </c>
      <c r="P33" s="1">
        <v>0</v>
      </c>
      <c r="R33" s="1">
        <v>0</v>
      </c>
      <c r="S33" s="1">
        <v>0</v>
      </c>
      <c r="U33" s="1">
        <v>0</v>
      </c>
      <c r="V33" s="9">
        <v>0</v>
      </c>
    </row>
    <row r="34" spans="1:22">
      <c r="A34" s="1" t="s">
        <v>55</v>
      </c>
      <c r="B34" s="6">
        <v>12504.236970384536</v>
      </c>
      <c r="C34" s="1">
        <v>236950.11251437562</v>
      </c>
      <c r="D34" s="1">
        <v>0</v>
      </c>
      <c r="E34" s="1">
        <v>0</v>
      </c>
      <c r="F34" s="1">
        <v>0</v>
      </c>
      <c r="G34" s="9">
        <f>SUM(NV_FINANCIAL)</f>
        <v>249454.34948476017</v>
      </c>
      <c r="L34" s="6">
        <v>49500</v>
      </c>
      <c r="M34" s="1">
        <v>0</v>
      </c>
      <c r="O34" s="1">
        <v>649800</v>
      </c>
      <c r="P34" s="1">
        <v>0</v>
      </c>
      <c r="R34" s="1">
        <v>0</v>
      </c>
      <c r="S34" s="1">
        <v>0</v>
      </c>
      <c r="U34" s="1">
        <v>0</v>
      </c>
      <c r="V34" s="9">
        <v>0</v>
      </c>
    </row>
    <row r="35" spans="1:22">
      <c r="A35" s="1" t="s">
        <v>56</v>
      </c>
      <c r="B35" s="6">
        <v>0</v>
      </c>
      <c r="C35" s="1">
        <v>0</v>
      </c>
      <c r="D35" s="1">
        <v>0</v>
      </c>
      <c r="E35" s="1">
        <v>0</v>
      </c>
      <c r="F35" s="1">
        <v>0</v>
      </c>
      <c r="G35" s="9">
        <f>SUM(NH_FINANCIAL)</f>
        <v>0</v>
      </c>
      <c r="L35" s="6"/>
      <c r="V35" s="9"/>
    </row>
    <row r="36" spans="1:22">
      <c r="A36" s="1" t="s">
        <v>57</v>
      </c>
      <c r="B36" s="6">
        <v>0</v>
      </c>
      <c r="C36" s="1">
        <v>0</v>
      </c>
      <c r="D36" s="1">
        <v>0</v>
      </c>
      <c r="E36" s="1">
        <v>0</v>
      </c>
      <c r="F36" s="1">
        <v>0</v>
      </c>
      <c r="G36" s="9">
        <f>SUM(NJ_FINANCIAL)</f>
        <v>0</v>
      </c>
      <c r="L36" s="6"/>
      <c r="V36" s="9"/>
    </row>
    <row r="37" spans="1:22">
      <c r="A37" s="1" t="s">
        <v>58</v>
      </c>
      <c r="B37" s="6">
        <v>67779.204297679069</v>
      </c>
      <c r="C37" s="1">
        <v>200661.60362091599</v>
      </c>
      <c r="D37" s="1">
        <v>0</v>
      </c>
      <c r="E37" s="1">
        <v>0</v>
      </c>
      <c r="F37" s="1">
        <v>0</v>
      </c>
      <c r="G37" s="9">
        <f>SUM(NM_FINANCIAL)</f>
        <v>268440.80791859503</v>
      </c>
      <c r="L37" s="6">
        <v>100000</v>
      </c>
      <c r="M37" s="1">
        <v>0</v>
      </c>
      <c r="O37" s="1">
        <v>301563</v>
      </c>
      <c r="P37" s="1">
        <v>0</v>
      </c>
      <c r="R37" s="1">
        <v>0</v>
      </c>
      <c r="S37" s="1">
        <v>0</v>
      </c>
      <c r="U37" s="1">
        <v>0</v>
      </c>
      <c r="V37" s="9">
        <v>0</v>
      </c>
    </row>
    <row r="38" spans="1:22">
      <c r="A38" s="1" t="s">
        <v>59</v>
      </c>
      <c r="B38" s="6">
        <v>0</v>
      </c>
      <c r="C38" s="1">
        <v>0</v>
      </c>
      <c r="D38" s="1">
        <v>0</v>
      </c>
      <c r="E38" s="1">
        <v>0</v>
      </c>
      <c r="F38" s="1">
        <v>0</v>
      </c>
      <c r="G38" s="9">
        <f>SUM(NY_FINANCIAL)</f>
        <v>0</v>
      </c>
      <c r="L38" s="6"/>
      <c r="V38" s="9"/>
    </row>
    <row r="39" spans="1:22">
      <c r="A39" s="1" t="s">
        <v>60</v>
      </c>
      <c r="B39" s="6">
        <v>407017.59443160787</v>
      </c>
      <c r="C39" s="1">
        <v>3042792.1346452148</v>
      </c>
      <c r="D39" s="1">
        <v>0</v>
      </c>
      <c r="E39" s="1">
        <v>0</v>
      </c>
      <c r="F39" s="1">
        <v>0</v>
      </c>
      <c r="G39" s="9">
        <f>SUM(NC_FINANCIAL)</f>
        <v>3449809.7290768228</v>
      </c>
      <c r="L39" s="6">
        <v>1050000</v>
      </c>
      <c r="M39" s="1">
        <v>419000</v>
      </c>
      <c r="O39" s="1">
        <v>7950000</v>
      </c>
      <c r="P39" s="1">
        <v>3181000</v>
      </c>
      <c r="R39" s="1">
        <v>0</v>
      </c>
      <c r="S39" s="1">
        <v>0</v>
      </c>
      <c r="U39" s="1">
        <v>0</v>
      </c>
      <c r="V39" s="9">
        <v>0</v>
      </c>
    </row>
    <row r="40" spans="1:22">
      <c r="A40" s="1" t="s">
        <v>61</v>
      </c>
      <c r="B40" s="6">
        <v>169821.87191423634</v>
      </c>
      <c r="C40" s="1">
        <v>936189.18346218904</v>
      </c>
      <c r="D40" s="1">
        <v>0</v>
      </c>
      <c r="E40" s="1">
        <v>0</v>
      </c>
      <c r="F40" s="1">
        <v>0</v>
      </c>
      <c r="G40" s="9">
        <f>SUM(ND_FINANCIAL)</f>
        <v>1106011.0553764254</v>
      </c>
      <c r="L40" s="6">
        <v>455036</v>
      </c>
      <c r="M40" s="1">
        <v>0</v>
      </c>
      <c r="O40" s="1">
        <v>2567241</v>
      </c>
      <c r="P40" s="1">
        <v>0</v>
      </c>
      <c r="R40" s="1">
        <v>0</v>
      </c>
      <c r="S40" s="1">
        <v>0</v>
      </c>
      <c r="U40" s="1">
        <v>0</v>
      </c>
      <c r="V40" s="9">
        <v>0</v>
      </c>
    </row>
    <row r="41" spans="1:22">
      <c r="A41" s="1" t="s">
        <v>62</v>
      </c>
      <c r="B41" s="6">
        <v>2075791.5449861716</v>
      </c>
      <c r="C41" s="1">
        <v>9028096.4844034836</v>
      </c>
      <c r="D41" s="1">
        <v>0</v>
      </c>
      <c r="E41" s="1">
        <v>0</v>
      </c>
      <c r="F41" s="1">
        <v>0</v>
      </c>
      <c r="G41" s="9">
        <f>SUM(OH_FINANCIAL)</f>
        <v>11103888.029389655</v>
      </c>
      <c r="L41" s="6">
        <v>2865000</v>
      </c>
      <c r="M41" s="1">
        <v>0</v>
      </c>
      <c r="O41" s="1">
        <v>12435000</v>
      </c>
      <c r="P41" s="1">
        <v>0</v>
      </c>
      <c r="R41" s="1">
        <v>0</v>
      </c>
      <c r="S41" s="1">
        <v>0</v>
      </c>
      <c r="U41" s="1">
        <v>0</v>
      </c>
      <c r="V41" s="9">
        <v>0</v>
      </c>
    </row>
    <row r="42" spans="1:22">
      <c r="A42" s="1" t="s">
        <v>63</v>
      </c>
      <c r="B42" s="6">
        <v>797615.4642550518</v>
      </c>
      <c r="C42" s="1">
        <v>775509.01506775385</v>
      </c>
      <c r="D42" s="1">
        <v>0</v>
      </c>
      <c r="E42" s="1">
        <v>0</v>
      </c>
      <c r="F42" s="1">
        <v>0</v>
      </c>
      <c r="G42" s="9">
        <f>SUM(OK_FINANCIAL)</f>
        <v>1573124.4793228055</v>
      </c>
      <c r="L42" s="6">
        <v>2250225</v>
      </c>
      <c r="M42" s="1">
        <v>688600</v>
      </c>
      <c r="O42" s="1">
        <v>1790500</v>
      </c>
      <c r="P42" s="1">
        <v>661400</v>
      </c>
      <c r="R42" s="1">
        <v>0</v>
      </c>
      <c r="S42" s="1">
        <v>0</v>
      </c>
      <c r="U42" s="1">
        <v>0</v>
      </c>
      <c r="V42" s="9">
        <v>0</v>
      </c>
    </row>
    <row r="43" spans="1:22">
      <c r="A43" s="1" t="s">
        <v>64</v>
      </c>
      <c r="B43" s="6">
        <v>253344.26309007689</v>
      </c>
      <c r="C43" s="1">
        <v>877851.67043106339</v>
      </c>
      <c r="D43" s="1">
        <v>0</v>
      </c>
      <c r="E43" s="1">
        <v>0</v>
      </c>
      <c r="F43" s="1">
        <v>0</v>
      </c>
      <c r="G43" s="9">
        <f>SUM(OR_FINANCIAL)</f>
        <v>1131195.9335211404</v>
      </c>
      <c r="L43" s="6">
        <v>269155</v>
      </c>
      <c r="M43" s="1">
        <v>0</v>
      </c>
      <c r="O43" s="1">
        <v>862577</v>
      </c>
      <c r="P43" s="1">
        <v>0</v>
      </c>
      <c r="R43" s="1">
        <v>0</v>
      </c>
      <c r="S43" s="1">
        <v>0</v>
      </c>
      <c r="U43" s="1">
        <v>0</v>
      </c>
      <c r="V43" s="9">
        <v>0</v>
      </c>
    </row>
    <row r="44" spans="1:22">
      <c r="A44" s="1" t="s">
        <v>65</v>
      </c>
      <c r="B44" s="6">
        <v>542682.64774952619</v>
      </c>
      <c r="C44" s="1">
        <v>6566035.4770783912</v>
      </c>
      <c r="D44" s="1">
        <v>0</v>
      </c>
      <c r="E44" s="1">
        <v>0</v>
      </c>
      <c r="F44" s="1">
        <v>0</v>
      </c>
      <c r="G44" s="9">
        <f>SUM(PA_FINANCIAL)</f>
        <v>7108718.1248279177</v>
      </c>
      <c r="L44" s="6">
        <v>9300</v>
      </c>
      <c r="M44" s="1">
        <v>0</v>
      </c>
      <c r="O44" s="1">
        <v>16990700</v>
      </c>
      <c r="P44" s="1">
        <v>0</v>
      </c>
      <c r="R44" s="1">
        <v>0</v>
      </c>
      <c r="S44" s="1">
        <v>0</v>
      </c>
      <c r="U44" s="1">
        <v>0</v>
      </c>
      <c r="V44" s="9">
        <v>0</v>
      </c>
    </row>
    <row r="45" spans="1:22">
      <c r="A45" s="1" t="s">
        <v>66</v>
      </c>
      <c r="B45" s="6">
        <v>0</v>
      </c>
      <c r="C45" s="1">
        <v>141.85763357872119</v>
      </c>
      <c r="D45" s="1">
        <v>0</v>
      </c>
      <c r="E45" s="1">
        <v>0</v>
      </c>
      <c r="F45" s="1">
        <v>0</v>
      </c>
      <c r="G45" s="9">
        <f>SUM(PR_FINANCIAL)</f>
        <v>141.85763357872119</v>
      </c>
      <c r="L45" s="6"/>
      <c r="V45" s="9"/>
    </row>
    <row r="46" spans="1:22">
      <c r="A46" s="1" t="s">
        <v>67</v>
      </c>
      <c r="B46" s="6">
        <v>0</v>
      </c>
      <c r="C46" s="1">
        <v>0</v>
      </c>
      <c r="D46" s="1">
        <v>0</v>
      </c>
      <c r="E46" s="1">
        <v>0</v>
      </c>
      <c r="F46" s="1">
        <v>0</v>
      </c>
      <c r="G46" s="9">
        <f>SUM(RI_FINANCIAL)</f>
        <v>0</v>
      </c>
      <c r="L46" s="6"/>
      <c r="V46" s="9"/>
    </row>
    <row r="47" spans="1:22">
      <c r="A47" s="1" t="s">
        <v>68</v>
      </c>
      <c r="B47" s="6">
        <v>247765.5788093892</v>
      </c>
      <c r="C47" s="1">
        <v>1098313.1309982822</v>
      </c>
      <c r="D47" s="1">
        <v>0</v>
      </c>
      <c r="E47" s="1">
        <v>0</v>
      </c>
      <c r="F47" s="1">
        <v>0</v>
      </c>
      <c r="G47" s="9">
        <f>SUM(SC_FINANCIAL)</f>
        <v>1346078.7098076714</v>
      </c>
      <c r="L47" s="6">
        <v>330000</v>
      </c>
      <c r="M47" s="1">
        <v>0</v>
      </c>
      <c r="O47" s="1">
        <v>2420000</v>
      </c>
      <c r="P47" s="1">
        <v>0</v>
      </c>
      <c r="R47" s="1">
        <v>0</v>
      </c>
      <c r="S47" s="1">
        <v>0</v>
      </c>
      <c r="U47" s="1">
        <v>0</v>
      </c>
      <c r="V47" s="9">
        <v>0</v>
      </c>
    </row>
    <row r="48" spans="1:22">
      <c r="A48" s="1" t="s">
        <v>69</v>
      </c>
      <c r="B48" s="6">
        <v>176359.86316498049</v>
      </c>
      <c r="C48" s="1">
        <v>507813.71549936815</v>
      </c>
      <c r="D48" s="1">
        <v>0</v>
      </c>
      <c r="E48" s="1">
        <v>0</v>
      </c>
      <c r="F48" s="1">
        <v>0</v>
      </c>
      <c r="G48" s="9">
        <f>SUM(SD_FINANCIAL)</f>
        <v>684173.57866434869</v>
      </c>
      <c r="L48" s="6">
        <v>1157792</v>
      </c>
      <c r="M48" s="1">
        <v>958991</v>
      </c>
      <c r="O48" s="1">
        <v>2614740</v>
      </c>
      <c r="P48" s="1">
        <v>1767139</v>
      </c>
      <c r="R48" s="1">
        <v>0</v>
      </c>
      <c r="S48" s="1">
        <v>0</v>
      </c>
      <c r="U48" s="1">
        <v>0</v>
      </c>
      <c r="V48" s="9">
        <v>0</v>
      </c>
    </row>
    <row r="49" spans="1:22">
      <c r="A49" s="1" t="s">
        <v>70</v>
      </c>
      <c r="B49" s="6">
        <v>492716.06738521717</v>
      </c>
      <c r="C49" s="1">
        <v>828103.61743381142</v>
      </c>
      <c r="D49" s="1">
        <v>0</v>
      </c>
      <c r="E49" s="1">
        <v>0</v>
      </c>
      <c r="F49" s="1">
        <v>0</v>
      </c>
      <c r="G49" s="9">
        <f>SUM(TN_FINANCIAL)</f>
        <v>1320819.6848190287</v>
      </c>
      <c r="L49" s="6">
        <v>565000</v>
      </c>
      <c r="M49" s="1">
        <v>0</v>
      </c>
      <c r="O49" s="1">
        <v>935000</v>
      </c>
      <c r="P49" s="1">
        <v>0</v>
      </c>
      <c r="R49" s="1">
        <v>0</v>
      </c>
      <c r="S49" s="1">
        <v>0</v>
      </c>
      <c r="U49" s="1">
        <v>0</v>
      </c>
      <c r="V49" s="9">
        <v>0</v>
      </c>
    </row>
    <row r="50" spans="1:22">
      <c r="A50" s="1" t="s">
        <v>71</v>
      </c>
      <c r="B50" s="6">
        <v>420520.16881562513</v>
      </c>
      <c r="C50" s="1">
        <v>3650533.3617431279</v>
      </c>
      <c r="D50" s="1">
        <v>0</v>
      </c>
      <c r="E50" s="1">
        <v>0</v>
      </c>
      <c r="F50" s="1">
        <v>0</v>
      </c>
      <c r="G50" s="9">
        <f>SUM(TX_FINANCIAL)</f>
        <v>4071053.5305587528</v>
      </c>
      <c r="L50" s="6">
        <v>9411167</v>
      </c>
      <c r="M50" s="1">
        <v>2959943</v>
      </c>
      <c r="O50" s="1">
        <v>0</v>
      </c>
      <c r="P50" s="1">
        <v>0</v>
      </c>
      <c r="R50" s="1">
        <v>0</v>
      </c>
      <c r="S50" s="1">
        <v>0</v>
      </c>
      <c r="U50" s="1">
        <v>0</v>
      </c>
      <c r="V50" s="9">
        <v>0</v>
      </c>
    </row>
    <row r="51" spans="1:22">
      <c r="A51" s="1" t="s">
        <v>72</v>
      </c>
      <c r="B51" s="6">
        <v>103730.45670479917</v>
      </c>
      <c r="C51" s="1">
        <v>508049.51038383163</v>
      </c>
      <c r="D51" s="1">
        <v>0</v>
      </c>
      <c r="E51" s="1">
        <v>0</v>
      </c>
      <c r="F51" s="1">
        <v>0</v>
      </c>
      <c r="G51" s="9">
        <f>SUM(UT_FINANCIAL)</f>
        <v>611779.96708863077</v>
      </c>
      <c r="L51" s="6">
        <v>275261</v>
      </c>
      <c r="M51" s="1">
        <v>0</v>
      </c>
      <c r="O51" s="1">
        <v>1349739</v>
      </c>
      <c r="P51" s="1">
        <v>0</v>
      </c>
      <c r="R51" s="1">
        <v>0</v>
      </c>
      <c r="S51" s="1">
        <v>0</v>
      </c>
      <c r="U51" s="1">
        <v>0</v>
      </c>
      <c r="V51" s="9">
        <v>0</v>
      </c>
    </row>
    <row r="52" spans="1:22">
      <c r="A52" s="1" t="s">
        <v>73</v>
      </c>
      <c r="B52" s="6">
        <v>2143.8975473838323</v>
      </c>
      <c r="C52" s="1">
        <v>130688.41893793803</v>
      </c>
      <c r="D52" s="1">
        <v>0</v>
      </c>
      <c r="E52" s="1">
        <v>0</v>
      </c>
      <c r="F52" s="1">
        <v>0</v>
      </c>
      <c r="G52" s="9">
        <f>SUM(VT_FINANCIAL)</f>
        <v>132832.31648532185</v>
      </c>
      <c r="L52" s="6">
        <v>4000</v>
      </c>
      <c r="M52" s="1">
        <v>0</v>
      </c>
      <c r="O52" s="1">
        <v>265000</v>
      </c>
      <c r="P52" s="1">
        <v>0</v>
      </c>
      <c r="R52" s="1">
        <v>0</v>
      </c>
      <c r="S52" s="1">
        <v>0</v>
      </c>
      <c r="U52" s="1">
        <v>0</v>
      </c>
      <c r="V52" s="9">
        <v>0</v>
      </c>
    </row>
    <row r="53" spans="1:22">
      <c r="A53" s="1" t="s">
        <v>74</v>
      </c>
      <c r="B53" s="6">
        <v>133251.06453012535</v>
      </c>
      <c r="C53" s="1">
        <v>2822861.8015290373</v>
      </c>
      <c r="D53" s="1">
        <v>0</v>
      </c>
      <c r="E53" s="1">
        <v>0</v>
      </c>
      <c r="F53" s="1">
        <v>0</v>
      </c>
      <c r="G53" s="9">
        <f>SUM(VA_FINANCIAL)</f>
        <v>2956112.8660591627</v>
      </c>
      <c r="L53" s="6">
        <v>333529</v>
      </c>
      <c r="M53" s="1">
        <v>0</v>
      </c>
      <c r="O53" s="1">
        <v>7336036</v>
      </c>
      <c r="P53" s="1">
        <v>0</v>
      </c>
      <c r="R53" s="1">
        <v>0</v>
      </c>
      <c r="S53" s="1">
        <v>0</v>
      </c>
      <c r="U53" s="1">
        <v>0</v>
      </c>
      <c r="V53" s="9">
        <v>0</v>
      </c>
    </row>
    <row r="54" spans="1:22">
      <c r="A54" s="1" t="s">
        <v>75</v>
      </c>
      <c r="B54" s="6">
        <v>503923.92174825212</v>
      </c>
      <c r="C54" s="1">
        <v>1077792.4240436777</v>
      </c>
      <c r="D54" s="1">
        <v>0</v>
      </c>
      <c r="E54" s="1">
        <v>0</v>
      </c>
      <c r="F54" s="1">
        <v>0</v>
      </c>
      <c r="G54" s="9">
        <f>SUM(WA_FINANCIAL)</f>
        <v>1581716.3457919299</v>
      </c>
      <c r="L54" s="6">
        <v>688258</v>
      </c>
      <c r="M54" s="1">
        <v>0</v>
      </c>
      <c r="O54" s="1">
        <v>2020070</v>
      </c>
      <c r="P54" s="1">
        <v>0</v>
      </c>
      <c r="R54" s="1">
        <v>0</v>
      </c>
      <c r="S54" s="1">
        <v>0</v>
      </c>
      <c r="U54" s="1">
        <v>0</v>
      </c>
      <c r="V54" s="9">
        <v>0</v>
      </c>
    </row>
    <row r="55" spans="1:22">
      <c r="A55" s="1" t="s">
        <v>76</v>
      </c>
      <c r="B55" s="6">
        <v>27338.439468243403</v>
      </c>
      <c r="C55" s="1">
        <v>191319.52664502055</v>
      </c>
      <c r="D55" s="1">
        <v>0</v>
      </c>
      <c r="E55" s="1">
        <v>0</v>
      </c>
      <c r="F55" s="1">
        <v>0</v>
      </c>
      <c r="G55" s="9">
        <f>SUM(WV_FINANCIAL)</f>
        <v>218657.96611326394</v>
      </c>
      <c r="L55" s="6">
        <v>109516</v>
      </c>
      <c r="M55" s="1">
        <v>2286</v>
      </c>
      <c r="O55" s="1">
        <v>575004</v>
      </c>
      <c r="P55" s="1">
        <v>342380</v>
      </c>
      <c r="R55" s="1">
        <v>0</v>
      </c>
      <c r="S55" s="1">
        <v>0</v>
      </c>
      <c r="U55" s="1">
        <v>0</v>
      </c>
      <c r="V55" s="9">
        <v>0</v>
      </c>
    </row>
    <row r="56" spans="1:22">
      <c r="A56" s="1" t="s">
        <v>77</v>
      </c>
      <c r="B56" s="6">
        <v>112021.52761273389</v>
      </c>
      <c r="C56" s="1">
        <v>519862.69203819637</v>
      </c>
      <c r="D56" s="1">
        <v>0</v>
      </c>
      <c r="E56" s="1">
        <v>0</v>
      </c>
      <c r="F56" s="1">
        <v>0</v>
      </c>
      <c r="G56" s="9">
        <f>SUM(WI_FINANCIAL)</f>
        <v>631884.21965093026</v>
      </c>
      <c r="L56" s="6">
        <v>300000</v>
      </c>
      <c r="M56" s="1">
        <v>0</v>
      </c>
      <c r="O56" s="1">
        <v>1500000</v>
      </c>
      <c r="P56" s="1">
        <v>0</v>
      </c>
      <c r="R56" s="1">
        <v>0</v>
      </c>
      <c r="S56" s="1">
        <v>0</v>
      </c>
      <c r="U56" s="1">
        <v>0</v>
      </c>
      <c r="V56" s="9">
        <v>0</v>
      </c>
    </row>
    <row r="57" spans="1:22">
      <c r="A57" s="1" t="s">
        <v>78</v>
      </c>
      <c r="B57" s="6">
        <v>74797.541491005686</v>
      </c>
      <c r="C57" s="1">
        <v>104031.483712118</v>
      </c>
      <c r="D57" s="1">
        <v>0</v>
      </c>
      <c r="E57" s="1">
        <v>0</v>
      </c>
      <c r="F57" s="1">
        <v>0</v>
      </c>
      <c r="G57" s="9">
        <f>SUM(WY_FINANCIAL)</f>
        <v>178829.02520312369</v>
      </c>
      <c r="L57" s="6">
        <v>132853</v>
      </c>
      <c r="M57" s="1">
        <v>61385</v>
      </c>
      <c r="O57" s="1">
        <v>189719</v>
      </c>
      <c r="P57" s="1">
        <v>88336</v>
      </c>
      <c r="R57" s="1">
        <v>0</v>
      </c>
      <c r="S57" s="1">
        <v>0</v>
      </c>
      <c r="U57" s="1">
        <v>0</v>
      </c>
      <c r="V57" s="9">
        <v>0</v>
      </c>
    </row>
    <row r="58" spans="1:22">
      <c r="A58" s="1" t="s">
        <v>79</v>
      </c>
      <c r="B58" s="6">
        <v>0</v>
      </c>
      <c r="C58" s="1">
        <v>0</v>
      </c>
      <c r="D58" s="1">
        <v>0</v>
      </c>
      <c r="E58" s="1">
        <v>0</v>
      </c>
      <c r="F58" s="1">
        <v>0</v>
      </c>
      <c r="G58" s="9">
        <f>SUM(OT_FINANCIAL)</f>
        <v>0</v>
      </c>
      <c r="L58" s="6"/>
      <c r="V58" s="9"/>
    </row>
    <row r="59" spans="1:22">
      <c r="B59" s="6"/>
      <c r="G59" s="9"/>
      <c r="L59" s="6"/>
      <c r="V59" s="9"/>
    </row>
    <row r="60" spans="1:22">
      <c r="A60" s="1" t="s">
        <v>8</v>
      </c>
      <c r="B60" s="6">
        <f>SUM(LIFE)</f>
        <v>22786368.360161234</v>
      </c>
      <c r="C60" s="1">
        <f>SUM(ALLOCATED)</f>
        <v>84132130.183011338</v>
      </c>
      <c r="D60" s="1">
        <f>SUM(HEALTH)</f>
        <v>0</v>
      </c>
      <c r="E60" s="1">
        <f>SUM(UNALLOCATED)</f>
        <v>0</v>
      </c>
      <c r="F60" s="1">
        <f>SUM(LTC)</f>
        <v>0</v>
      </c>
      <c r="G60" s="9">
        <f>SUM(ALL_BLOCKS)</f>
        <v>106918498.54317252</v>
      </c>
      <c r="L60" s="6">
        <f>SUM(LIFE_CALLED)</f>
        <v>60125731</v>
      </c>
      <c r="M60" s="1">
        <f>SUM(LIFE_REFUNDED)</f>
        <v>10014471.07</v>
      </c>
      <c r="O60" s="1">
        <f>SUM(ALLOC_CALLED)</f>
        <v>175491859</v>
      </c>
      <c r="P60" s="1">
        <f>SUM(ALLOC_REFUNDED)</f>
        <v>19412205.129999999</v>
      </c>
      <c r="R60" s="1">
        <f>SUM(HEALTH_CALLED)</f>
        <v>0</v>
      </c>
      <c r="S60" s="1">
        <f>SUM(HEALTH_REFUNDED)</f>
        <v>0</v>
      </c>
      <c r="U60" s="1">
        <f>SUM(UNALLOC_CALLED)</f>
        <v>2000</v>
      </c>
      <c r="V60" s="9">
        <f>SUM(UNALLOC_REFUNDED)</f>
        <v>0</v>
      </c>
    </row>
    <row r="61" spans="1:22" ht="5.0999999999999996" customHeight="1">
      <c r="B61" s="6"/>
      <c r="G61" s="9"/>
      <c r="L61" s="6"/>
      <c r="V61" s="9"/>
    </row>
    <row r="62" spans="1:22">
      <c r="B62" s="6"/>
      <c r="G62" s="9"/>
      <c r="L62" s="78" t="s">
        <v>80</v>
      </c>
      <c r="M62" s="79"/>
      <c r="N62" s="79"/>
      <c r="O62" s="79"/>
      <c r="P62" s="79"/>
      <c r="Q62" s="79"/>
      <c r="R62" s="79"/>
      <c r="S62" s="79"/>
      <c r="T62" s="79"/>
      <c r="U62" s="79"/>
      <c r="V62" s="80"/>
    </row>
    <row r="63" spans="1:22">
      <c r="B63" s="6"/>
      <c r="G63" s="9"/>
      <c r="L63" s="81"/>
      <c r="M63" s="79"/>
      <c r="N63" s="79"/>
      <c r="O63" s="79"/>
      <c r="P63" s="79"/>
      <c r="Q63" s="79"/>
      <c r="R63" s="79"/>
      <c r="S63" s="79"/>
      <c r="T63" s="79"/>
      <c r="U63" s="79"/>
      <c r="V63" s="80"/>
    </row>
    <row r="64" spans="1:22">
      <c r="B64" s="8"/>
      <c r="C64" s="5"/>
      <c r="D64" s="5"/>
      <c r="E64" s="5"/>
      <c r="F64" s="5"/>
      <c r="G64" s="11"/>
      <c r="L64" s="82"/>
      <c r="M64" s="83"/>
      <c r="N64" s="83"/>
      <c r="O64" s="83"/>
      <c r="P64" s="83"/>
      <c r="Q64" s="83"/>
      <c r="R64" s="83"/>
      <c r="S64" s="83"/>
      <c r="T64" s="83"/>
      <c r="U64" s="83"/>
      <c r="V64" s="84"/>
    </row>
  </sheetData>
  <mergeCells count="8">
    <mergeCell ref="L62:V64"/>
    <mergeCell ref="A1:G1"/>
    <mergeCell ref="B3:G3"/>
    <mergeCell ref="L3:V3"/>
    <mergeCell ref="L4:M4"/>
    <mergeCell ref="O4:P4"/>
    <mergeCell ref="R4:S4"/>
    <mergeCell ref="U4:V4"/>
  </mergeCells>
  <pageMargins left="0" right="0" top="0" bottom="0" header="0" footer="0"/>
  <pageSetup scale="48"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1:V64"/>
  <sheetViews>
    <sheetView zoomScale="75" workbookViewId="0">
      <selection sqref="A1:G1"/>
    </sheetView>
  </sheetViews>
  <sheetFormatPr defaultColWidth="9.109375" defaultRowHeight="14.4"/>
  <cols>
    <col min="1" max="1" width="20" style="1" customWidth="1"/>
    <col min="2" max="7" width="15" style="1" customWidth="1"/>
    <col min="8" max="8" width="1" style="1" customWidth="1"/>
    <col min="9" max="9" width="30" style="1" customWidth="1"/>
    <col min="10" max="10" width="15" style="1" customWidth="1"/>
    <col min="11" max="11" width="1" style="1" customWidth="1"/>
    <col min="12" max="13" width="15" style="1" customWidth="1"/>
    <col min="14" max="14" width="1" style="1" customWidth="1"/>
    <col min="15" max="16" width="15" style="1" customWidth="1"/>
    <col min="17" max="17" width="1" style="1" customWidth="1"/>
    <col min="18" max="19" width="15" style="1" customWidth="1"/>
    <col min="20" max="20" width="1" style="1" customWidth="1"/>
    <col min="21" max="22" width="15" style="1" customWidth="1"/>
    <col min="23" max="23" width="9.109375" style="1" customWidth="1"/>
    <col min="24" max="16384" width="9.109375" style="1"/>
  </cols>
  <sheetData>
    <row r="1" spans="1:22">
      <c r="A1" s="85" t="s">
        <v>128</v>
      </c>
      <c r="B1" s="79"/>
      <c r="C1" s="79"/>
      <c r="D1" s="79"/>
      <c r="E1" s="79"/>
      <c r="F1" s="79"/>
      <c r="G1" s="79"/>
    </row>
    <row r="3" spans="1:22">
      <c r="B3" s="86" t="s">
        <v>1</v>
      </c>
      <c r="C3" s="87"/>
      <c r="D3" s="87"/>
      <c r="E3" s="87"/>
      <c r="F3" s="87"/>
      <c r="G3" s="88"/>
      <c r="L3" s="89" t="s">
        <v>2</v>
      </c>
      <c r="M3" s="90"/>
      <c r="N3" s="90"/>
      <c r="O3" s="90"/>
      <c r="P3" s="90"/>
      <c r="Q3" s="90"/>
      <c r="R3" s="90"/>
      <c r="S3" s="90"/>
      <c r="T3" s="90"/>
      <c r="U3" s="90"/>
      <c r="V3" s="91"/>
    </row>
    <row r="4" spans="1:22">
      <c r="B4" s="6"/>
      <c r="G4" s="9"/>
      <c r="L4" s="92" t="s">
        <v>3</v>
      </c>
      <c r="M4" s="93"/>
      <c r="N4" s="3"/>
      <c r="O4" s="94" t="s">
        <v>4</v>
      </c>
      <c r="P4" s="93"/>
      <c r="Q4" s="3"/>
      <c r="R4" s="94" t="s">
        <v>5</v>
      </c>
      <c r="S4" s="93"/>
      <c r="T4" s="3"/>
      <c r="U4" s="94" t="s">
        <v>6</v>
      </c>
      <c r="V4" s="95"/>
    </row>
    <row r="5" spans="1:22" ht="60" customHeight="1">
      <c r="B5" s="7" t="s">
        <v>3</v>
      </c>
      <c r="C5" s="4" t="s">
        <v>4</v>
      </c>
      <c r="D5" s="4" t="s">
        <v>5</v>
      </c>
      <c r="E5" s="4" t="s">
        <v>6</v>
      </c>
      <c r="F5" s="4" t="s">
        <v>7</v>
      </c>
      <c r="G5" s="10" t="s">
        <v>8</v>
      </c>
      <c r="L5" s="19" t="s">
        <v>9</v>
      </c>
      <c r="M5" s="18" t="s">
        <v>10</v>
      </c>
      <c r="N5" s="18"/>
      <c r="O5" s="18" t="s">
        <v>9</v>
      </c>
      <c r="P5" s="18" t="s">
        <v>10</v>
      </c>
      <c r="Q5" s="18"/>
      <c r="R5" s="18" t="s">
        <v>9</v>
      </c>
      <c r="S5" s="18" t="s">
        <v>10</v>
      </c>
      <c r="T5" s="18"/>
      <c r="U5" s="18" t="s">
        <v>9</v>
      </c>
      <c r="V5" s="20" t="s">
        <v>10</v>
      </c>
    </row>
    <row r="6" spans="1:22">
      <c r="A6" s="1" t="s">
        <v>11</v>
      </c>
      <c r="B6" s="6">
        <v>0</v>
      </c>
      <c r="C6" s="1">
        <v>0</v>
      </c>
      <c r="D6" s="1">
        <v>0</v>
      </c>
      <c r="E6" s="1">
        <v>0</v>
      </c>
      <c r="F6" s="1">
        <v>0</v>
      </c>
      <c r="G6" s="9">
        <f>SUM(AL_FINANCIAL)</f>
        <v>0</v>
      </c>
      <c r="L6" s="6"/>
      <c r="V6" s="9"/>
    </row>
    <row r="7" spans="1:22">
      <c r="A7" s="1" t="s">
        <v>12</v>
      </c>
      <c r="B7" s="6">
        <v>0</v>
      </c>
      <c r="C7" s="1">
        <v>0</v>
      </c>
      <c r="D7" s="1">
        <v>0</v>
      </c>
      <c r="E7" s="1">
        <v>0</v>
      </c>
      <c r="F7" s="1">
        <v>0</v>
      </c>
      <c r="G7" s="9">
        <f>SUM(AK_FINANCIAL)</f>
        <v>0</v>
      </c>
      <c r="I7" s="12"/>
      <c r="J7" s="15"/>
      <c r="L7" s="6"/>
      <c r="V7" s="9"/>
    </row>
    <row r="8" spans="1:22">
      <c r="A8" s="1" t="s">
        <v>13</v>
      </c>
      <c r="B8" s="6">
        <v>0</v>
      </c>
      <c r="C8" s="1">
        <v>0</v>
      </c>
      <c r="D8" s="1">
        <v>0</v>
      </c>
      <c r="E8" s="1">
        <v>0</v>
      </c>
      <c r="F8" s="1">
        <v>0</v>
      </c>
      <c r="G8" s="9">
        <f>SUM(AZ_FINANCIAL)</f>
        <v>0</v>
      </c>
      <c r="I8" s="13" t="s">
        <v>14</v>
      </c>
      <c r="J8" s="16"/>
      <c r="L8" s="6"/>
      <c r="V8" s="9"/>
    </row>
    <row r="9" spans="1:22">
      <c r="A9" s="1" t="s">
        <v>15</v>
      </c>
      <c r="B9" s="6">
        <v>0</v>
      </c>
      <c r="C9" s="1">
        <v>0</v>
      </c>
      <c r="D9" s="1">
        <v>0</v>
      </c>
      <c r="E9" s="1">
        <v>0</v>
      </c>
      <c r="F9" s="1">
        <v>0</v>
      </c>
      <c r="G9" s="9">
        <f>SUM(AR_FINANCIAL)</f>
        <v>0</v>
      </c>
      <c r="I9" s="13"/>
      <c r="J9" s="16"/>
      <c r="L9" s="6"/>
      <c r="V9" s="9"/>
    </row>
    <row r="10" spans="1:22">
      <c r="A10" s="1" t="s">
        <v>16</v>
      </c>
      <c r="B10" s="6">
        <v>0</v>
      </c>
      <c r="C10" s="1">
        <v>0</v>
      </c>
      <c r="D10" s="1">
        <v>0</v>
      </c>
      <c r="E10" s="1">
        <v>0</v>
      </c>
      <c r="F10" s="1">
        <v>0</v>
      </c>
      <c r="G10" s="9">
        <f>SUM(CA_FINANCIAL)</f>
        <v>0</v>
      </c>
      <c r="I10" s="13" t="s">
        <v>17</v>
      </c>
      <c r="J10" s="16">
        <v>17363916</v>
      </c>
      <c r="L10" s="6"/>
      <c r="V10" s="9"/>
    </row>
    <row r="11" spans="1:22">
      <c r="A11" s="1" t="s">
        <v>18</v>
      </c>
      <c r="B11" s="6">
        <v>0</v>
      </c>
      <c r="C11" s="1">
        <v>0</v>
      </c>
      <c r="D11" s="1">
        <v>0</v>
      </c>
      <c r="E11" s="1">
        <v>0</v>
      </c>
      <c r="F11" s="1">
        <v>0</v>
      </c>
      <c r="G11" s="9">
        <f>SUM(CO_FINANCIAL)</f>
        <v>0</v>
      </c>
      <c r="I11" s="13"/>
      <c r="J11" s="16"/>
      <c r="L11" s="6"/>
      <c r="V11" s="9"/>
    </row>
    <row r="12" spans="1:22">
      <c r="A12" s="1" t="s">
        <v>19</v>
      </c>
      <c r="B12" s="6">
        <v>0</v>
      </c>
      <c r="C12" s="1">
        <v>0</v>
      </c>
      <c r="D12" s="1">
        <v>9165</v>
      </c>
      <c r="E12" s="1">
        <v>0</v>
      </c>
      <c r="F12" s="1">
        <v>0</v>
      </c>
      <c r="G12" s="9">
        <f>SUM(CT_FINANCIAL)</f>
        <v>9165</v>
      </c>
      <c r="I12" s="13" t="s">
        <v>20</v>
      </c>
      <c r="J12" s="16"/>
      <c r="L12" s="6">
        <v>0</v>
      </c>
      <c r="M12" s="1">
        <v>0</v>
      </c>
      <c r="O12" s="1">
        <v>0</v>
      </c>
      <c r="P12" s="1">
        <v>0</v>
      </c>
      <c r="R12" s="1">
        <v>20000000</v>
      </c>
      <c r="S12" s="1">
        <v>0</v>
      </c>
      <c r="U12" s="1">
        <v>0</v>
      </c>
      <c r="V12" s="9">
        <v>0</v>
      </c>
    </row>
    <row r="13" spans="1:22">
      <c r="A13" s="1" t="s">
        <v>21</v>
      </c>
      <c r="B13" s="6">
        <v>0</v>
      </c>
      <c r="C13" s="1">
        <v>0</v>
      </c>
      <c r="D13" s="1">
        <v>0</v>
      </c>
      <c r="E13" s="1">
        <v>0</v>
      </c>
      <c r="F13" s="1">
        <v>0</v>
      </c>
      <c r="G13" s="9">
        <f>SUM(DE_FINANCIAL)</f>
        <v>0</v>
      </c>
      <c r="I13" s="13" t="s">
        <v>22</v>
      </c>
      <c r="J13" s="16">
        <v>17525761</v>
      </c>
      <c r="L13" s="6"/>
      <c r="V13" s="9"/>
    </row>
    <row r="14" spans="1:22">
      <c r="A14" s="1" t="s">
        <v>23</v>
      </c>
      <c r="B14" s="6">
        <v>0</v>
      </c>
      <c r="C14" s="1">
        <v>0</v>
      </c>
      <c r="D14" s="1">
        <v>0</v>
      </c>
      <c r="E14" s="1">
        <v>0</v>
      </c>
      <c r="F14" s="1">
        <v>0</v>
      </c>
      <c r="G14" s="9">
        <f>SUM(DC_FINANCIAL)</f>
        <v>0</v>
      </c>
      <c r="I14" s="13" t="s">
        <v>24</v>
      </c>
      <c r="J14" s="16">
        <v>385475</v>
      </c>
      <c r="L14" s="6"/>
      <c r="V14" s="9"/>
    </row>
    <row r="15" spans="1:22">
      <c r="A15" s="1" t="s">
        <v>25</v>
      </c>
      <c r="B15" s="6">
        <v>0</v>
      </c>
      <c r="C15" s="1">
        <v>0</v>
      </c>
      <c r="D15" s="1">
        <v>0</v>
      </c>
      <c r="E15" s="1">
        <v>0</v>
      </c>
      <c r="F15" s="1">
        <v>0</v>
      </c>
      <c r="G15" s="9">
        <f>SUM(FL_FINANCIAL)</f>
        <v>0</v>
      </c>
      <c r="I15" s="13" t="s">
        <v>26</v>
      </c>
      <c r="J15" s="16">
        <v>0</v>
      </c>
      <c r="L15" s="6"/>
      <c r="V15" s="9"/>
    </row>
    <row r="16" spans="1:22">
      <c r="A16" s="1" t="s">
        <v>27</v>
      </c>
      <c r="B16" s="6">
        <v>0</v>
      </c>
      <c r="C16" s="1">
        <v>0</v>
      </c>
      <c r="D16" s="1">
        <v>0</v>
      </c>
      <c r="E16" s="1">
        <v>0</v>
      </c>
      <c r="F16" s="1">
        <v>0</v>
      </c>
      <c r="G16" s="9">
        <f>SUM(GA_FINANCIAL)</f>
        <v>0</v>
      </c>
      <c r="I16" s="13" t="s">
        <v>28</v>
      </c>
      <c r="J16" s="16">
        <v>0</v>
      </c>
      <c r="L16" s="6"/>
      <c r="V16" s="9"/>
    </row>
    <row r="17" spans="1:22">
      <c r="A17" s="1" t="s">
        <v>29</v>
      </c>
      <c r="B17" s="6">
        <v>0</v>
      </c>
      <c r="C17" s="1">
        <v>0</v>
      </c>
      <c r="D17" s="1">
        <v>0</v>
      </c>
      <c r="E17" s="1">
        <v>0</v>
      </c>
      <c r="F17" s="1">
        <v>0</v>
      </c>
      <c r="G17" s="9">
        <f>SUM(HI_FINANCIAL)</f>
        <v>0</v>
      </c>
      <c r="I17" s="13"/>
      <c r="J17" s="16"/>
      <c r="L17" s="6"/>
      <c r="V17" s="9"/>
    </row>
    <row r="18" spans="1:22">
      <c r="A18" s="1" t="s">
        <v>30</v>
      </c>
      <c r="B18" s="6">
        <v>0</v>
      </c>
      <c r="C18" s="1">
        <v>0</v>
      </c>
      <c r="D18" s="1">
        <v>0</v>
      </c>
      <c r="E18" s="1">
        <v>0</v>
      </c>
      <c r="F18" s="1">
        <v>0</v>
      </c>
      <c r="G18" s="9">
        <f>SUM(ID_FINANCIAL)</f>
        <v>0</v>
      </c>
      <c r="I18" s="13" t="s">
        <v>31</v>
      </c>
      <c r="J18" s="16"/>
      <c r="L18" s="6"/>
      <c r="V18" s="9"/>
    </row>
    <row r="19" spans="1:22">
      <c r="A19" s="1" t="s">
        <v>32</v>
      </c>
      <c r="B19" s="6">
        <v>0</v>
      </c>
      <c r="C19" s="1">
        <v>0</v>
      </c>
      <c r="D19" s="1">
        <v>0</v>
      </c>
      <c r="E19" s="1">
        <v>0</v>
      </c>
      <c r="F19" s="1">
        <v>0</v>
      </c>
      <c r="G19" s="9">
        <f>SUM(IL_FINANCIAL)</f>
        <v>0</v>
      </c>
      <c r="I19" s="13" t="s">
        <v>33</v>
      </c>
      <c r="J19" s="16">
        <v>0</v>
      </c>
      <c r="L19" s="6"/>
      <c r="V19" s="9"/>
    </row>
    <row r="20" spans="1:22">
      <c r="A20" s="1" t="s">
        <v>34</v>
      </c>
      <c r="B20" s="6">
        <v>0</v>
      </c>
      <c r="C20" s="1">
        <v>0</v>
      </c>
      <c r="D20" s="1">
        <v>0</v>
      </c>
      <c r="E20" s="1">
        <v>0</v>
      </c>
      <c r="F20" s="1">
        <v>0</v>
      </c>
      <c r="G20" s="9">
        <f>SUM(IN_FINANCIAL)</f>
        <v>0</v>
      </c>
      <c r="I20" s="13" t="s">
        <v>35</v>
      </c>
      <c r="J20" s="16">
        <v>17363916</v>
      </c>
      <c r="L20" s="6"/>
      <c r="V20" s="9"/>
    </row>
    <row r="21" spans="1:22">
      <c r="A21" s="1" t="s">
        <v>36</v>
      </c>
      <c r="B21" s="6">
        <v>0</v>
      </c>
      <c r="C21" s="1">
        <v>0</v>
      </c>
      <c r="D21" s="1">
        <v>0</v>
      </c>
      <c r="E21" s="1">
        <v>0</v>
      </c>
      <c r="F21" s="1">
        <v>0</v>
      </c>
      <c r="G21" s="9">
        <f>SUM(IA_FINANCIAL)</f>
        <v>0</v>
      </c>
      <c r="I21" s="13" t="s">
        <v>37</v>
      </c>
      <c r="J21" s="16"/>
      <c r="L21" s="6"/>
      <c r="V21" s="9"/>
    </row>
    <row r="22" spans="1:22">
      <c r="A22" s="1" t="s">
        <v>38</v>
      </c>
      <c r="B22" s="6">
        <v>0</v>
      </c>
      <c r="C22" s="1">
        <v>0</v>
      </c>
      <c r="D22" s="1">
        <v>0</v>
      </c>
      <c r="E22" s="1">
        <v>0</v>
      </c>
      <c r="F22" s="1">
        <v>0</v>
      </c>
      <c r="G22" s="9">
        <f>SUM(KS_FINANCIAL)</f>
        <v>0</v>
      </c>
      <c r="I22" s="13" t="s">
        <v>39</v>
      </c>
      <c r="J22" s="16">
        <v>0</v>
      </c>
      <c r="L22" s="6"/>
      <c r="V22" s="9"/>
    </row>
    <row r="23" spans="1:22">
      <c r="A23" s="1" t="s">
        <v>40</v>
      </c>
      <c r="B23" s="6">
        <v>0</v>
      </c>
      <c r="C23" s="1">
        <v>0</v>
      </c>
      <c r="D23" s="1">
        <v>0</v>
      </c>
      <c r="E23" s="1">
        <v>0</v>
      </c>
      <c r="F23" s="1">
        <v>0</v>
      </c>
      <c r="G23" s="9">
        <f>SUM(KY_FINANCIAL)</f>
        <v>0</v>
      </c>
      <c r="I23" s="13" t="s">
        <v>41</v>
      </c>
      <c r="J23" s="16"/>
      <c r="L23" s="6"/>
      <c r="V23" s="9"/>
    </row>
    <row r="24" spans="1:22">
      <c r="A24" s="1" t="s">
        <v>42</v>
      </c>
      <c r="B24" s="6">
        <v>0</v>
      </c>
      <c r="C24" s="1">
        <v>0</v>
      </c>
      <c r="D24" s="1">
        <v>0</v>
      </c>
      <c r="E24" s="1">
        <v>0</v>
      </c>
      <c r="F24" s="1">
        <v>0</v>
      </c>
      <c r="G24" s="9">
        <f>SUM(LA_FINANCIAL)</f>
        <v>0</v>
      </c>
      <c r="I24" s="13" t="s">
        <v>43</v>
      </c>
      <c r="J24" s="16">
        <v>17902071</v>
      </c>
      <c r="L24" s="6"/>
      <c r="V24" s="9"/>
    </row>
    <row r="25" spans="1:22">
      <c r="A25" s="1" t="s">
        <v>44</v>
      </c>
      <c r="B25" s="6">
        <v>0</v>
      </c>
      <c r="C25" s="1">
        <v>0</v>
      </c>
      <c r="D25" s="1">
        <v>0</v>
      </c>
      <c r="E25" s="1">
        <v>0</v>
      </c>
      <c r="F25" s="1">
        <v>0</v>
      </c>
      <c r="G25" s="9">
        <f>SUM(ME_FINANCIAL)</f>
        <v>0</v>
      </c>
      <c r="I25" s="13"/>
      <c r="J25" s="16"/>
      <c r="L25" s="6"/>
      <c r="V25" s="9"/>
    </row>
    <row r="26" spans="1:22">
      <c r="A26" s="1" t="s">
        <v>45</v>
      </c>
      <c r="B26" s="6">
        <v>0</v>
      </c>
      <c r="C26" s="1">
        <v>0</v>
      </c>
      <c r="D26" s="1">
        <v>0</v>
      </c>
      <c r="E26" s="1">
        <v>0</v>
      </c>
      <c r="F26" s="1">
        <v>0</v>
      </c>
      <c r="G26" s="9">
        <f>SUM(MD_FINANCIAL)</f>
        <v>0</v>
      </c>
      <c r="I26" s="13" t="s">
        <v>46</v>
      </c>
      <c r="J26" s="16">
        <f>SUM(ADD_FINANCIAL)-SUM(LESS_FINANCIAL)</f>
        <v>9165</v>
      </c>
      <c r="L26" s="6"/>
      <c r="V26" s="9"/>
    </row>
    <row r="27" spans="1:22">
      <c r="A27" s="1" t="s">
        <v>47</v>
      </c>
      <c r="B27" s="6">
        <v>0</v>
      </c>
      <c r="C27" s="1">
        <v>0</v>
      </c>
      <c r="D27" s="1">
        <v>0</v>
      </c>
      <c r="E27" s="1">
        <v>0</v>
      </c>
      <c r="F27" s="1">
        <v>0</v>
      </c>
      <c r="G27" s="9">
        <f>SUM(MA_FINANCIAL)</f>
        <v>0</v>
      </c>
      <c r="I27" s="13" t="s">
        <v>48</v>
      </c>
      <c r="J27" s="16">
        <f>SUM(ALL_BLOCKS)</f>
        <v>9165</v>
      </c>
      <c r="L27" s="6"/>
      <c r="V27" s="9"/>
    </row>
    <row r="28" spans="1:22">
      <c r="A28" s="1" t="s">
        <v>49</v>
      </c>
      <c r="B28" s="6">
        <v>0</v>
      </c>
      <c r="C28" s="1">
        <v>0</v>
      </c>
      <c r="D28" s="1">
        <v>0</v>
      </c>
      <c r="E28" s="1">
        <v>0</v>
      </c>
      <c r="F28" s="1">
        <v>0</v>
      </c>
      <c r="G28" s="9">
        <f>SUM(MI_FINANCIAL)</f>
        <v>0</v>
      </c>
      <c r="I28" s="14"/>
      <c r="J28" s="17"/>
      <c r="L28" s="6"/>
      <c r="V28" s="9"/>
    </row>
    <row r="29" spans="1:22">
      <c r="A29" s="1" t="s">
        <v>50</v>
      </c>
      <c r="B29" s="6">
        <v>0</v>
      </c>
      <c r="C29" s="1">
        <v>0</v>
      </c>
      <c r="D29" s="1">
        <v>0</v>
      </c>
      <c r="E29" s="1">
        <v>0</v>
      </c>
      <c r="F29" s="1">
        <v>0</v>
      </c>
      <c r="G29" s="9">
        <f>SUM(MN_FINANCIAL)</f>
        <v>0</v>
      </c>
      <c r="L29" s="6"/>
      <c r="V29" s="9"/>
    </row>
    <row r="30" spans="1:22">
      <c r="A30" s="1" t="s">
        <v>51</v>
      </c>
      <c r="B30" s="6">
        <v>0</v>
      </c>
      <c r="C30" s="1">
        <v>0</v>
      </c>
      <c r="D30" s="1">
        <v>0</v>
      </c>
      <c r="E30" s="1">
        <v>0</v>
      </c>
      <c r="F30" s="1">
        <v>0</v>
      </c>
      <c r="G30" s="9">
        <f>SUM(MS_FINANCIAL)</f>
        <v>0</v>
      </c>
      <c r="L30" s="6"/>
      <c r="V30" s="9"/>
    </row>
    <row r="31" spans="1:22">
      <c r="A31" s="1" t="s">
        <v>52</v>
      </c>
      <c r="B31" s="6">
        <v>0</v>
      </c>
      <c r="C31" s="1">
        <v>0</v>
      </c>
      <c r="D31" s="1">
        <v>0</v>
      </c>
      <c r="E31" s="1">
        <v>0</v>
      </c>
      <c r="F31" s="1">
        <v>0</v>
      </c>
      <c r="G31" s="9">
        <f>SUM(MO_FINANCIAL)</f>
        <v>0</v>
      </c>
      <c r="L31" s="6"/>
      <c r="V31" s="9"/>
    </row>
    <row r="32" spans="1:22">
      <c r="A32" s="1" t="s">
        <v>53</v>
      </c>
      <c r="B32" s="6">
        <v>0</v>
      </c>
      <c r="C32" s="1">
        <v>0</v>
      </c>
      <c r="D32" s="1">
        <v>0</v>
      </c>
      <c r="E32" s="1">
        <v>0</v>
      </c>
      <c r="F32" s="1">
        <v>0</v>
      </c>
      <c r="G32" s="9">
        <f>SUM(MT_FINANCIAL)</f>
        <v>0</v>
      </c>
      <c r="L32" s="6"/>
      <c r="V32" s="9"/>
    </row>
    <row r="33" spans="1:22">
      <c r="A33" s="1" t="s">
        <v>54</v>
      </c>
      <c r="B33" s="6">
        <v>0</v>
      </c>
      <c r="C33" s="1">
        <v>0</v>
      </c>
      <c r="D33" s="1">
        <v>0</v>
      </c>
      <c r="E33" s="1">
        <v>0</v>
      </c>
      <c r="F33" s="1">
        <v>0</v>
      </c>
      <c r="G33" s="9">
        <f>SUM(NE_FINANCIAL)</f>
        <v>0</v>
      </c>
      <c r="L33" s="6"/>
      <c r="V33" s="9"/>
    </row>
    <row r="34" spans="1:22">
      <c r="A34" s="1" t="s">
        <v>55</v>
      </c>
      <c r="B34" s="6">
        <v>0</v>
      </c>
      <c r="C34" s="1">
        <v>0</v>
      </c>
      <c r="D34" s="1">
        <v>0</v>
      </c>
      <c r="E34" s="1">
        <v>0</v>
      </c>
      <c r="F34" s="1">
        <v>0</v>
      </c>
      <c r="G34" s="9">
        <f>SUM(NV_FINANCIAL)</f>
        <v>0</v>
      </c>
      <c r="L34" s="6"/>
      <c r="V34" s="9"/>
    </row>
    <row r="35" spans="1:22">
      <c r="A35" s="1" t="s">
        <v>56</v>
      </c>
      <c r="B35" s="6">
        <v>0</v>
      </c>
      <c r="C35" s="1">
        <v>0</v>
      </c>
      <c r="D35" s="1">
        <v>0</v>
      </c>
      <c r="E35" s="1">
        <v>0</v>
      </c>
      <c r="F35" s="1">
        <v>0</v>
      </c>
      <c r="G35" s="9">
        <f>SUM(NH_FINANCIAL)</f>
        <v>0</v>
      </c>
      <c r="L35" s="6"/>
      <c r="V35" s="9"/>
    </row>
    <row r="36" spans="1:22">
      <c r="A36" s="1" t="s">
        <v>57</v>
      </c>
      <c r="B36" s="6">
        <v>0</v>
      </c>
      <c r="C36" s="1">
        <v>0</v>
      </c>
      <c r="D36" s="1">
        <v>0</v>
      </c>
      <c r="E36" s="1">
        <v>0</v>
      </c>
      <c r="F36" s="1">
        <v>0</v>
      </c>
      <c r="G36" s="9">
        <f>SUM(NJ_FINANCIAL)</f>
        <v>0</v>
      </c>
      <c r="L36" s="6"/>
      <c r="V36" s="9"/>
    </row>
    <row r="37" spans="1:22">
      <c r="A37" s="1" t="s">
        <v>58</v>
      </c>
      <c r="B37" s="6">
        <v>0</v>
      </c>
      <c r="C37" s="1">
        <v>0</v>
      </c>
      <c r="D37" s="1">
        <v>0</v>
      </c>
      <c r="E37" s="1">
        <v>0</v>
      </c>
      <c r="F37" s="1">
        <v>0</v>
      </c>
      <c r="G37" s="9">
        <f>SUM(NM_FINANCIAL)</f>
        <v>0</v>
      </c>
      <c r="L37" s="6"/>
      <c r="V37" s="9"/>
    </row>
    <row r="38" spans="1:22">
      <c r="A38" s="1" t="s">
        <v>59</v>
      </c>
      <c r="B38" s="6">
        <v>0</v>
      </c>
      <c r="C38" s="1">
        <v>0</v>
      </c>
      <c r="D38" s="1">
        <v>0</v>
      </c>
      <c r="E38" s="1">
        <v>0</v>
      </c>
      <c r="F38" s="1">
        <v>0</v>
      </c>
      <c r="G38" s="9">
        <f>SUM(NY_FINANCIAL)</f>
        <v>0</v>
      </c>
      <c r="L38" s="6"/>
      <c r="V38" s="9"/>
    </row>
    <row r="39" spans="1:22">
      <c r="A39" s="1" t="s">
        <v>60</v>
      </c>
      <c r="B39" s="6">
        <v>0</v>
      </c>
      <c r="C39" s="1">
        <v>0</v>
      </c>
      <c r="D39" s="1">
        <v>0</v>
      </c>
      <c r="E39" s="1">
        <v>0</v>
      </c>
      <c r="F39" s="1">
        <v>0</v>
      </c>
      <c r="G39" s="9">
        <f>SUM(NC_FINANCIAL)</f>
        <v>0</v>
      </c>
      <c r="L39" s="6"/>
      <c r="V39" s="9"/>
    </row>
    <row r="40" spans="1:22">
      <c r="A40" s="1" t="s">
        <v>61</v>
      </c>
      <c r="B40" s="6">
        <v>0</v>
      </c>
      <c r="C40" s="1">
        <v>0</v>
      </c>
      <c r="D40" s="1">
        <v>0</v>
      </c>
      <c r="E40" s="1">
        <v>0</v>
      </c>
      <c r="F40" s="1">
        <v>0</v>
      </c>
      <c r="G40" s="9">
        <f>SUM(ND_FINANCIAL)</f>
        <v>0</v>
      </c>
      <c r="L40" s="6"/>
      <c r="V40" s="9"/>
    </row>
    <row r="41" spans="1:22">
      <c r="A41" s="1" t="s">
        <v>62</v>
      </c>
      <c r="B41" s="6">
        <v>0</v>
      </c>
      <c r="C41" s="1">
        <v>0</v>
      </c>
      <c r="D41" s="1">
        <v>0</v>
      </c>
      <c r="E41" s="1">
        <v>0</v>
      </c>
      <c r="F41" s="1">
        <v>0</v>
      </c>
      <c r="G41" s="9">
        <f>SUM(OH_FINANCIAL)</f>
        <v>0</v>
      </c>
      <c r="L41" s="6"/>
      <c r="V41" s="9"/>
    </row>
    <row r="42" spans="1:22">
      <c r="A42" s="1" t="s">
        <v>63</v>
      </c>
      <c r="B42" s="6">
        <v>0</v>
      </c>
      <c r="C42" s="1">
        <v>0</v>
      </c>
      <c r="D42" s="1">
        <v>0</v>
      </c>
      <c r="E42" s="1">
        <v>0</v>
      </c>
      <c r="F42" s="1">
        <v>0</v>
      </c>
      <c r="G42" s="9">
        <f>SUM(OK_FINANCIAL)</f>
        <v>0</v>
      </c>
      <c r="L42" s="6"/>
      <c r="V42" s="9"/>
    </row>
    <row r="43" spans="1:22">
      <c r="A43" s="1" t="s">
        <v>64</v>
      </c>
      <c r="B43" s="6">
        <v>0</v>
      </c>
      <c r="C43" s="1">
        <v>0</v>
      </c>
      <c r="D43" s="1">
        <v>0</v>
      </c>
      <c r="E43" s="1">
        <v>0</v>
      </c>
      <c r="F43" s="1">
        <v>0</v>
      </c>
      <c r="G43" s="9">
        <f>SUM(OR_FINANCIAL)</f>
        <v>0</v>
      </c>
      <c r="L43" s="6"/>
      <c r="V43" s="9"/>
    </row>
    <row r="44" spans="1:22">
      <c r="A44" s="1" t="s">
        <v>65</v>
      </c>
      <c r="B44" s="6">
        <v>0</v>
      </c>
      <c r="C44" s="1">
        <v>0</v>
      </c>
      <c r="D44" s="1">
        <v>0</v>
      </c>
      <c r="E44" s="1">
        <v>0</v>
      </c>
      <c r="F44" s="1">
        <v>0</v>
      </c>
      <c r="G44" s="9">
        <f>SUM(PA_FINANCIAL)</f>
        <v>0</v>
      </c>
      <c r="L44" s="6"/>
      <c r="V44" s="9"/>
    </row>
    <row r="45" spans="1:22">
      <c r="A45" s="1" t="s">
        <v>66</v>
      </c>
      <c r="B45" s="6">
        <v>0</v>
      </c>
      <c r="C45" s="1">
        <v>0</v>
      </c>
      <c r="D45" s="1">
        <v>0</v>
      </c>
      <c r="E45" s="1">
        <v>0</v>
      </c>
      <c r="F45" s="1">
        <v>0</v>
      </c>
      <c r="G45" s="9">
        <f>SUM(PR_FINANCIAL)</f>
        <v>0</v>
      </c>
      <c r="L45" s="6"/>
      <c r="V45" s="9"/>
    </row>
    <row r="46" spans="1:22">
      <c r="A46" s="1" t="s">
        <v>67</v>
      </c>
      <c r="B46" s="6">
        <v>0</v>
      </c>
      <c r="C46" s="1">
        <v>0</v>
      </c>
      <c r="D46" s="1">
        <v>0</v>
      </c>
      <c r="E46" s="1">
        <v>0</v>
      </c>
      <c r="F46" s="1">
        <v>0</v>
      </c>
      <c r="G46" s="9">
        <f>SUM(RI_FINANCIAL)</f>
        <v>0</v>
      </c>
      <c r="L46" s="6"/>
      <c r="V46" s="9"/>
    </row>
    <row r="47" spans="1:22">
      <c r="A47" s="1" t="s">
        <v>68</v>
      </c>
      <c r="B47" s="6">
        <v>0</v>
      </c>
      <c r="C47" s="1">
        <v>0</v>
      </c>
      <c r="D47" s="1">
        <v>0</v>
      </c>
      <c r="E47" s="1">
        <v>0</v>
      </c>
      <c r="F47" s="1">
        <v>0</v>
      </c>
      <c r="G47" s="9">
        <f>SUM(SC_FINANCIAL)</f>
        <v>0</v>
      </c>
      <c r="L47" s="6"/>
      <c r="V47" s="9"/>
    </row>
    <row r="48" spans="1:22">
      <c r="A48" s="1" t="s">
        <v>69</v>
      </c>
      <c r="B48" s="6">
        <v>0</v>
      </c>
      <c r="C48" s="1">
        <v>0</v>
      </c>
      <c r="D48" s="1">
        <v>0</v>
      </c>
      <c r="E48" s="1">
        <v>0</v>
      </c>
      <c r="F48" s="1">
        <v>0</v>
      </c>
      <c r="G48" s="9">
        <f>SUM(SD_FINANCIAL)</f>
        <v>0</v>
      </c>
      <c r="L48" s="6"/>
      <c r="V48" s="9"/>
    </row>
    <row r="49" spans="1:22">
      <c r="A49" s="1" t="s">
        <v>70</v>
      </c>
      <c r="B49" s="6">
        <v>0</v>
      </c>
      <c r="C49" s="1">
        <v>0</v>
      </c>
      <c r="D49" s="1">
        <v>0</v>
      </c>
      <c r="E49" s="1">
        <v>0</v>
      </c>
      <c r="F49" s="1">
        <v>0</v>
      </c>
      <c r="G49" s="9">
        <f>SUM(TN_FINANCIAL)</f>
        <v>0</v>
      </c>
      <c r="L49" s="6"/>
      <c r="V49" s="9"/>
    </row>
    <row r="50" spans="1:22">
      <c r="A50" s="1" t="s">
        <v>71</v>
      </c>
      <c r="B50" s="6">
        <v>0</v>
      </c>
      <c r="C50" s="1">
        <v>0</v>
      </c>
      <c r="D50" s="1">
        <v>0</v>
      </c>
      <c r="E50" s="1">
        <v>0</v>
      </c>
      <c r="F50" s="1">
        <v>0</v>
      </c>
      <c r="G50" s="9">
        <f>SUM(TX_FINANCIAL)</f>
        <v>0</v>
      </c>
      <c r="L50" s="6"/>
      <c r="V50" s="9"/>
    </row>
    <row r="51" spans="1:22">
      <c r="A51" s="1" t="s">
        <v>72</v>
      </c>
      <c r="B51" s="6">
        <v>0</v>
      </c>
      <c r="C51" s="1">
        <v>0</v>
      </c>
      <c r="D51" s="1">
        <v>0</v>
      </c>
      <c r="E51" s="1">
        <v>0</v>
      </c>
      <c r="F51" s="1">
        <v>0</v>
      </c>
      <c r="G51" s="9">
        <f>SUM(UT_FINANCIAL)</f>
        <v>0</v>
      </c>
      <c r="L51" s="6"/>
      <c r="V51" s="9"/>
    </row>
    <row r="52" spans="1:22">
      <c r="A52" s="1" t="s">
        <v>73</v>
      </c>
      <c r="B52" s="6">
        <v>0</v>
      </c>
      <c r="C52" s="1">
        <v>0</v>
      </c>
      <c r="D52" s="1">
        <v>0</v>
      </c>
      <c r="E52" s="1">
        <v>0</v>
      </c>
      <c r="F52" s="1">
        <v>0</v>
      </c>
      <c r="G52" s="9">
        <f>SUM(VT_FINANCIAL)</f>
        <v>0</v>
      </c>
      <c r="L52" s="6"/>
      <c r="V52" s="9"/>
    </row>
    <row r="53" spans="1:22">
      <c r="A53" s="1" t="s">
        <v>74</v>
      </c>
      <c r="B53" s="6">
        <v>0</v>
      </c>
      <c r="C53" s="1">
        <v>0</v>
      </c>
      <c r="D53" s="1">
        <v>0</v>
      </c>
      <c r="E53" s="1">
        <v>0</v>
      </c>
      <c r="F53" s="1">
        <v>0</v>
      </c>
      <c r="G53" s="9">
        <f>SUM(VA_FINANCIAL)</f>
        <v>0</v>
      </c>
      <c r="L53" s="6"/>
      <c r="V53" s="9"/>
    </row>
    <row r="54" spans="1:22">
      <c r="A54" s="1" t="s">
        <v>75</v>
      </c>
      <c r="B54" s="6">
        <v>0</v>
      </c>
      <c r="C54" s="1">
        <v>0</v>
      </c>
      <c r="D54" s="1">
        <v>0</v>
      </c>
      <c r="E54" s="1">
        <v>0</v>
      </c>
      <c r="F54" s="1">
        <v>0</v>
      </c>
      <c r="G54" s="9">
        <f>SUM(WA_FINANCIAL)</f>
        <v>0</v>
      </c>
      <c r="L54" s="6"/>
      <c r="V54" s="9"/>
    </row>
    <row r="55" spans="1:22">
      <c r="A55" s="1" t="s">
        <v>76</v>
      </c>
      <c r="B55" s="6">
        <v>0</v>
      </c>
      <c r="C55" s="1">
        <v>0</v>
      </c>
      <c r="D55" s="1">
        <v>0</v>
      </c>
      <c r="E55" s="1">
        <v>0</v>
      </c>
      <c r="F55" s="1">
        <v>0</v>
      </c>
      <c r="G55" s="9">
        <f>SUM(WV_FINANCIAL)</f>
        <v>0</v>
      </c>
      <c r="L55" s="6"/>
      <c r="V55" s="9"/>
    </row>
    <row r="56" spans="1:22">
      <c r="A56" s="1" t="s">
        <v>77</v>
      </c>
      <c r="B56" s="6">
        <v>0</v>
      </c>
      <c r="C56" s="1">
        <v>0</v>
      </c>
      <c r="D56" s="1">
        <v>0</v>
      </c>
      <c r="E56" s="1">
        <v>0</v>
      </c>
      <c r="F56" s="1">
        <v>0</v>
      </c>
      <c r="G56" s="9">
        <f>SUM(WI_FINANCIAL)</f>
        <v>0</v>
      </c>
      <c r="L56" s="6"/>
      <c r="V56" s="9"/>
    </row>
    <row r="57" spans="1:22">
      <c r="A57" s="1" t="s">
        <v>78</v>
      </c>
      <c r="B57" s="6">
        <v>0</v>
      </c>
      <c r="C57" s="1">
        <v>0</v>
      </c>
      <c r="D57" s="1">
        <v>0</v>
      </c>
      <c r="E57" s="1">
        <v>0</v>
      </c>
      <c r="F57" s="1">
        <v>0</v>
      </c>
      <c r="G57" s="9">
        <f>SUM(WY_FINANCIAL)</f>
        <v>0</v>
      </c>
      <c r="L57" s="6"/>
      <c r="V57" s="9"/>
    </row>
    <row r="58" spans="1:22">
      <c r="A58" s="1" t="s">
        <v>79</v>
      </c>
      <c r="B58" s="6">
        <v>0</v>
      </c>
      <c r="C58" s="1">
        <v>0</v>
      </c>
      <c r="D58" s="1">
        <v>0</v>
      </c>
      <c r="E58" s="1">
        <v>0</v>
      </c>
      <c r="F58" s="1">
        <v>0</v>
      </c>
      <c r="G58" s="9">
        <f>SUM(OT_FINANCIAL)</f>
        <v>0</v>
      </c>
      <c r="L58" s="6"/>
      <c r="V58" s="9"/>
    </row>
    <row r="59" spans="1:22">
      <c r="B59" s="6"/>
      <c r="G59" s="9"/>
      <c r="L59" s="6"/>
      <c r="V59" s="9"/>
    </row>
    <row r="60" spans="1:22">
      <c r="A60" s="1" t="s">
        <v>8</v>
      </c>
      <c r="B60" s="6">
        <f>SUM(LIFE)</f>
        <v>0</v>
      </c>
      <c r="C60" s="1">
        <f>SUM(ALLOCATED)</f>
        <v>0</v>
      </c>
      <c r="D60" s="1">
        <f>SUM(HEALTH)</f>
        <v>9165</v>
      </c>
      <c r="E60" s="1">
        <f>SUM(UNALLOCATED)</f>
        <v>0</v>
      </c>
      <c r="F60" s="1">
        <f>SUM(LTC)</f>
        <v>0</v>
      </c>
      <c r="G60" s="9">
        <f>SUM(ALL_BLOCKS)</f>
        <v>9165</v>
      </c>
      <c r="L60" s="6">
        <f>SUM(LIFE_CALLED)</f>
        <v>0</v>
      </c>
      <c r="M60" s="1">
        <f>SUM(LIFE_REFUNDED)</f>
        <v>0</v>
      </c>
      <c r="O60" s="1">
        <f>SUM(ALLOC_CALLED)</f>
        <v>0</v>
      </c>
      <c r="P60" s="1">
        <f>SUM(ALLOC_REFUNDED)</f>
        <v>0</v>
      </c>
      <c r="R60" s="1">
        <f>SUM(HEALTH_CALLED)</f>
        <v>20000000</v>
      </c>
      <c r="S60" s="1">
        <f>SUM(HEALTH_REFUNDED)</f>
        <v>0</v>
      </c>
      <c r="U60" s="1">
        <f>SUM(UNALLOC_CALLED)</f>
        <v>0</v>
      </c>
      <c r="V60" s="9">
        <f>SUM(UNALLOC_REFUNDED)</f>
        <v>0</v>
      </c>
    </row>
    <row r="61" spans="1:22" ht="5.0999999999999996" customHeight="1">
      <c r="B61" s="6"/>
      <c r="G61" s="9"/>
      <c r="L61" s="6"/>
      <c r="V61" s="9"/>
    </row>
    <row r="62" spans="1:22">
      <c r="B62" s="6"/>
      <c r="G62" s="9"/>
      <c r="L62" s="78" t="s">
        <v>80</v>
      </c>
      <c r="M62" s="79"/>
      <c r="N62" s="79"/>
      <c r="O62" s="79"/>
      <c r="P62" s="79"/>
      <c r="Q62" s="79"/>
      <c r="R62" s="79"/>
      <c r="S62" s="79"/>
      <c r="T62" s="79"/>
      <c r="U62" s="79"/>
      <c r="V62" s="80"/>
    </row>
    <row r="63" spans="1:22">
      <c r="B63" s="6"/>
      <c r="G63" s="9"/>
      <c r="L63" s="81"/>
      <c r="M63" s="79"/>
      <c r="N63" s="79"/>
      <c r="O63" s="79"/>
      <c r="P63" s="79"/>
      <c r="Q63" s="79"/>
      <c r="R63" s="79"/>
      <c r="S63" s="79"/>
      <c r="T63" s="79"/>
      <c r="U63" s="79"/>
      <c r="V63" s="80"/>
    </row>
    <row r="64" spans="1:22">
      <c r="B64" s="8"/>
      <c r="C64" s="5"/>
      <c r="D64" s="5"/>
      <c r="E64" s="5"/>
      <c r="F64" s="5"/>
      <c r="G64" s="11"/>
      <c r="L64" s="82"/>
      <c r="M64" s="83"/>
      <c r="N64" s="83"/>
      <c r="O64" s="83"/>
      <c r="P64" s="83"/>
      <c r="Q64" s="83"/>
      <c r="R64" s="83"/>
      <c r="S64" s="83"/>
      <c r="T64" s="83"/>
      <c r="U64" s="83"/>
      <c r="V64" s="84"/>
    </row>
  </sheetData>
  <mergeCells count="8">
    <mergeCell ref="L62:V64"/>
    <mergeCell ref="A1:G1"/>
    <mergeCell ref="B3:G3"/>
    <mergeCell ref="L3:V3"/>
    <mergeCell ref="L4:M4"/>
    <mergeCell ref="O4:P4"/>
    <mergeCell ref="R4:S4"/>
    <mergeCell ref="U4:V4"/>
  </mergeCells>
  <pageMargins left="0" right="0" top="0" bottom="0" header="0" footer="0"/>
  <pageSetup scale="4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V64"/>
  <sheetViews>
    <sheetView zoomScale="75" workbookViewId="0">
      <selection sqref="A1:G1"/>
    </sheetView>
  </sheetViews>
  <sheetFormatPr defaultColWidth="9.109375" defaultRowHeight="14.4"/>
  <cols>
    <col min="1" max="1" width="20" style="1" customWidth="1"/>
    <col min="2" max="7" width="15" style="1" customWidth="1"/>
    <col min="8" max="8" width="1" style="1" customWidth="1"/>
    <col min="9" max="9" width="30" style="1" customWidth="1"/>
    <col min="10" max="10" width="15" style="1" customWidth="1"/>
    <col min="11" max="11" width="1" style="1" customWidth="1"/>
    <col min="12" max="13" width="15" style="1" customWidth="1"/>
    <col min="14" max="14" width="1" style="1" customWidth="1"/>
    <col min="15" max="16" width="15" style="1" customWidth="1"/>
    <col min="17" max="17" width="1" style="1" customWidth="1"/>
    <col min="18" max="19" width="15" style="1" customWidth="1"/>
    <col min="20" max="20" width="1" style="1" customWidth="1"/>
    <col min="21" max="22" width="15" style="1" customWidth="1"/>
    <col min="23" max="23" width="9.109375" style="1" customWidth="1"/>
    <col min="24" max="16384" width="9.109375" style="1"/>
  </cols>
  <sheetData>
    <row r="1" spans="1:22">
      <c r="A1" s="85" t="s">
        <v>84</v>
      </c>
      <c r="B1" s="79"/>
      <c r="C1" s="79"/>
      <c r="D1" s="79"/>
      <c r="E1" s="79"/>
      <c r="F1" s="79"/>
      <c r="G1" s="79"/>
    </row>
    <row r="3" spans="1:22">
      <c r="B3" s="86" t="s">
        <v>1</v>
      </c>
      <c r="C3" s="87"/>
      <c r="D3" s="87"/>
      <c r="E3" s="87"/>
      <c r="F3" s="87"/>
      <c r="G3" s="88"/>
      <c r="L3" s="89" t="s">
        <v>2</v>
      </c>
      <c r="M3" s="90"/>
      <c r="N3" s="90"/>
      <c r="O3" s="90"/>
      <c r="P3" s="90"/>
      <c r="Q3" s="90"/>
      <c r="R3" s="90"/>
      <c r="S3" s="90"/>
      <c r="T3" s="90"/>
      <c r="U3" s="90"/>
      <c r="V3" s="91"/>
    </row>
    <row r="4" spans="1:22">
      <c r="B4" s="6"/>
      <c r="G4" s="9"/>
      <c r="L4" s="92" t="s">
        <v>3</v>
      </c>
      <c r="M4" s="93"/>
      <c r="N4" s="3"/>
      <c r="O4" s="94" t="s">
        <v>4</v>
      </c>
      <c r="P4" s="93"/>
      <c r="Q4" s="3"/>
      <c r="R4" s="94" t="s">
        <v>5</v>
      </c>
      <c r="S4" s="93"/>
      <c r="T4" s="3"/>
      <c r="U4" s="94" t="s">
        <v>6</v>
      </c>
      <c r="V4" s="95"/>
    </row>
    <row r="5" spans="1:22" ht="60" customHeight="1">
      <c r="B5" s="7" t="s">
        <v>3</v>
      </c>
      <c r="C5" s="4" t="s">
        <v>4</v>
      </c>
      <c r="D5" s="4" t="s">
        <v>5</v>
      </c>
      <c r="E5" s="4" t="s">
        <v>6</v>
      </c>
      <c r="F5" s="4" t="s">
        <v>7</v>
      </c>
      <c r="G5" s="10" t="s">
        <v>8</v>
      </c>
      <c r="L5" s="19" t="s">
        <v>9</v>
      </c>
      <c r="M5" s="18" t="s">
        <v>10</v>
      </c>
      <c r="N5" s="18"/>
      <c r="O5" s="18" t="s">
        <v>9</v>
      </c>
      <c r="P5" s="18" t="s">
        <v>10</v>
      </c>
      <c r="Q5" s="18"/>
      <c r="R5" s="18" t="s">
        <v>9</v>
      </c>
      <c r="S5" s="18" t="s">
        <v>10</v>
      </c>
      <c r="T5" s="18"/>
      <c r="U5" s="18" t="s">
        <v>9</v>
      </c>
      <c r="V5" s="20" t="s">
        <v>10</v>
      </c>
    </row>
    <row r="6" spans="1:22">
      <c r="A6" s="1" t="s">
        <v>11</v>
      </c>
      <c r="B6" s="6">
        <v>214086.0749677819</v>
      </c>
      <c r="C6" s="1">
        <v>4255264.8432068741</v>
      </c>
      <c r="D6" s="1">
        <v>105560.33514167285</v>
      </c>
      <c r="E6" s="1">
        <v>0</v>
      </c>
      <c r="F6" s="1">
        <v>0</v>
      </c>
      <c r="G6" s="9">
        <f>SUM(AL_FINANCIAL)</f>
        <v>4574911.2533163289</v>
      </c>
      <c r="L6" s="6"/>
      <c r="V6" s="9"/>
    </row>
    <row r="7" spans="1:22">
      <c r="A7" s="1" t="s">
        <v>12</v>
      </c>
      <c r="B7" s="6">
        <v>0</v>
      </c>
      <c r="C7" s="1">
        <v>0</v>
      </c>
      <c r="D7" s="1">
        <v>0</v>
      </c>
      <c r="E7" s="1">
        <v>0</v>
      </c>
      <c r="F7" s="1">
        <v>0</v>
      </c>
      <c r="G7" s="9">
        <f>SUM(AK_FINANCIAL)</f>
        <v>0</v>
      </c>
      <c r="I7" s="12"/>
      <c r="J7" s="15"/>
      <c r="L7" s="6"/>
      <c r="V7" s="9"/>
    </row>
    <row r="8" spans="1:22">
      <c r="A8" s="1" t="s">
        <v>13</v>
      </c>
      <c r="B8" s="6">
        <v>0</v>
      </c>
      <c r="C8" s="1">
        <v>0</v>
      </c>
      <c r="D8" s="1">
        <v>0</v>
      </c>
      <c r="E8" s="1">
        <v>0</v>
      </c>
      <c r="F8" s="1">
        <v>0</v>
      </c>
      <c r="G8" s="9">
        <f>SUM(AZ_FINANCIAL)</f>
        <v>0</v>
      </c>
      <c r="I8" s="13" t="s">
        <v>14</v>
      </c>
      <c r="J8" s="16"/>
      <c r="L8" s="6"/>
      <c r="V8" s="9"/>
    </row>
    <row r="9" spans="1:22">
      <c r="A9" s="1" t="s">
        <v>15</v>
      </c>
      <c r="B9" s="6">
        <v>0</v>
      </c>
      <c r="C9" s="1">
        <v>0</v>
      </c>
      <c r="D9" s="1">
        <v>0</v>
      </c>
      <c r="E9" s="1">
        <v>0</v>
      </c>
      <c r="F9" s="1">
        <v>0</v>
      </c>
      <c r="G9" s="9">
        <f>SUM(AR_FINANCIAL)</f>
        <v>0</v>
      </c>
      <c r="I9" s="13"/>
      <c r="J9" s="16"/>
      <c r="L9" s="6"/>
      <c r="V9" s="9"/>
    </row>
    <row r="10" spans="1:22">
      <c r="A10" s="1" t="s">
        <v>16</v>
      </c>
      <c r="B10" s="6">
        <v>0</v>
      </c>
      <c r="C10" s="1">
        <v>0</v>
      </c>
      <c r="D10" s="1">
        <v>0</v>
      </c>
      <c r="E10" s="1">
        <v>0</v>
      </c>
      <c r="F10" s="1">
        <v>0</v>
      </c>
      <c r="G10" s="9">
        <f>SUM(CA_FINANCIAL)</f>
        <v>0</v>
      </c>
      <c r="I10" s="13" t="s">
        <v>17</v>
      </c>
      <c r="J10" s="16">
        <v>4778293.5803646231</v>
      </c>
      <c r="L10" s="6"/>
      <c r="V10" s="9"/>
    </row>
    <row r="11" spans="1:22">
      <c r="A11" s="1" t="s">
        <v>18</v>
      </c>
      <c r="B11" s="6">
        <v>0</v>
      </c>
      <c r="C11" s="1">
        <v>0</v>
      </c>
      <c r="D11" s="1">
        <v>0</v>
      </c>
      <c r="E11" s="1">
        <v>0</v>
      </c>
      <c r="F11" s="1">
        <v>0</v>
      </c>
      <c r="G11" s="9">
        <f>SUM(CO_FINANCIAL)</f>
        <v>0</v>
      </c>
      <c r="I11" s="13"/>
      <c r="J11" s="16"/>
      <c r="L11" s="6"/>
      <c r="V11" s="9"/>
    </row>
    <row r="12" spans="1:22">
      <c r="A12" s="1" t="s">
        <v>19</v>
      </c>
      <c r="B12" s="6">
        <v>0</v>
      </c>
      <c r="C12" s="1">
        <v>0</v>
      </c>
      <c r="D12" s="1">
        <v>0</v>
      </c>
      <c r="E12" s="1">
        <v>0</v>
      </c>
      <c r="F12" s="1">
        <v>0</v>
      </c>
      <c r="G12" s="9">
        <f>SUM(CT_FINANCIAL)</f>
        <v>0</v>
      </c>
      <c r="I12" s="13" t="s">
        <v>20</v>
      </c>
      <c r="J12" s="16"/>
      <c r="L12" s="6"/>
      <c r="V12" s="9"/>
    </row>
    <row r="13" spans="1:22">
      <c r="A13" s="1" t="s">
        <v>21</v>
      </c>
      <c r="B13" s="6">
        <v>0</v>
      </c>
      <c r="C13" s="1">
        <v>0</v>
      </c>
      <c r="D13" s="1">
        <v>0</v>
      </c>
      <c r="E13" s="1">
        <v>0</v>
      </c>
      <c r="F13" s="1">
        <v>0</v>
      </c>
      <c r="G13" s="9">
        <f>SUM(DE_FINANCIAL)</f>
        <v>0</v>
      </c>
      <c r="I13" s="13" t="s">
        <v>22</v>
      </c>
      <c r="J13" s="16">
        <v>374183</v>
      </c>
      <c r="L13" s="6"/>
      <c r="V13" s="9"/>
    </row>
    <row r="14" spans="1:22">
      <c r="A14" s="1" t="s">
        <v>23</v>
      </c>
      <c r="B14" s="6">
        <v>0</v>
      </c>
      <c r="C14" s="1">
        <v>0</v>
      </c>
      <c r="D14" s="1">
        <v>0</v>
      </c>
      <c r="E14" s="1">
        <v>0</v>
      </c>
      <c r="F14" s="1">
        <v>0</v>
      </c>
      <c r="G14" s="9">
        <f>SUM(DC_FINANCIAL)</f>
        <v>0</v>
      </c>
      <c r="I14" s="13" t="s">
        <v>24</v>
      </c>
      <c r="J14" s="16">
        <v>412005.00000000006</v>
      </c>
      <c r="L14" s="6"/>
      <c r="V14" s="9"/>
    </row>
    <row r="15" spans="1:22">
      <c r="A15" s="1" t="s">
        <v>25</v>
      </c>
      <c r="B15" s="6">
        <v>0</v>
      </c>
      <c r="C15" s="1">
        <v>0</v>
      </c>
      <c r="D15" s="1">
        <v>0</v>
      </c>
      <c r="E15" s="1">
        <v>0</v>
      </c>
      <c r="F15" s="1">
        <v>0</v>
      </c>
      <c r="G15" s="9">
        <f>SUM(FL_FINANCIAL)</f>
        <v>0</v>
      </c>
      <c r="I15" s="13" t="s">
        <v>26</v>
      </c>
      <c r="J15" s="16">
        <v>167853.26999999996</v>
      </c>
      <c r="L15" s="6"/>
      <c r="V15" s="9"/>
    </row>
    <row r="16" spans="1:22">
      <c r="A16" s="1" t="s">
        <v>27</v>
      </c>
      <c r="B16" s="6">
        <v>792.75100591362991</v>
      </c>
      <c r="C16" s="1">
        <v>22231.240601101952</v>
      </c>
      <c r="D16" s="1">
        <v>202.34211864873166</v>
      </c>
      <c r="E16" s="1">
        <v>0</v>
      </c>
      <c r="F16" s="1">
        <v>0</v>
      </c>
      <c r="G16" s="9">
        <f>SUM(GA_FINANCIAL)</f>
        <v>23226.333725664314</v>
      </c>
      <c r="I16" s="13" t="s">
        <v>28</v>
      </c>
      <c r="J16" s="16">
        <v>0</v>
      </c>
      <c r="L16" s="6">
        <v>1024</v>
      </c>
      <c r="M16" s="1">
        <v>0</v>
      </c>
      <c r="O16" s="1">
        <v>28715</v>
      </c>
      <c r="P16" s="1">
        <v>1409.23</v>
      </c>
      <c r="R16" s="1">
        <v>0</v>
      </c>
      <c r="S16" s="1">
        <v>0</v>
      </c>
      <c r="U16" s="1">
        <v>0</v>
      </c>
      <c r="V16" s="9">
        <v>0</v>
      </c>
    </row>
    <row r="17" spans="1:22">
      <c r="A17" s="1" t="s">
        <v>29</v>
      </c>
      <c r="B17" s="6">
        <v>0</v>
      </c>
      <c r="C17" s="1">
        <v>0</v>
      </c>
      <c r="D17" s="1">
        <v>0</v>
      </c>
      <c r="E17" s="1">
        <v>0</v>
      </c>
      <c r="F17" s="1">
        <v>0</v>
      </c>
      <c r="G17" s="9">
        <f>SUM(HI_FINANCIAL)</f>
        <v>0</v>
      </c>
      <c r="I17" s="13"/>
      <c r="J17" s="16"/>
      <c r="L17" s="6"/>
      <c r="V17" s="9"/>
    </row>
    <row r="18" spans="1:22">
      <c r="A18" s="1" t="s">
        <v>30</v>
      </c>
      <c r="B18" s="6">
        <v>0</v>
      </c>
      <c r="C18" s="1">
        <v>0</v>
      </c>
      <c r="D18" s="1">
        <v>0</v>
      </c>
      <c r="E18" s="1">
        <v>0</v>
      </c>
      <c r="F18" s="1">
        <v>0</v>
      </c>
      <c r="G18" s="9">
        <f>SUM(ID_FINANCIAL)</f>
        <v>0</v>
      </c>
      <c r="I18" s="13" t="s">
        <v>31</v>
      </c>
      <c r="J18" s="16"/>
      <c r="L18" s="6"/>
      <c r="V18" s="9"/>
    </row>
    <row r="19" spans="1:22">
      <c r="A19" s="1" t="s">
        <v>32</v>
      </c>
      <c r="B19" s="6">
        <v>0</v>
      </c>
      <c r="C19" s="1">
        <v>0</v>
      </c>
      <c r="D19" s="1">
        <v>0</v>
      </c>
      <c r="E19" s="1">
        <v>0</v>
      </c>
      <c r="F19" s="1">
        <v>0</v>
      </c>
      <c r="G19" s="9">
        <f>SUM(IL_FINANCIAL)</f>
        <v>0</v>
      </c>
      <c r="I19" s="13" t="s">
        <v>33</v>
      </c>
      <c r="J19" s="16">
        <v>399999.99999999994</v>
      </c>
      <c r="L19" s="6"/>
      <c r="V19" s="9"/>
    </row>
    <row r="20" spans="1:22">
      <c r="A20" s="1" t="s">
        <v>34</v>
      </c>
      <c r="B20" s="6">
        <v>0</v>
      </c>
      <c r="C20" s="1">
        <v>0</v>
      </c>
      <c r="D20" s="1">
        <v>0</v>
      </c>
      <c r="E20" s="1">
        <v>0</v>
      </c>
      <c r="F20" s="1">
        <v>0</v>
      </c>
      <c r="G20" s="9">
        <f>SUM(IN_FINANCIAL)</f>
        <v>0</v>
      </c>
      <c r="I20" s="13" t="s">
        <v>35</v>
      </c>
      <c r="J20" s="16">
        <v>-807666.41963537748</v>
      </c>
      <c r="L20" s="6"/>
      <c r="V20" s="9"/>
    </row>
    <row r="21" spans="1:22">
      <c r="A21" s="1" t="s">
        <v>36</v>
      </c>
      <c r="B21" s="6">
        <v>0</v>
      </c>
      <c r="C21" s="1">
        <v>0</v>
      </c>
      <c r="D21" s="1">
        <v>0</v>
      </c>
      <c r="E21" s="1">
        <v>0</v>
      </c>
      <c r="F21" s="1">
        <v>0</v>
      </c>
      <c r="G21" s="9">
        <f>SUM(IA_FINANCIAL)</f>
        <v>0</v>
      </c>
      <c r="I21" s="13" t="s">
        <v>37</v>
      </c>
      <c r="J21" s="16"/>
      <c r="L21" s="6"/>
      <c r="V21" s="9"/>
    </row>
    <row r="22" spans="1:22">
      <c r="A22" s="1" t="s">
        <v>38</v>
      </c>
      <c r="B22" s="6">
        <v>0</v>
      </c>
      <c r="C22" s="1">
        <v>0</v>
      </c>
      <c r="D22" s="1">
        <v>0</v>
      </c>
      <c r="E22" s="1">
        <v>0</v>
      </c>
      <c r="F22" s="1">
        <v>0</v>
      </c>
      <c r="G22" s="9">
        <f>SUM(KS_FINANCIAL)</f>
        <v>0</v>
      </c>
      <c r="I22" s="13" t="s">
        <v>39</v>
      </c>
      <c r="J22" s="16">
        <v>328371</v>
      </c>
      <c r="L22" s="6"/>
      <c r="V22" s="9"/>
    </row>
    <row r="23" spans="1:22">
      <c r="A23" s="1" t="s">
        <v>40</v>
      </c>
      <c r="B23" s="6">
        <v>0</v>
      </c>
      <c r="C23" s="1">
        <v>0</v>
      </c>
      <c r="D23" s="1">
        <v>0</v>
      </c>
      <c r="E23" s="1">
        <v>0</v>
      </c>
      <c r="F23" s="1">
        <v>0</v>
      </c>
      <c r="G23" s="9">
        <f>SUM(KY_FINANCIAL)</f>
        <v>0</v>
      </c>
      <c r="I23" s="13" t="s">
        <v>41</v>
      </c>
      <c r="J23" s="16"/>
      <c r="L23" s="6"/>
      <c r="V23" s="9"/>
    </row>
    <row r="24" spans="1:22">
      <c r="A24" s="1" t="s">
        <v>42</v>
      </c>
      <c r="B24" s="6">
        <v>12717.55233801432</v>
      </c>
      <c r="C24" s="1">
        <v>314742.78118757741</v>
      </c>
      <c r="D24" s="1">
        <v>4057.3494324152407</v>
      </c>
      <c r="E24" s="1">
        <v>0</v>
      </c>
      <c r="F24" s="1">
        <v>0</v>
      </c>
      <c r="G24" s="9">
        <f>SUM(LA_FINANCIAL)</f>
        <v>331517.68295800692</v>
      </c>
      <c r="I24" s="13" t="s">
        <v>43</v>
      </c>
      <c r="J24" s="16">
        <v>881975</v>
      </c>
      <c r="L24" s="6">
        <v>18000</v>
      </c>
      <c r="M24" s="1">
        <v>0</v>
      </c>
      <c r="O24" s="1">
        <v>256268</v>
      </c>
      <c r="P24" s="1">
        <v>0</v>
      </c>
      <c r="R24" s="1">
        <v>7000</v>
      </c>
      <c r="S24" s="1">
        <v>0</v>
      </c>
      <c r="U24" s="1">
        <v>0</v>
      </c>
      <c r="V24" s="9">
        <v>0</v>
      </c>
    </row>
    <row r="25" spans="1:22">
      <c r="A25" s="1" t="s">
        <v>44</v>
      </c>
      <c r="B25" s="6">
        <v>0</v>
      </c>
      <c r="C25" s="1">
        <v>0</v>
      </c>
      <c r="D25" s="1">
        <v>0</v>
      </c>
      <c r="E25" s="1">
        <v>0</v>
      </c>
      <c r="F25" s="1">
        <v>0</v>
      </c>
      <c r="G25" s="9">
        <f>SUM(ME_FINANCIAL)</f>
        <v>0</v>
      </c>
      <c r="I25" s="13"/>
      <c r="J25" s="16"/>
      <c r="L25" s="6"/>
      <c r="V25" s="9"/>
    </row>
    <row r="26" spans="1:22">
      <c r="A26" s="1" t="s">
        <v>45</v>
      </c>
      <c r="B26" s="6">
        <v>0</v>
      </c>
      <c r="C26" s="1">
        <v>0</v>
      </c>
      <c r="D26" s="1">
        <v>0</v>
      </c>
      <c r="E26" s="1">
        <v>0</v>
      </c>
      <c r="F26" s="1">
        <v>0</v>
      </c>
      <c r="G26" s="9">
        <f>SUM(MD_FINANCIAL)</f>
        <v>0</v>
      </c>
      <c r="I26" s="13" t="s">
        <v>46</v>
      </c>
      <c r="J26" s="16">
        <f>SUM(ADD_FINANCIAL)-SUM(LESS_FINANCIAL)</f>
        <v>4929655.2700000005</v>
      </c>
      <c r="L26" s="6"/>
      <c r="V26" s="9"/>
    </row>
    <row r="27" spans="1:22">
      <c r="A27" s="1" t="s">
        <v>47</v>
      </c>
      <c r="B27" s="6">
        <v>0</v>
      </c>
      <c r="C27" s="1">
        <v>0</v>
      </c>
      <c r="D27" s="1">
        <v>0</v>
      </c>
      <c r="E27" s="1">
        <v>0</v>
      </c>
      <c r="F27" s="1">
        <v>0</v>
      </c>
      <c r="G27" s="9">
        <f>SUM(MA_FINANCIAL)</f>
        <v>0</v>
      </c>
      <c r="I27" s="13" t="s">
        <v>48</v>
      </c>
      <c r="J27" s="16">
        <f>SUM(ALL_BLOCKS)</f>
        <v>4929655.2700000005</v>
      </c>
      <c r="L27" s="6"/>
      <c r="V27" s="9"/>
    </row>
    <row r="28" spans="1:22">
      <c r="A28" s="1" t="s">
        <v>49</v>
      </c>
      <c r="B28" s="6">
        <v>0</v>
      </c>
      <c r="C28" s="1">
        <v>0</v>
      </c>
      <c r="D28" s="1">
        <v>0</v>
      </c>
      <c r="E28" s="1">
        <v>0</v>
      </c>
      <c r="F28" s="1">
        <v>0</v>
      </c>
      <c r="G28" s="9">
        <f>SUM(MI_FINANCIAL)</f>
        <v>0</v>
      </c>
      <c r="I28" s="14"/>
      <c r="J28" s="17"/>
      <c r="L28" s="6"/>
      <c r="V28" s="9"/>
    </row>
    <row r="29" spans="1:22">
      <c r="A29" s="1" t="s">
        <v>50</v>
      </c>
      <c r="B29" s="6">
        <v>0</v>
      </c>
      <c r="C29" s="1">
        <v>0</v>
      </c>
      <c r="D29" s="1">
        <v>0</v>
      </c>
      <c r="E29" s="1">
        <v>0</v>
      </c>
      <c r="F29" s="1">
        <v>0</v>
      </c>
      <c r="G29" s="9">
        <f>SUM(MN_FINANCIAL)</f>
        <v>0</v>
      </c>
      <c r="L29" s="6"/>
      <c r="V29" s="9"/>
    </row>
    <row r="30" spans="1:22">
      <c r="A30" s="1" t="s">
        <v>51</v>
      </c>
      <c r="B30" s="6">
        <v>0</v>
      </c>
      <c r="C30" s="1">
        <v>0</v>
      </c>
      <c r="D30" s="1">
        <v>0</v>
      </c>
      <c r="E30" s="1">
        <v>0</v>
      </c>
      <c r="F30" s="1">
        <v>0</v>
      </c>
      <c r="G30" s="9">
        <f>SUM(MS_FINANCIAL)</f>
        <v>0</v>
      </c>
      <c r="L30" s="6"/>
      <c r="V30" s="9"/>
    </row>
    <row r="31" spans="1:22">
      <c r="A31" s="1" t="s">
        <v>52</v>
      </c>
      <c r="B31" s="6">
        <v>0</v>
      </c>
      <c r="C31" s="1">
        <v>0</v>
      </c>
      <c r="D31" s="1">
        <v>0</v>
      </c>
      <c r="E31" s="1">
        <v>0</v>
      </c>
      <c r="F31" s="1">
        <v>0</v>
      </c>
      <c r="G31" s="9">
        <f>SUM(MO_FINANCIAL)</f>
        <v>0</v>
      </c>
      <c r="L31" s="6"/>
      <c r="V31" s="9"/>
    </row>
    <row r="32" spans="1:22">
      <c r="A32" s="1" t="s">
        <v>53</v>
      </c>
      <c r="B32" s="6">
        <v>0</v>
      </c>
      <c r="C32" s="1">
        <v>0</v>
      </c>
      <c r="D32" s="1">
        <v>0</v>
      </c>
      <c r="E32" s="1">
        <v>0</v>
      </c>
      <c r="F32" s="1">
        <v>0</v>
      </c>
      <c r="G32" s="9">
        <f>SUM(MT_FINANCIAL)</f>
        <v>0</v>
      </c>
      <c r="L32" s="6"/>
      <c r="V32" s="9"/>
    </row>
    <row r="33" spans="1:22">
      <c r="A33" s="1" t="s">
        <v>54</v>
      </c>
      <c r="B33" s="6">
        <v>0</v>
      </c>
      <c r="C33" s="1">
        <v>0</v>
      </c>
      <c r="D33" s="1">
        <v>0</v>
      </c>
      <c r="E33" s="1">
        <v>0</v>
      </c>
      <c r="F33" s="1">
        <v>0</v>
      </c>
      <c r="G33" s="9">
        <f>SUM(NE_FINANCIAL)</f>
        <v>0</v>
      </c>
      <c r="L33" s="6"/>
      <c r="V33" s="9"/>
    </row>
    <row r="34" spans="1:22">
      <c r="A34" s="1" t="s">
        <v>55</v>
      </c>
      <c r="B34" s="6">
        <v>0</v>
      </c>
      <c r="C34" s="1">
        <v>0</v>
      </c>
      <c r="D34" s="1">
        <v>0</v>
      </c>
      <c r="E34" s="1">
        <v>0</v>
      </c>
      <c r="F34" s="1">
        <v>0</v>
      </c>
      <c r="G34" s="9">
        <f>SUM(NV_FINANCIAL)</f>
        <v>0</v>
      </c>
      <c r="L34" s="6"/>
      <c r="V34" s="9"/>
    </row>
    <row r="35" spans="1:22">
      <c r="A35" s="1" t="s">
        <v>56</v>
      </c>
      <c r="B35" s="6">
        <v>0</v>
      </c>
      <c r="C35" s="1">
        <v>0</v>
      </c>
      <c r="D35" s="1">
        <v>0</v>
      </c>
      <c r="E35" s="1">
        <v>0</v>
      </c>
      <c r="F35" s="1">
        <v>0</v>
      </c>
      <c r="G35" s="9">
        <f>SUM(NH_FINANCIAL)</f>
        <v>0</v>
      </c>
      <c r="L35" s="6"/>
      <c r="V35" s="9"/>
    </row>
    <row r="36" spans="1:22">
      <c r="A36" s="1" t="s">
        <v>57</v>
      </c>
      <c r="B36" s="6">
        <v>0</v>
      </c>
      <c r="C36" s="1">
        <v>0</v>
      </c>
      <c r="D36" s="1">
        <v>0</v>
      </c>
      <c r="E36" s="1">
        <v>0</v>
      </c>
      <c r="F36" s="1">
        <v>0</v>
      </c>
      <c r="G36" s="9">
        <f>SUM(NJ_FINANCIAL)</f>
        <v>0</v>
      </c>
      <c r="L36" s="6"/>
      <c r="V36" s="9"/>
    </row>
    <row r="37" spans="1:22">
      <c r="A37" s="1" t="s">
        <v>58</v>
      </c>
      <c r="B37" s="6">
        <v>0</v>
      </c>
      <c r="C37" s="1">
        <v>0</v>
      </c>
      <c r="D37" s="1">
        <v>0</v>
      </c>
      <c r="E37" s="1">
        <v>0</v>
      </c>
      <c r="F37" s="1">
        <v>0</v>
      </c>
      <c r="G37" s="9">
        <f>SUM(NM_FINANCIAL)</f>
        <v>0</v>
      </c>
      <c r="L37" s="6"/>
      <c r="V37" s="9"/>
    </row>
    <row r="38" spans="1:22">
      <c r="A38" s="1" t="s">
        <v>59</v>
      </c>
      <c r="B38" s="6">
        <v>0</v>
      </c>
      <c r="C38" s="1">
        <v>0</v>
      </c>
      <c r="D38" s="1">
        <v>0</v>
      </c>
      <c r="E38" s="1">
        <v>0</v>
      </c>
      <c r="F38" s="1">
        <v>0</v>
      </c>
      <c r="G38" s="9">
        <f>SUM(NY_FINANCIAL)</f>
        <v>0</v>
      </c>
      <c r="L38" s="6"/>
      <c r="V38" s="9"/>
    </row>
    <row r="39" spans="1:22">
      <c r="A39" s="1" t="s">
        <v>60</v>
      </c>
      <c r="B39" s="6">
        <v>0</v>
      </c>
      <c r="C39" s="1">
        <v>0</v>
      </c>
      <c r="D39" s="1">
        <v>0</v>
      </c>
      <c r="E39" s="1">
        <v>0</v>
      </c>
      <c r="F39" s="1">
        <v>0</v>
      </c>
      <c r="G39" s="9">
        <f>SUM(NC_FINANCIAL)</f>
        <v>0</v>
      </c>
      <c r="L39" s="6"/>
      <c r="V39" s="9"/>
    </row>
    <row r="40" spans="1:22">
      <c r="A40" s="1" t="s">
        <v>61</v>
      </c>
      <c r="B40" s="6">
        <v>0</v>
      </c>
      <c r="C40" s="1">
        <v>0</v>
      </c>
      <c r="D40" s="1">
        <v>0</v>
      </c>
      <c r="E40" s="1">
        <v>0</v>
      </c>
      <c r="F40" s="1">
        <v>0</v>
      </c>
      <c r="G40" s="9">
        <f>SUM(ND_FINANCIAL)</f>
        <v>0</v>
      </c>
      <c r="L40" s="6"/>
      <c r="V40" s="9"/>
    </row>
    <row r="41" spans="1:22">
      <c r="A41" s="1" t="s">
        <v>62</v>
      </c>
      <c r="B41" s="6">
        <v>0</v>
      </c>
      <c r="C41" s="1">
        <v>0</v>
      </c>
      <c r="D41" s="1">
        <v>0</v>
      </c>
      <c r="E41" s="1">
        <v>0</v>
      </c>
      <c r="F41" s="1">
        <v>0</v>
      </c>
      <c r="G41" s="9">
        <f>SUM(OH_FINANCIAL)</f>
        <v>0</v>
      </c>
      <c r="L41" s="6"/>
      <c r="V41" s="9"/>
    </row>
    <row r="42" spans="1:22">
      <c r="A42" s="1" t="s">
        <v>63</v>
      </c>
      <c r="B42" s="6">
        <v>0</v>
      </c>
      <c r="C42" s="1">
        <v>0</v>
      </c>
      <c r="D42" s="1">
        <v>0</v>
      </c>
      <c r="E42" s="1">
        <v>0</v>
      </c>
      <c r="F42" s="1">
        <v>0</v>
      </c>
      <c r="G42" s="9">
        <f>SUM(OK_FINANCIAL)</f>
        <v>0</v>
      </c>
      <c r="L42" s="6"/>
      <c r="V42" s="9"/>
    </row>
    <row r="43" spans="1:22">
      <c r="A43" s="1" t="s">
        <v>64</v>
      </c>
      <c r="B43" s="6">
        <v>0</v>
      </c>
      <c r="C43" s="1">
        <v>0</v>
      </c>
      <c r="D43" s="1">
        <v>0</v>
      </c>
      <c r="E43" s="1">
        <v>0</v>
      </c>
      <c r="F43" s="1">
        <v>0</v>
      </c>
      <c r="G43" s="9">
        <f>SUM(OR_FINANCIAL)</f>
        <v>0</v>
      </c>
      <c r="L43" s="6"/>
      <c r="V43" s="9"/>
    </row>
    <row r="44" spans="1:22">
      <c r="A44" s="1" t="s">
        <v>65</v>
      </c>
      <c r="B44" s="6">
        <v>0</v>
      </c>
      <c r="C44" s="1">
        <v>0</v>
      </c>
      <c r="D44" s="1">
        <v>0</v>
      </c>
      <c r="E44" s="1">
        <v>0</v>
      </c>
      <c r="F44" s="1">
        <v>0</v>
      </c>
      <c r="G44" s="9">
        <f>SUM(PA_FINANCIAL)</f>
        <v>0</v>
      </c>
      <c r="L44" s="6"/>
      <c r="V44" s="9"/>
    </row>
    <row r="45" spans="1:22">
      <c r="A45" s="1" t="s">
        <v>66</v>
      </c>
      <c r="B45" s="6">
        <v>0</v>
      </c>
      <c r="C45" s="1">
        <v>0</v>
      </c>
      <c r="D45" s="1">
        <v>0</v>
      </c>
      <c r="E45" s="1">
        <v>0</v>
      </c>
      <c r="F45" s="1">
        <v>0</v>
      </c>
      <c r="G45" s="9">
        <f>SUM(PR_FINANCIAL)</f>
        <v>0</v>
      </c>
      <c r="L45" s="6"/>
      <c r="V45" s="9"/>
    </row>
    <row r="46" spans="1:22">
      <c r="A46" s="1" t="s">
        <v>67</v>
      </c>
      <c r="B46" s="6">
        <v>0</v>
      </c>
      <c r="C46" s="1">
        <v>0</v>
      </c>
      <c r="D46" s="1">
        <v>0</v>
      </c>
      <c r="E46" s="1">
        <v>0</v>
      </c>
      <c r="F46" s="1">
        <v>0</v>
      </c>
      <c r="G46" s="9">
        <f>SUM(RI_FINANCIAL)</f>
        <v>0</v>
      </c>
      <c r="L46" s="6"/>
      <c r="V46" s="9"/>
    </row>
    <row r="47" spans="1:22">
      <c r="A47" s="1" t="s">
        <v>68</v>
      </c>
      <c r="B47" s="6">
        <v>0</v>
      </c>
      <c r="C47" s="1">
        <v>0</v>
      </c>
      <c r="D47" s="1">
        <v>0</v>
      </c>
      <c r="E47" s="1">
        <v>0</v>
      </c>
      <c r="F47" s="1">
        <v>0</v>
      </c>
      <c r="G47" s="9">
        <f>SUM(SC_FINANCIAL)</f>
        <v>0</v>
      </c>
      <c r="L47" s="6"/>
      <c r="V47" s="9"/>
    </row>
    <row r="48" spans="1:22">
      <c r="A48" s="1" t="s">
        <v>69</v>
      </c>
      <c r="B48" s="6">
        <v>0</v>
      </c>
      <c r="C48" s="1">
        <v>0</v>
      </c>
      <c r="D48" s="1">
        <v>0</v>
      </c>
      <c r="E48" s="1">
        <v>0</v>
      </c>
      <c r="F48" s="1">
        <v>0</v>
      </c>
      <c r="G48" s="9">
        <f>SUM(SD_FINANCIAL)</f>
        <v>0</v>
      </c>
      <c r="L48" s="6"/>
      <c r="V48" s="9"/>
    </row>
    <row r="49" spans="1:22">
      <c r="A49" s="1" t="s">
        <v>70</v>
      </c>
      <c r="B49" s="6">
        <v>0</v>
      </c>
      <c r="C49" s="1">
        <v>0</v>
      </c>
      <c r="D49" s="1">
        <v>0</v>
      </c>
      <c r="E49" s="1">
        <v>0</v>
      </c>
      <c r="F49" s="1">
        <v>0</v>
      </c>
      <c r="G49" s="9">
        <f>SUM(TN_FINANCIAL)</f>
        <v>0</v>
      </c>
      <c r="L49" s="6"/>
      <c r="V49" s="9"/>
    </row>
    <row r="50" spans="1:22">
      <c r="A50" s="1" t="s">
        <v>71</v>
      </c>
      <c r="B50" s="6">
        <v>0</v>
      </c>
      <c r="C50" s="1">
        <v>0</v>
      </c>
      <c r="D50" s="1">
        <v>0</v>
      </c>
      <c r="E50" s="1">
        <v>0</v>
      </c>
      <c r="F50" s="1">
        <v>0</v>
      </c>
      <c r="G50" s="9">
        <f>SUM(TX_FINANCIAL)</f>
        <v>0</v>
      </c>
      <c r="L50" s="6"/>
      <c r="V50" s="9"/>
    </row>
    <row r="51" spans="1:22">
      <c r="A51" s="1" t="s">
        <v>72</v>
      </c>
      <c r="B51" s="6">
        <v>0</v>
      </c>
      <c r="C51" s="1">
        <v>0</v>
      </c>
      <c r="D51" s="1">
        <v>0</v>
      </c>
      <c r="E51" s="1">
        <v>0</v>
      </c>
      <c r="F51" s="1">
        <v>0</v>
      </c>
      <c r="G51" s="9">
        <f>SUM(UT_FINANCIAL)</f>
        <v>0</v>
      </c>
      <c r="L51" s="6"/>
      <c r="V51" s="9"/>
    </row>
    <row r="52" spans="1:22">
      <c r="A52" s="1" t="s">
        <v>73</v>
      </c>
      <c r="B52" s="6">
        <v>0</v>
      </c>
      <c r="C52" s="1">
        <v>0</v>
      </c>
      <c r="D52" s="1">
        <v>0</v>
      </c>
      <c r="E52" s="1">
        <v>0</v>
      </c>
      <c r="F52" s="1">
        <v>0</v>
      </c>
      <c r="G52" s="9">
        <f>SUM(VT_FINANCIAL)</f>
        <v>0</v>
      </c>
      <c r="L52" s="6"/>
      <c r="V52" s="9"/>
    </row>
    <row r="53" spans="1:22">
      <c r="A53" s="1" t="s">
        <v>74</v>
      </c>
      <c r="B53" s="6">
        <v>0</v>
      </c>
      <c r="C53" s="1">
        <v>0</v>
      </c>
      <c r="D53" s="1">
        <v>0</v>
      </c>
      <c r="E53" s="1">
        <v>0</v>
      </c>
      <c r="F53" s="1">
        <v>0</v>
      </c>
      <c r="G53" s="9">
        <f>SUM(VA_FINANCIAL)</f>
        <v>0</v>
      </c>
      <c r="L53" s="6"/>
      <c r="V53" s="9"/>
    </row>
    <row r="54" spans="1:22">
      <c r="A54" s="1" t="s">
        <v>75</v>
      </c>
      <c r="B54" s="6">
        <v>0</v>
      </c>
      <c r="C54" s="1">
        <v>0</v>
      </c>
      <c r="D54" s="1">
        <v>0</v>
      </c>
      <c r="E54" s="1">
        <v>0</v>
      </c>
      <c r="F54" s="1">
        <v>0</v>
      </c>
      <c r="G54" s="9">
        <f>SUM(WA_FINANCIAL)</f>
        <v>0</v>
      </c>
      <c r="L54" s="6"/>
      <c r="V54" s="9"/>
    </row>
    <row r="55" spans="1:22">
      <c r="A55" s="1" t="s">
        <v>76</v>
      </c>
      <c r="B55" s="6">
        <v>0</v>
      </c>
      <c r="C55" s="1">
        <v>0</v>
      </c>
      <c r="D55" s="1">
        <v>0</v>
      </c>
      <c r="E55" s="1">
        <v>0</v>
      </c>
      <c r="F55" s="1">
        <v>0</v>
      </c>
      <c r="G55" s="9">
        <f>SUM(WV_FINANCIAL)</f>
        <v>0</v>
      </c>
      <c r="L55" s="6"/>
      <c r="V55" s="9"/>
    </row>
    <row r="56" spans="1:22">
      <c r="A56" s="1" t="s">
        <v>77</v>
      </c>
      <c r="B56" s="6">
        <v>0</v>
      </c>
      <c r="C56" s="1">
        <v>0</v>
      </c>
      <c r="D56" s="1">
        <v>0</v>
      </c>
      <c r="E56" s="1">
        <v>0</v>
      </c>
      <c r="F56" s="1">
        <v>0</v>
      </c>
      <c r="G56" s="9">
        <f>SUM(WI_FINANCIAL)</f>
        <v>0</v>
      </c>
      <c r="L56" s="6"/>
      <c r="V56" s="9"/>
    </row>
    <row r="57" spans="1:22">
      <c r="A57" s="1" t="s">
        <v>78</v>
      </c>
      <c r="B57" s="6">
        <v>0</v>
      </c>
      <c r="C57" s="1">
        <v>0</v>
      </c>
      <c r="D57" s="1">
        <v>0</v>
      </c>
      <c r="E57" s="1">
        <v>0</v>
      </c>
      <c r="F57" s="1">
        <v>0</v>
      </c>
      <c r="G57" s="9">
        <f>SUM(WY_FINANCIAL)</f>
        <v>0</v>
      </c>
      <c r="L57" s="6"/>
      <c r="V57" s="9"/>
    </row>
    <row r="58" spans="1:22">
      <c r="A58" s="1" t="s">
        <v>79</v>
      </c>
      <c r="B58" s="6">
        <v>0</v>
      </c>
      <c r="C58" s="1">
        <v>0</v>
      </c>
      <c r="D58" s="1">
        <v>0</v>
      </c>
      <c r="E58" s="1">
        <v>0</v>
      </c>
      <c r="F58" s="1">
        <v>0</v>
      </c>
      <c r="G58" s="9">
        <f>SUM(OT_FINANCIAL)</f>
        <v>0</v>
      </c>
      <c r="L58" s="6"/>
      <c r="V58" s="9"/>
    </row>
    <row r="59" spans="1:22">
      <c r="B59" s="6"/>
      <c r="G59" s="9"/>
      <c r="L59" s="6"/>
      <c r="V59" s="9"/>
    </row>
    <row r="60" spans="1:22">
      <c r="A60" s="1" t="s">
        <v>8</v>
      </c>
      <c r="B60" s="6">
        <f>SUM(LIFE)</f>
        <v>227596.37831170985</v>
      </c>
      <c r="C60" s="1">
        <f>SUM(ALLOCATED)</f>
        <v>4592238.8649955532</v>
      </c>
      <c r="D60" s="1">
        <f>SUM(HEALTH)</f>
        <v>109820.02669273682</v>
      </c>
      <c r="E60" s="1">
        <f>SUM(UNALLOCATED)</f>
        <v>0</v>
      </c>
      <c r="F60" s="1">
        <f>SUM(LTC)</f>
        <v>0</v>
      </c>
      <c r="G60" s="9">
        <f>SUM(ALL_BLOCKS)</f>
        <v>4929655.2700000005</v>
      </c>
      <c r="L60" s="6">
        <f>SUM(LIFE_CALLED)</f>
        <v>19024</v>
      </c>
      <c r="M60" s="1">
        <f>SUM(LIFE_REFUNDED)</f>
        <v>0</v>
      </c>
      <c r="O60" s="1">
        <f>SUM(ALLOC_CALLED)</f>
        <v>284983</v>
      </c>
      <c r="P60" s="1">
        <f>SUM(ALLOC_REFUNDED)</f>
        <v>1409.23</v>
      </c>
      <c r="R60" s="1">
        <f>SUM(HEALTH_CALLED)</f>
        <v>7000</v>
      </c>
      <c r="S60" s="1">
        <f>SUM(HEALTH_REFUNDED)</f>
        <v>0</v>
      </c>
      <c r="U60" s="1">
        <f>SUM(UNALLOC_CALLED)</f>
        <v>0</v>
      </c>
      <c r="V60" s="9">
        <f>SUM(UNALLOC_REFUNDED)</f>
        <v>0</v>
      </c>
    </row>
    <row r="61" spans="1:22" ht="5.0999999999999996" customHeight="1">
      <c r="B61" s="6"/>
      <c r="G61" s="9"/>
      <c r="L61" s="6"/>
      <c r="V61" s="9"/>
    </row>
    <row r="62" spans="1:22">
      <c r="B62" s="6"/>
      <c r="G62" s="9"/>
      <c r="L62" s="78" t="s">
        <v>80</v>
      </c>
      <c r="M62" s="79"/>
      <c r="N62" s="79"/>
      <c r="O62" s="79"/>
      <c r="P62" s="79"/>
      <c r="Q62" s="79"/>
      <c r="R62" s="79"/>
      <c r="S62" s="79"/>
      <c r="T62" s="79"/>
      <c r="U62" s="79"/>
      <c r="V62" s="80"/>
    </row>
    <row r="63" spans="1:22">
      <c r="B63" s="6"/>
      <c r="G63" s="9"/>
      <c r="L63" s="81"/>
      <c r="M63" s="79"/>
      <c r="N63" s="79"/>
      <c r="O63" s="79"/>
      <c r="P63" s="79"/>
      <c r="Q63" s="79"/>
      <c r="R63" s="79"/>
      <c r="S63" s="79"/>
      <c r="T63" s="79"/>
      <c r="U63" s="79"/>
      <c r="V63" s="80"/>
    </row>
    <row r="64" spans="1:22">
      <c r="B64" s="8"/>
      <c r="C64" s="5"/>
      <c r="D64" s="5"/>
      <c r="E64" s="5"/>
      <c r="F64" s="5"/>
      <c r="G64" s="11"/>
      <c r="L64" s="82"/>
      <c r="M64" s="83"/>
      <c r="N64" s="83"/>
      <c r="O64" s="83"/>
      <c r="P64" s="83"/>
      <c r="Q64" s="83"/>
      <c r="R64" s="83"/>
      <c r="S64" s="83"/>
      <c r="T64" s="83"/>
      <c r="U64" s="83"/>
      <c r="V64" s="84"/>
    </row>
  </sheetData>
  <mergeCells count="8">
    <mergeCell ref="L62:V64"/>
    <mergeCell ref="A1:G1"/>
    <mergeCell ref="B3:G3"/>
    <mergeCell ref="L3:V3"/>
    <mergeCell ref="L4:M4"/>
    <mergeCell ref="O4:P4"/>
    <mergeCell ref="R4:S4"/>
    <mergeCell ref="U4:V4"/>
  </mergeCells>
  <pageMargins left="0" right="0" top="0" bottom="0" header="0" footer="0"/>
  <pageSetup scale="48"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1:V64"/>
  <sheetViews>
    <sheetView zoomScale="75" workbookViewId="0">
      <selection sqref="A1:G1"/>
    </sheetView>
  </sheetViews>
  <sheetFormatPr defaultColWidth="9.109375" defaultRowHeight="14.4"/>
  <cols>
    <col min="1" max="1" width="20" style="1" customWidth="1"/>
    <col min="2" max="7" width="15" style="1" customWidth="1"/>
    <col min="8" max="8" width="1" style="1" customWidth="1"/>
    <col min="9" max="9" width="30" style="1" customWidth="1"/>
    <col min="10" max="10" width="15" style="1" customWidth="1"/>
    <col min="11" max="11" width="1" style="1" customWidth="1"/>
    <col min="12" max="13" width="15" style="1" customWidth="1"/>
    <col min="14" max="14" width="1" style="1" customWidth="1"/>
    <col min="15" max="16" width="15" style="1" customWidth="1"/>
    <col min="17" max="17" width="1" style="1" customWidth="1"/>
    <col min="18" max="19" width="15" style="1" customWidth="1"/>
    <col min="20" max="20" width="1" style="1" customWidth="1"/>
    <col min="21" max="22" width="15" style="1" customWidth="1"/>
    <col min="23" max="23" width="9.109375" style="1" customWidth="1"/>
    <col min="24" max="16384" width="9.109375" style="1"/>
  </cols>
  <sheetData>
    <row r="1" spans="1:22">
      <c r="A1" s="85" t="s">
        <v>129</v>
      </c>
      <c r="B1" s="79"/>
      <c r="C1" s="79"/>
      <c r="D1" s="79"/>
      <c r="E1" s="79"/>
      <c r="F1" s="79"/>
      <c r="G1" s="79"/>
    </row>
    <row r="3" spans="1:22">
      <c r="B3" s="86" t="s">
        <v>1</v>
      </c>
      <c r="C3" s="87"/>
      <c r="D3" s="87"/>
      <c r="E3" s="87"/>
      <c r="F3" s="87"/>
      <c r="G3" s="88"/>
      <c r="L3" s="89" t="s">
        <v>2</v>
      </c>
      <c r="M3" s="90"/>
      <c r="N3" s="90"/>
      <c r="O3" s="90"/>
      <c r="P3" s="90"/>
      <c r="Q3" s="90"/>
      <c r="R3" s="90"/>
      <c r="S3" s="90"/>
      <c r="T3" s="90"/>
      <c r="U3" s="90"/>
      <c r="V3" s="91"/>
    </row>
    <row r="4" spans="1:22">
      <c r="B4" s="6"/>
      <c r="G4" s="9"/>
      <c r="L4" s="92" t="s">
        <v>3</v>
      </c>
      <c r="M4" s="93"/>
      <c r="N4" s="3"/>
      <c r="O4" s="94" t="s">
        <v>4</v>
      </c>
      <c r="P4" s="93"/>
      <c r="Q4" s="3"/>
      <c r="R4" s="94" t="s">
        <v>5</v>
      </c>
      <c r="S4" s="93"/>
      <c r="T4" s="3"/>
      <c r="U4" s="94" t="s">
        <v>6</v>
      </c>
      <c r="V4" s="95"/>
    </row>
    <row r="5" spans="1:22" ht="60" customHeight="1">
      <c r="B5" s="7" t="s">
        <v>3</v>
      </c>
      <c r="C5" s="4" t="s">
        <v>4</v>
      </c>
      <c r="D5" s="4" t="s">
        <v>5</v>
      </c>
      <c r="E5" s="4" t="s">
        <v>6</v>
      </c>
      <c r="F5" s="4" t="s">
        <v>7</v>
      </c>
      <c r="G5" s="10" t="s">
        <v>8</v>
      </c>
      <c r="L5" s="19" t="s">
        <v>9</v>
      </c>
      <c r="M5" s="18" t="s">
        <v>10</v>
      </c>
      <c r="N5" s="18"/>
      <c r="O5" s="18" t="s">
        <v>9</v>
      </c>
      <c r="P5" s="18" t="s">
        <v>10</v>
      </c>
      <c r="Q5" s="18"/>
      <c r="R5" s="18" t="s">
        <v>9</v>
      </c>
      <c r="S5" s="18" t="s">
        <v>10</v>
      </c>
      <c r="T5" s="18"/>
      <c r="U5" s="18" t="s">
        <v>9</v>
      </c>
      <c r="V5" s="20" t="s">
        <v>10</v>
      </c>
    </row>
    <row r="6" spans="1:22">
      <c r="A6" s="1" t="s">
        <v>11</v>
      </c>
      <c r="B6" s="6">
        <v>0</v>
      </c>
      <c r="C6" s="1">
        <v>0</v>
      </c>
      <c r="D6" s="1">
        <v>46766.830409904243</v>
      </c>
      <c r="E6" s="1">
        <v>0</v>
      </c>
      <c r="F6" s="1">
        <v>0</v>
      </c>
      <c r="G6" s="9">
        <f>SUM(AL_FINANCIAL)</f>
        <v>46766.830409904243</v>
      </c>
      <c r="L6" s="6"/>
      <c r="V6" s="9"/>
    </row>
    <row r="7" spans="1:22">
      <c r="A7" s="1" t="s">
        <v>12</v>
      </c>
      <c r="B7" s="6">
        <v>0</v>
      </c>
      <c r="C7" s="1">
        <v>0</v>
      </c>
      <c r="D7" s="1">
        <v>0</v>
      </c>
      <c r="E7" s="1">
        <v>0</v>
      </c>
      <c r="F7" s="1">
        <v>0</v>
      </c>
      <c r="G7" s="9">
        <f>SUM(AK_FINANCIAL)</f>
        <v>0</v>
      </c>
      <c r="I7" s="12"/>
      <c r="J7" s="15"/>
      <c r="L7" s="6"/>
      <c r="V7" s="9"/>
    </row>
    <row r="8" spans="1:22">
      <c r="A8" s="1" t="s">
        <v>13</v>
      </c>
      <c r="B8" s="6">
        <v>0</v>
      </c>
      <c r="C8" s="1">
        <v>0</v>
      </c>
      <c r="D8" s="1">
        <v>646982.91182761954</v>
      </c>
      <c r="E8" s="1">
        <v>0</v>
      </c>
      <c r="F8" s="1">
        <v>0</v>
      </c>
      <c r="G8" s="9">
        <f>SUM(AZ_FINANCIAL)</f>
        <v>646982.91182761954</v>
      </c>
      <c r="I8" s="13" t="s">
        <v>14</v>
      </c>
      <c r="J8" s="16"/>
      <c r="L8" s="6"/>
      <c r="V8" s="9"/>
    </row>
    <row r="9" spans="1:22">
      <c r="A9" s="1" t="s">
        <v>15</v>
      </c>
      <c r="B9" s="6">
        <v>0</v>
      </c>
      <c r="C9" s="1">
        <v>0</v>
      </c>
      <c r="D9" s="1">
        <v>24159.564710118037</v>
      </c>
      <c r="E9" s="1">
        <v>0</v>
      </c>
      <c r="F9" s="1">
        <v>0</v>
      </c>
      <c r="G9" s="9">
        <f>SUM(AR_FINANCIAL)</f>
        <v>24159.564710118037</v>
      </c>
      <c r="I9" s="13"/>
      <c r="J9" s="16"/>
      <c r="L9" s="6">
        <v>0</v>
      </c>
      <c r="M9" s="1">
        <v>0</v>
      </c>
      <c r="O9" s="1">
        <v>0</v>
      </c>
      <c r="P9" s="1">
        <v>0</v>
      </c>
      <c r="R9" s="1">
        <v>0</v>
      </c>
      <c r="S9" s="1">
        <v>0</v>
      </c>
      <c r="U9" s="1">
        <v>0</v>
      </c>
      <c r="V9" s="9">
        <v>0</v>
      </c>
    </row>
    <row r="10" spans="1:22">
      <c r="A10" s="1" t="s">
        <v>16</v>
      </c>
      <c r="B10" s="6">
        <v>0</v>
      </c>
      <c r="C10" s="1">
        <v>0</v>
      </c>
      <c r="D10" s="1">
        <v>6507.892509727687</v>
      </c>
      <c r="E10" s="1">
        <v>0</v>
      </c>
      <c r="F10" s="1">
        <v>0</v>
      </c>
      <c r="G10" s="9">
        <f>SUM(CA_FINANCIAL)</f>
        <v>6507.892509727687</v>
      </c>
      <c r="I10" s="13" t="s">
        <v>17</v>
      </c>
      <c r="J10" s="16">
        <v>9951600</v>
      </c>
      <c r="L10" s="6"/>
      <c r="V10" s="9"/>
    </row>
    <row r="11" spans="1:22">
      <c r="A11" s="1" t="s">
        <v>18</v>
      </c>
      <c r="B11" s="6">
        <v>0</v>
      </c>
      <c r="C11" s="1">
        <v>0</v>
      </c>
      <c r="D11" s="1">
        <v>3171365.7189612566</v>
      </c>
      <c r="E11" s="1">
        <v>0</v>
      </c>
      <c r="F11" s="1">
        <v>0</v>
      </c>
      <c r="G11" s="9">
        <f>SUM(CO_FINANCIAL)</f>
        <v>3171365.7189612566</v>
      </c>
      <c r="I11" s="13"/>
      <c r="J11" s="16"/>
      <c r="L11" s="6">
        <v>0</v>
      </c>
      <c r="M11" s="1">
        <v>0</v>
      </c>
      <c r="O11" s="1">
        <v>0</v>
      </c>
      <c r="P11" s="1">
        <v>0</v>
      </c>
      <c r="R11" s="1">
        <v>3558082</v>
      </c>
      <c r="S11" s="1">
        <v>0</v>
      </c>
      <c r="U11" s="1">
        <v>0</v>
      </c>
      <c r="V11" s="9">
        <v>0</v>
      </c>
    </row>
    <row r="12" spans="1:22">
      <c r="A12" s="1" t="s">
        <v>19</v>
      </c>
      <c r="B12" s="6">
        <v>0</v>
      </c>
      <c r="C12" s="1">
        <v>0</v>
      </c>
      <c r="D12" s="1">
        <v>0</v>
      </c>
      <c r="E12" s="1">
        <v>0</v>
      </c>
      <c r="F12" s="1">
        <v>0</v>
      </c>
      <c r="G12" s="9">
        <f>SUM(CT_FINANCIAL)</f>
        <v>0</v>
      </c>
      <c r="I12" s="13" t="s">
        <v>20</v>
      </c>
      <c r="J12" s="16"/>
      <c r="L12" s="6"/>
      <c r="V12" s="9"/>
    </row>
    <row r="13" spans="1:22">
      <c r="A13" s="1" t="s">
        <v>21</v>
      </c>
      <c r="B13" s="6">
        <v>0</v>
      </c>
      <c r="C13" s="1">
        <v>0</v>
      </c>
      <c r="D13" s="1">
        <v>3506.4905648751273</v>
      </c>
      <c r="E13" s="1">
        <v>0</v>
      </c>
      <c r="F13" s="1">
        <v>0</v>
      </c>
      <c r="G13" s="9">
        <f>SUM(DE_FINANCIAL)</f>
        <v>3506.4905648751273</v>
      </c>
      <c r="I13" s="13" t="s">
        <v>22</v>
      </c>
      <c r="J13" s="16">
        <v>9951600</v>
      </c>
      <c r="L13" s="6"/>
      <c r="V13" s="9"/>
    </row>
    <row r="14" spans="1:22">
      <c r="A14" s="1" t="s">
        <v>23</v>
      </c>
      <c r="B14" s="6">
        <v>0</v>
      </c>
      <c r="C14" s="1">
        <v>0</v>
      </c>
      <c r="D14" s="1">
        <v>0</v>
      </c>
      <c r="E14" s="1">
        <v>0</v>
      </c>
      <c r="F14" s="1">
        <v>0</v>
      </c>
      <c r="G14" s="9">
        <f>SUM(DC_FINANCIAL)</f>
        <v>0</v>
      </c>
      <c r="I14" s="13" t="s">
        <v>24</v>
      </c>
      <c r="J14" s="16">
        <v>2805062</v>
      </c>
      <c r="L14" s="6"/>
      <c r="V14" s="9"/>
    </row>
    <row r="15" spans="1:22">
      <c r="A15" s="1" t="s">
        <v>25</v>
      </c>
      <c r="B15" s="6">
        <v>0</v>
      </c>
      <c r="C15" s="1">
        <v>0</v>
      </c>
      <c r="D15" s="1">
        <v>24553.230804016781</v>
      </c>
      <c r="E15" s="1">
        <v>0</v>
      </c>
      <c r="F15" s="1">
        <v>0</v>
      </c>
      <c r="G15" s="9">
        <f>SUM(FL_FINANCIAL)</f>
        <v>24553.230804016781</v>
      </c>
      <c r="I15" s="13" t="s">
        <v>26</v>
      </c>
      <c r="J15" s="16">
        <v>1672114.3289886401</v>
      </c>
      <c r="L15" s="6"/>
      <c r="V15" s="9"/>
    </row>
    <row r="16" spans="1:22">
      <c r="A16" s="1" t="s">
        <v>27</v>
      </c>
      <c r="B16" s="6">
        <v>0</v>
      </c>
      <c r="C16" s="1">
        <v>0</v>
      </c>
      <c r="D16" s="1">
        <v>2118119.0403985954</v>
      </c>
      <c r="E16" s="1">
        <v>0</v>
      </c>
      <c r="F16" s="1">
        <v>0</v>
      </c>
      <c r="G16" s="9">
        <f>SUM(GA_FINANCIAL)</f>
        <v>2118119.0403985954</v>
      </c>
      <c r="I16" s="13" t="s">
        <v>28</v>
      </c>
      <c r="J16" s="16">
        <v>0</v>
      </c>
      <c r="L16" s="6">
        <v>0</v>
      </c>
      <c r="M16" s="1">
        <v>0</v>
      </c>
      <c r="O16" s="1">
        <v>0</v>
      </c>
      <c r="P16" s="1">
        <v>0</v>
      </c>
      <c r="R16" s="1">
        <v>2190579</v>
      </c>
      <c r="S16" s="1">
        <v>0</v>
      </c>
      <c r="U16" s="1">
        <v>0</v>
      </c>
      <c r="V16" s="9">
        <v>0</v>
      </c>
    </row>
    <row r="17" spans="1:22">
      <c r="A17" s="1" t="s">
        <v>29</v>
      </c>
      <c r="B17" s="6">
        <v>0</v>
      </c>
      <c r="C17" s="1">
        <v>0</v>
      </c>
      <c r="D17" s="1">
        <v>5393.9222003028353</v>
      </c>
      <c r="E17" s="1">
        <v>0</v>
      </c>
      <c r="F17" s="1">
        <v>0</v>
      </c>
      <c r="G17" s="9">
        <f>SUM(HI_FINANCIAL)</f>
        <v>5393.9222003028353</v>
      </c>
      <c r="I17" s="13"/>
      <c r="J17" s="16"/>
      <c r="L17" s="6"/>
      <c r="V17" s="9"/>
    </row>
    <row r="18" spans="1:22">
      <c r="A18" s="1" t="s">
        <v>30</v>
      </c>
      <c r="B18" s="6">
        <v>0</v>
      </c>
      <c r="C18" s="1">
        <v>0</v>
      </c>
      <c r="D18" s="1">
        <v>1471.9740016126607</v>
      </c>
      <c r="E18" s="1">
        <v>0</v>
      </c>
      <c r="F18" s="1">
        <v>0</v>
      </c>
      <c r="G18" s="9">
        <f>SUM(ID_FINANCIAL)</f>
        <v>1471.9740016126607</v>
      </c>
      <c r="I18" s="13" t="s">
        <v>31</v>
      </c>
      <c r="J18" s="16"/>
      <c r="L18" s="6">
        <v>0</v>
      </c>
      <c r="M18" s="1">
        <v>0</v>
      </c>
      <c r="O18" s="1">
        <v>0</v>
      </c>
      <c r="P18" s="1">
        <v>0</v>
      </c>
      <c r="R18" s="1">
        <v>14100</v>
      </c>
      <c r="S18" s="1">
        <v>0</v>
      </c>
      <c r="U18" s="1">
        <v>0</v>
      </c>
      <c r="V18" s="9">
        <v>0</v>
      </c>
    </row>
    <row r="19" spans="1:22">
      <c r="A19" s="1" t="s">
        <v>32</v>
      </c>
      <c r="B19" s="6">
        <v>0</v>
      </c>
      <c r="C19" s="1">
        <v>0</v>
      </c>
      <c r="D19" s="1">
        <v>86211.856569046504</v>
      </c>
      <c r="E19" s="1">
        <v>0</v>
      </c>
      <c r="F19" s="1">
        <v>0</v>
      </c>
      <c r="G19" s="9">
        <f>SUM(IL_FINANCIAL)</f>
        <v>86211.856569046504</v>
      </c>
      <c r="I19" s="13" t="s">
        <v>33</v>
      </c>
      <c r="J19" s="16">
        <v>0</v>
      </c>
      <c r="L19" s="6">
        <v>0</v>
      </c>
      <c r="M19" s="1">
        <v>0</v>
      </c>
      <c r="O19" s="1">
        <v>0</v>
      </c>
      <c r="P19" s="1">
        <v>0</v>
      </c>
      <c r="R19" s="1">
        <v>130000</v>
      </c>
      <c r="S19" s="1">
        <v>0</v>
      </c>
      <c r="U19" s="1">
        <v>0</v>
      </c>
      <c r="V19" s="9">
        <v>0</v>
      </c>
    </row>
    <row r="20" spans="1:22">
      <c r="A20" s="1" t="s">
        <v>34</v>
      </c>
      <c r="B20" s="6">
        <v>0</v>
      </c>
      <c r="C20" s="1">
        <v>0</v>
      </c>
      <c r="D20" s="1">
        <v>5408.1747132451528</v>
      </c>
      <c r="E20" s="1">
        <v>0</v>
      </c>
      <c r="F20" s="1">
        <v>0</v>
      </c>
      <c r="G20" s="9">
        <f>SUM(IN_FINANCIAL)</f>
        <v>5408.1747132451528</v>
      </c>
      <c r="I20" s="13" t="s">
        <v>35</v>
      </c>
      <c r="J20" s="16">
        <v>9951600</v>
      </c>
      <c r="L20" s="6"/>
      <c r="V20" s="9"/>
    </row>
    <row r="21" spans="1:22">
      <c r="A21" s="1" t="s">
        <v>36</v>
      </c>
      <c r="B21" s="6">
        <v>0</v>
      </c>
      <c r="C21" s="1">
        <v>0</v>
      </c>
      <c r="D21" s="1">
        <v>0</v>
      </c>
      <c r="E21" s="1">
        <v>0</v>
      </c>
      <c r="F21" s="1">
        <v>0</v>
      </c>
      <c r="G21" s="9">
        <f>SUM(IA_FINANCIAL)</f>
        <v>0</v>
      </c>
      <c r="I21" s="13" t="s">
        <v>37</v>
      </c>
      <c r="J21" s="16"/>
      <c r="L21" s="6"/>
      <c r="V21" s="9"/>
    </row>
    <row r="22" spans="1:22">
      <c r="A22" s="1" t="s">
        <v>38</v>
      </c>
      <c r="B22" s="6">
        <v>0</v>
      </c>
      <c r="C22" s="1">
        <v>0</v>
      </c>
      <c r="D22" s="1">
        <v>4837.3284060574624</v>
      </c>
      <c r="E22" s="1">
        <v>0</v>
      </c>
      <c r="F22" s="1">
        <v>0</v>
      </c>
      <c r="G22" s="9">
        <f>SUM(KS_FINANCIAL)</f>
        <v>4837.3284060574624</v>
      </c>
      <c r="I22" s="13" t="s">
        <v>39</v>
      </c>
      <c r="J22" s="16">
        <v>0</v>
      </c>
      <c r="L22" s="6"/>
      <c r="V22" s="9"/>
    </row>
    <row r="23" spans="1:22">
      <c r="A23" s="1" t="s">
        <v>40</v>
      </c>
      <c r="B23" s="6">
        <v>0</v>
      </c>
      <c r="C23" s="1">
        <v>0</v>
      </c>
      <c r="D23" s="1">
        <v>-162.13439381446796</v>
      </c>
      <c r="E23" s="1">
        <v>0</v>
      </c>
      <c r="F23" s="1">
        <v>0</v>
      </c>
      <c r="G23" s="9">
        <f>SUM(KY_FINANCIAL)</f>
        <v>-162.13439381446796</v>
      </c>
      <c r="I23" s="13" t="s">
        <v>41</v>
      </c>
      <c r="J23" s="16"/>
      <c r="L23" s="6"/>
      <c r="V23" s="9"/>
    </row>
    <row r="24" spans="1:22">
      <c r="A24" s="1" t="s">
        <v>42</v>
      </c>
      <c r="B24" s="6">
        <v>0</v>
      </c>
      <c r="C24" s="1">
        <v>0</v>
      </c>
      <c r="D24" s="1">
        <v>21245.020470945667</v>
      </c>
      <c r="E24" s="1">
        <v>0</v>
      </c>
      <c r="F24" s="1">
        <v>0</v>
      </c>
      <c r="G24" s="9">
        <f>SUM(LA_FINANCIAL)</f>
        <v>21245.020470945667</v>
      </c>
      <c r="I24" s="13" t="s">
        <v>43</v>
      </c>
      <c r="J24" s="16">
        <v>2930959.05</v>
      </c>
      <c r="L24" s="6"/>
      <c r="V24" s="9"/>
    </row>
    <row r="25" spans="1:22">
      <c r="A25" s="1" t="s">
        <v>44</v>
      </c>
      <c r="B25" s="6">
        <v>0</v>
      </c>
      <c r="C25" s="1">
        <v>0</v>
      </c>
      <c r="D25" s="1">
        <v>0</v>
      </c>
      <c r="E25" s="1">
        <v>0</v>
      </c>
      <c r="F25" s="1">
        <v>0</v>
      </c>
      <c r="G25" s="9">
        <f>SUM(ME_FINANCIAL)</f>
        <v>0</v>
      </c>
      <c r="I25" s="13"/>
      <c r="J25" s="16"/>
      <c r="L25" s="6"/>
      <c r="V25" s="9"/>
    </row>
    <row r="26" spans="1:22">
      <c r="A26" s="1" t="s">
        <v>45</v>
      </c>
      <c r="B26" s="6">
        <v>0</v>
      </c>
      <c r="C26" s="1">
        <v>0</v>
      </c>
      <c r="D26" s="1">
        <v>0</v>
      </c>
      <c r="E26" s="1">
        <v>0</v>
      </c>
      <c r="F26" s="1">
        <v>0</v>
      </c>
      <c r="G26" s="9">
        <f>SUM(MD_FINANCIAL)</f>
        <v>0</v>
      </c>
      <c r="I26" s="13" t="s">
        <v>46</v>
      </c>
      <c r="J26" s="16">
        <f>SUM(ADD_FINANCIAL)-SUM(LESS_FINANCIAL)</f>
        <v>11497817.278988641</v>
      </c>
      <c r="L26" s="6"/>
      <c r="V26" s="9"/>
    </row>
    <row r="27" spans="1:22">
      <c r="A27" s="1" t="s">
        <v>47</v>
      </c>
      <c r="B27" s="6">
        <v>0</v>
      </c>
      <c r="C27" s="1">
        <v>0</v>
      </c>
      <c r="D27" s="1">
        <v>0</v>
      </c>
      <c r="E27" s="1">
        <v>0</v>
      </c>
      <c r="F27" s="1">
        <v>0</v>
      </c>
      <c r="G27" s="9">
        <f>SUM(MA_FINANCIAL)</f>
        <v>0</v>
      </c>
      <c r="I27" s="13" t="s">
        <v>48</v>
      </c>
      <c r="J27" s="16">
        <f>SUM(ALL_BLOCKS)</f>
        <v>11497817.278988643</v>
      </c>
      <c r="L27" s="6"/>
      <c r="V27" s="9"/>
    </row>
    <row r="28" spans="1:22">
      <c r="A28" s="1" t="s">
        <v>49</v>
      </c>
      <c r="B28" s="6">
        <v>0</v>
      </c>
      <c r="C28" s="1">
        <v>0</v>
      </c>
      <c r="D28" s="1">
        <v>0</v>
      </c>
      <c r="E28" s="1">
        <v>0</v>
      </c>
      <c r="F28" s="1">
        <v>0</v>
      </c>
      <c r="G28" s="9">
        <f>SUM(MI_FINANCIAL)</f>
        <v>0</v>
      </c>
      <c r="I28" s="14"/>
      <c r="J28" s="17"/>
      <c r="L28" s="6"/>
      <c r="V28" s="9"/>
    </row>
    <row r="29" spans="1:22">
      <c r="A29" s="1" t="s">
        <v>50</v>
      </c>
      <c r="B29" s="6">
        <v>0</v>
      </c>
      <c r="C29" s="1">
        <v>0</v>
      </c>
      <c r="D29" s="1">
        <v>0</v>
      </c>
      <c r="E29" s="1">
        <v>0</v>
      </c>
      <c r="F29" s="1">
        <v>0</v>
      </c>
      <c r="G29" s="9">
        <f>SUM(MN_FINANCIAL)</f>
        <v>0</v>
      </c>
      <c r="L29" s="6"/>
      <c r="V29" s="9"/>
    </row>
    <row r="30" spans="1:22">
      <c r="A30" s="1" t="s">
        <v>51</v>
      </c>
      <c r="B30" s="6">
        <v>0</v>
      </c>
      <c r="C30" s="1">
        <v>0</v>
      </c>
      <c r="D30" s="1">
        <v>490005.87277437531</v>
      </c>
      <c r="E30" s="1">
        <v>0</v>
      </c>
      <c r="F30" s="1">
        <v>0</v>
      </c>
      <c r="G30" s="9">
        <f>SUM(MS_FINANCIAL)</f>
        <v>490005.87277437531</v>
      </c>
      <c r="L30" s="6"/>
      <c r="V30" s="9"/>
    </row>
    <row r="31" spans="1:22">
      <c r="A31" s="1" t="s">
        <v>52</v>
      </c>
      <c r="B31" s="6">
        <v>0</v>
      </c>
      <c r="C31" s="1">
        <v>0</v>
      </c>
      <c r="D31" s="1">
        <v>48.87948108449109</v>
      </c>
      <c r="E31" s="1">
        <v>0</v>
      </c>
      <c r="F31" s="1">
        <v>0</v>
      </c>
      <c r="G31" s="9">
        <f>SUM(MO_FINANCIAL)</f>
        <v>48.87948108449109</v>
      </c>
      <c r="L31" s="6"/>
      <c r="V31" s="9"/>
    </row>
    <row r="32" spans="1:22">
      <c r="A32" s="1" t="s">
        <v>53</v>
      </c>
      <c r="B32" s="6">
        <v>0</v>
      </c>
      <c r="C32" s="1">
        <v>0</v>
      </c>
      <c r="D32" s="1">
        <v>2084.7693606751336</v>
      </c>
      <c r="E32" s="1">
        <v>0</v>
      </c>
      <c r="F32" s="1">
        <v>0</v>
      </c>
      <c r="G32" s="9">
        <f>SUM(MT_FINANCIAL)</f>
        <v>2084.7693606751336</v>
      </c>
      <c r="L32" s="6"/>
      <c r="V32" s="9"/>
    </row>
    <row r="33" spans="1:22">
      <c r="A33" s="1" t="s">
        <v>54</v>
      </c>
      <c r="B33" s="6">
        <v>0</v>
      </c>
      <c r="C33" s="1">
        <v>0</v>
      </c>
      <c r="D33" s="1">
        <v>318.22912297914218</v>
      </c>
      <c r="E33" s="1">
        <v>0</v>
      </c>
      <c r="F33" s="1">
        <v>0</v>
      </c>
      <c r="G33" s="9">
        <f>SUM(NE_FINANCIAL)</f>
        <v>318.22912297914218</v>
      </c>
      <c r="L33" s="6"/>
      <c r="V33" s="9"/>
    </row>
    <row r="34" spans="1:22">
      <c r="A34" s="1" t="s">
        <v>55</v>
      </c>
      <c r="B34" s="6">
        <v>0</v>
      </c>
      <c r="C34" s="1">
        <v>0</v>
      </c>
      <c r="D34" s="1">
        <v>-10981</v>
      </c>
      <c r="E34" s="1">
        <v>0</v>
      </c>
      <c r="F34" s="1">
        <v>0</v>
      </c>
      <c r="G34" s="9">
        <f>SUM(NV_FINANCIAL)</f>
        <v>-10981</v>
      </c>
      <c r="L34" s="6"/>
      <c r="V34" s="9"/>
    </row>
    <row r="35" spans="1:22">
      <c r="A35" s="1" t="s">
        <v>56</v>
      </c>
      <c r="B35" s="6">
        <v>0</v>
      </c>
      <c r="C35" s="1">
        <v>0</v>
      </c>
      <c r="D35" s="1">
        <v>0</v>
      </c>
      <c r="E35" s="1">
        <v>0</v>
      </c>
      <c r="F35" s="1">
        <v>0</v>
      </c>
      <c r="G35" s="9">
        <f>SUM(NH_FINANCIAL)</f>
        <v>0</v>
      </c>
      <c r="L35" s="6"/>
      <c r="V35" s="9"/>
    </row>
    <row r="36" spans="1:22">
      <c r="A36" s="1" t="s">
        <v>57</v>
      </c>
      <c r="B36" s="6">
        <v>0</v>
      </c>
      <c r="C36" s="1">
        <v>0</v>
      </c>
      <c r="D36" s="1">
        <v>0</v>
      </c>
      <c r="E36" s="1">
        <v>0</v>
      </c>
      <c r="F36" s="1">
        <v>0</v>
      </c>
      <c r="G36" s="9">
        <f>SUM(NJ_FINANCIAL)</f>
        <v>0</v>
      </c>
      <c r="L36" s="6"/>
      <c r="V36" s="9"/>
    </row>
    <row r="37" spans="1:22">
      <c r="A37" s="1" t="s">
        <v>58</v>
      </c>
      <c r="B37" s="6">
        <v>0</v>
      </c>
      <c r="C37" s="1">
        <v>0</v>
      </c>
      <c r="D37" s="1">
        <v>12165.184083543298</v>
      </c>
      <c r="E37" s="1">
        <v>0</v>
      </c>
      <c r="F37" s="1">
        <v>0</v>
      </c>
      <c r="G37" s="9">
        <f>SUM(NM_FINANCIAL)</f>
        <v>12165.184083543298</v>
      </c>
      <c r="L37" s="6"/>
      <c r="V37" s="9"/>
    </row>
    <row r="38" spans="1:22">
      <c r="A38" s="1" t="s">
        <v>59</v>
      </c>
      <c r="B38" s="6">
        <v>0</v>
      </c>
      <c r="C38" s="1">
        <v>0</v>
      </c>
      <c r="D38" s="1">
        <v>0</v>
      </c>
      <c r="E38" s="1">
        <v>0</v>
      </c>
      <c r="F38" s="1">
        <v>0</v>
      </c>
      <c r="G38" s="9">
        <f>SUM(NY_FINANCIAL)</f>
        <v>0</v>
      </c>
      <c r="L38" s="6"/>
      <c r="V38" s="9"/>
    </row>
    <row r="39" spans="1:22">
      <c r="A39" s="1" t="s">
        <v>60</v>
      </c>
      <c r="B39" s="6">
        <v>0</v>
      </c>
      <c r="C39" s="1">
        <v>0</v>
      </c>
      <c r="D39" s="1">
        <v>-1476.0379582283495</v>
      </c>
      <c r="E39" s="1">
        <v>0</v>
      </c>
      <c r="F39" s="1">
        <v>0</v>
      </c>
      <c r="G39" s="9">
        <f>SUM(NC_FINANCIAL)</f>
        <v>-1476.0379582283495</v>
      </c>
      <c r="L39" s="6"/>
      <c r="V39" s="9"/>
    </row>
    <row r="40" spans="1:22">
      <c r="A40" s="1" t="s">
        <v>61</v>
      </c>
      <c r="B40" s="6">
        <v>0</v>
      </c>
      <c r="C40" s="1">
        <v>0</v>
      </c>
      <c r="D40" s="1">
        <v>198.12527444164743</v>
      </c>
      <c r="E40" s="1">
        <v>0</v>
      </c>
      <c r="F40" s="1">
        <v>0</v>
      </c>
      <c r="G40" s="9">
        <f>SUM(ND_FINANCIAL)</f>
        <v>198.12527444164743</v>
      </c>
      <c r="L40" s="6"/>
      <c r="V40" s="9"/>
    </row>
    <row r="41" spans="1:22">
      <c r="A41" s="1" t="s">
        <v>62</v>
      </c>
      <c r="B41" s="6">
        <v>0</v>
      </c>
      <c r="C41" s="1">
        <v>0</v>
      </c>
      <c r="D41" s="1">
        <v>0</v>
      </c>
      <c r="E41" s="1">
        <v>0</v>
      </c>
      <c r="F41" s="1">
        <v>0</v>
      </c>
      <c r="G41" s="9">
        <f>SUM(OH_FINANCIAL)</f>
        <v>0</v>
      </c>
      <c r="L41" s="6"/>
      <c r="V41" s="9"/>
    </row>
    <row r="42" spans="1:22">
      <c r="A42" s="1" t="s">
        <v>63</v>
      </c>
      <c r="B42" s="6">
        <v>0</v>
      </c>
      <c r="C42" s="1">
        <v>0</v>
      </c>
      <c r="D42" s="1">
        <v>218295.4006204668</v>
      </c>
      <c r="E42" s="1">
        <v>0</v>
      </c>
      <c r="F42" s="1">
        <v>0</v>
      </c>
      <c r="G42" s="9">
        <f>SUM(OK_FINANCIAL)</f>
        <v>218295.4006204668</v>
      </c>
      <c r="L42" s="6">
        <v>0</v>
      </c>
      <c r="M42" s="1">
        <v>0</v>
      </c>
      <c r="O42" s="1">
        <v>0</v>
      </c>
      <c r="P42" s="1">
        <v>0</v>
      </c>
      <c r="R42" s="1">
        <v>400000</v>
      </c>
      <c r="S42" s="1">
        <v>0</v>
      </c>
      <c r="U42" s="1">
        <v>0</v>
      </c>
      <c r="V42" s="9">
        <v>0</v>
      </c>
    </row>
    <row r="43" spans="1:22">
      <c r="A43" s="1" t="s">
        <v>64</v>
      </c>
      <c r="B43" s="6">
        <v>0</v>
      </c>
      <c r="C43" s="1">
        <v>0</v>
      </c>
      <c r="D43" s="1">
        <v>138.94794211910039</v>
      </c>
      <c r="E43" s="1">
        <v>0</v>
      </c>
      <c r="F43" s="1">
        <v>0</v>
      </c>
      <c r="G43" s="9">
        <f>SUM(OR_FINANCIAL)</f>
        <v>138.94794211910039</v>
      </c>
      <c r="L43" s="6"/>
      <c r="V43" s="9"/>
    </row>
    <row r="44" spans="1:22">
      <c r="A44" s="1" t="s">
        <v>65</v>
      </c>
      <c r="B44" s="6">
        <v>0</v>
      </c>
      <c r="C44" s="1">
        <v>0</v>
      </c>
      <c r="D44" s="1">
        <v>0</v>
      </c>
      <c r="E44" s="1">
        <v>0</v>
      </c>
      <c r="F44" s="1">
        <v>0</v>
      </c>
      <c r="G44" s="9">
        <f>SUM(PA_FINANCIAL)</f>
        <v>0</v>
      </c>
      <c r="L44" s="6"/>
      <c r="V44" s="9"/>
    </row>
    <row r="45" spans="1:22">
      <c r="A45" s="1" t="s">
        <v>66</v>
      </c>
      <c r="B45" s="6">
        <v>0</v>
      </c>
      <c r="C45" s="1">
        <v>0</v>
      </c>
      <c r="D45" s="1">
        <v>0</v>
      </c>
      <c r="E45" s="1">
        <v>0</v>
      </c>
      <c r="F45" s="1">
        <v>0</v>
      </c>
      <c r="G45" s="9">
        <f>SUM(PR_FINANCIAL)</f>
        <v>0</v>
      </c>
      <c r="L45" s="6"/>
      <c r="V45" s="9"/>
    </row>
    <row r="46" spans="1:22">
      <c r="A46" s="1" t="s">
        <v>67</v>
      </c>
      <c r="B46" s="6">
        <v>0</v>
      </c>
      <c r="C46" s="1">
        <v>0</v>
      </c>
      <c r="D46" s="1">
        <v>0</v>
      </c>
      <c r="E46" s="1">
        <v>0</v>
      </c>
      <c r="F46" s="1">
        <v>0</v>
      </c>
      <c r="G46" s="9">
        <f>SUM(RI_FINANCIAL)</f>
        <v>0</v>
      </c>
      <c r="L46" s="6"/>
      <c r="V46" s="9"/>
    </row>
    <row r="47" spans="1:22">
      <c r="A47" s="1" t="s">
        <v>68</v>
      </c>
      <c r="B47" s="6">
        <v>0</v>
      </c>
      <c r="C47" s="1">
        <v>0</v>
      </c>
      <c r="D47" s="1">
        <v>1483196.8793163202</v>
      </c>
      <c r="E47" s="1">
        <v>0</v>
      </c>
      <c r="F47" s="1">
        <v>0</v>
      </c>
      <c r="G47" s="9">
        <f>SUM(SC_FINANCIAL)</f>
        <v>1483196.8793163202</v>
      </c>
      <c r="L47" s="6">
        <v>0</v>
      </c>
      <c r="M47" s="1">
        <v>0</v>
      </c>
      <c r="O47" s="1">
        <v>0</v>
      </c>
      <c r="P47" s="1">
        <v>0</v>
      </c>
      <c r="R47" s="1">
        <v>1500000</v>
      </c>
      <c r="S47" s="1">
        <v>0</v>
      </c>
      <c r="U47" s="1">
        <v>0</v>
      </c>
      <c r="V47" s="9">
        <v>0</v>
      </c>
    </row>
    <row r="48" spans="1:22">
      <c r="A48" s="1" t="s">
        <v>69</v>
      </c>
      <c r="B48" s="6">
        <v>0</v>
      </c>
      <c r="C48" s="1">
        <v>0</v>
      </c>
      <c r="D48" s="1">
        <v>0</v>
      </c>
      <c r="E48" s="1">
        <v>0</v>
      </c>
      <c r="F48" s="1">
        <v>0</v>
      </c>
      <c r="G48" s="9">
        <f>SUM(SD_FINANCIAL)</f>
        <v>0</v>
      </c>
      <c r="L48" s="6"/>
      <c r="V48" s="9"/>
    </row>
    <row r="49" spans="1:22">
      <c r="A49" s="1" t="s">
        <v>70</v>
      </c>
      <c r="B49" s="6">
        <v>0</v>
      </c>
      <c r="C49" s="1">
        <v>0</v>
      </c>
      <c r="D49" s="1">
        <v>0</v>
      </c>
      <c r="E49" s="1">
        <v>0</v>
      </c>
      <c r="F49" s="1">
        <v>0</v>
      </c>
      <c r="G49" s="9">
        <f>SUM(TN_FINANCIAL)</f>
        <v>0</v>
      </c>
      <c r="L49" s="6"/>
      <c r="V49" s="9"/>
    </row>
    <row r="50" spans="1:22">
      <c r="A50" s="1" t="s">
        <v>71</v>
      </c>
      <c r="B50" s="6">
        <v>0</v>
      </c>
      <c r="C50" s="1">
        <v>0</v>
      </c>
      <c r="D50" s="1">
        <v>3137405.8279367057</v>
      </c>
      <c r="E50" s="1">
        <v>0</v>
      </c>
      <c r="F50" s="1">
        <v>0</v>
      </c>
      <c r="G50" s="9">
        <f>SUM(TX_FINANCIAL)</f>
        <v>3137405.8279367057</v>
      </c>
      <c r="L50" s="6">
        <v>0</v>
      </c>
      <c r="M50" s="1">
        <v>0</v>
      </c>
      <c r="O50" s="1">
        <v>0</v>
      </c>
      <c r="P50" s="1">
        <v>0</v>
      </c>
      <c r="R50" s="1">
        <v>7899980</v>
      </c>
      <c r="S50" s="1">
        <v>1450000</v>
      </c>
      <c r="U50" s="1">
        <v>0</v>
      </c>
      <c r="V50" s="9">
        <v>0</v>
      </c>
    </row>
    <row r="51" spans="1:22">
      <c r="A51" s="1" t="s">
        <v>72</v>
      </c>
      <c r="B51" s="6">
        <v>0</v>
      </c>
      <c r="C51" s="1">
        <v>0</v>
      </c>
      <c r="D51" s="1">
        <v>0</v>
      </c>
      <c r="E51" s="1">
        <v>0</v>
      </c>
      <c r="F51" s="1">
        <v>0</v>
      </c>
      <c r="G51" s="9">
        <f>SUM(UT_FINANCIAL)</f>
        <v>0</v>
      </c>
      <c r="L51" s="6"/>
      <c r="V51" s="9"/>
    </row>
    <row r="52" spans="1:22">
      <c r="A52" s="1" t="s">
        <v>73</v>
      </c>
      <c r="B52" s="6">
        <v>0</v>
      </c>
      <c r="C52" s="1">
        <v>0</v>
      </c>
      <c r="D52" s="1">
        <v>0</v>
      </c>
      <c r="E52" s="1">
        <v>0</v>
      </c>
      <c r="F52" s="1">
        <v>0</v>
      </c>
      <c r="G52" s="9">
        <f>SUM(VT_FINANCIAL)</f>
        <v>0</v>
      </c>
      <c r="L52" s="6"/>
      <c r="V52" s="9"/>
    </row>
    <row r="53" spans="1:22">
      <c r="A53" s="1" t="s">
        <v>74</v>
      </c>
      <c r="B53" s="6">
        <v>0</v>
      </c>
      <c r="C53" s="1">
        <v>0</v>
      </c>
      <c r="D53" s="1">
        <v>0</v>
      </c>
      <c r="E53" s="1">
        <v>0</v>
      </c>
      <c r="F53" s="1">
        <v>0</v>
      </c>
      <c r="G53" s="9">
        <f>SUM(VA_FINANCIAL)</f>
        <v>0</v>
      </c>
      <c r="L53" s="6"/>
      <c r="V53" s="9"/>
    </row>
    <row r="54" spans="1:22">
      <c r="A54" s="1" t="s">
        <v>75</v>
      </c>
      <c r="B54" s="6">
        <v>0</v>
      </c>
      <c r="C54" s="1">
        <v>0</v>
      </c>
      <c r="D54" s="1">
        <v>0</v>
      </c>
      <c r="E54" s="1">
        <v>0</v>
      </c>
      <c r="F54" s="1">
        <v>0</v>
      </c>
      <c r="G54" s="9">
        <f>SUM(WA_FINANCIAL)</f>
        <v>0</v>
      </c>
      <c r="L54" s="6"/>
      <c r="V54" s="9"/>
    </row>
    <row r="55" spans="1:22">
      <c r="A55" s="1" t="s">
        <v>76</v>
      </c>
      <c r="B55" s="6">
        <v>0</v>
      </c>
      <c r="C55" s="1">
        <v>0</v>
      </c>
      <c r="D55" s="1">
        <v>0</v>
      </c>
      <c r="E55" s="1">
        <v>0</v>
      </c>
      <c r="F55" s="1">
        <v>0</v>
      </c>
      <c r="G55" s="9">
        <f>SUM(WV_FINANCIAL)</f>
        <v>0</v>
      </c>
      <c r="L55" s="6"/>
      <c r="V55" s="9"/>
    </row>
    <row r="56" spans="1:22">
      <c r="A56" s="1" t="s">
        <v>77</v>
      </c>
      <c r="B56" s="6">
        <v>0</v>
      </c>
      <c r="C56" s="1">
        <v>0</v>
      </c>
      <c r="D56" s="1">
        <v>0</v>
      </c>
      <c r="E56" s="1">
        <v>0</v>
      </c>
      <c r="F56" s="1">
        <v>0</v>
      </c>
      <c r="G56" s="9">
        <f>SUM(WI_FINANCIAL)</f>
        <v>0</v>
      </c>
      <c r="L56" s="6"/>
      <c r="V56" s="9"/>
    </row>
    <row r="57" spans="1:22">
      <c r="A57" s="1" t="s">
        <v>78</v>
      </c>
      <c r="B57" s="6">
        <v>0</v>
      </c>
      <c r="C57" s="1">
        <v>0</v>
      </c>
      <c r="D57" s="1">
        <v>48.378880649392435</v>
      </c>
      <c r="E57" s="1">
        <v>0</v>
      </c>
      <c r="F57" s="1">
        <v>0</v>
      </c>
      <c r="G57" s="9">
        <f>SUM(WY_FINANCIAL)</f>
        <v>48.378880649392435</v>
      </c>
      <c r="L57" s="6"/>
      <c r="V57" s="9"/>
    </row>
    <row r="58" spans="1:22">
      <c r="A58" s="1" t="s">
        <v>79</v>
      </c>
      <c r="B58" s="6">
        <v>0</v>
      </c>
      <c r="C58" s="1">
        <v>0</v>
      </c>
      <c r="D58" s="1">
        <v>0</v>
      </c>
      <c r="E58" s="1">
        <v>0</v>
      </c>
      <c r="F58" s="1">
        <v>0</v>
      </c>
      <c r="G58" s="9">
        <f>SUM(OT_FINANCIAL)</f>
        <v>0</v>
      </c>
      <c r="L58" s="6"/>
      <c r="V58" s="9"/>
    </row>
    <row r="59" spans="1:22">
      <c r="B59" s="6"/>
      <c r="G59" s="9"/>
      <c r="L59" s="6"/>
      <c r="V59" s="9"/>
    </row>
    <row r="60" spans="1:22">
      <c r="A60" s="1" t="s">
        <v>8</v>
      </c>
      <c r="B60" s="6">
        <f>SUM(LIFE)</f>
        <v>0</v>
      </c>
      <c r="C60" s="1">
        <f>SUM(ALLOCATED)</f>
        <v>0</v>
      </c>
      <c r="D60" s="1">
        <f>SUM(HEALTH)</f>
        <v>11497817.278988643</v>
      </c>
      <c r="E60" s="1">
        <f>SUM(UNALLOCATED)</f>
        <v>0</v>
      </c>
      <c r="F60" s="1">
        <f>SUM(LTC)</f>
        <v>0</v>
      </c>
      <c r="G60" s="9">
        <f>SUM(ALL_BLOCKS)</f>
        <v>11497817.278988643</v>
      </c>
      <c r="L60" s="6">
        <f>SUM(LIFE_CALLED)</f>
        <v>0</v>
      </c>
      <c r="M60" s="1">
        <f>SUM(LIFE_REFUNDED)</f>
        <v>0</v>
      </c>
      <c r="O60" s="1">
        <f>SUM(ALLOC_CALLED)</f>
        <v>0</v>
      </c>
      <c r="P60" s="1">
        <f>SUM(ALLOC_REFUNDED)</f>
        <v>0</v>
      </c>
      <c r="R60" s="1">
        <f>SUM(HEALTH_CALLED)</f>
        <v>15692741</v>
      </c>
      <c r="S60" s="1">
        <f>SUM(HEALTH_REFUNDED)</f>
        <v>1450000</v>
      </c>
      <c r="U60" s="1">
        <f>SUM(UNALLOC_CALLED)</f>
        <v>0</v>
      </c>
      <c r="V60" s="9">
        <f>SUM(UNALLOC_REFUNDED)</f>
        <v>0</v>
      </c>
    </row>
    <row r="61" spans="1:22" ht="5.0999999999999996" customHeight="1">
      <c r="B61" s="6"/>
      <c r="G61" s="9"/>
      <c r="L61" s="6"/>
      <c r="V61" s="9"/>
    </row>
    <row r="62" spans="1:22">
      <c r="B62" s="6"/>
      <c r="G62" s="9"/>
      <c r="L62" s="78" t="s">
        <v>80</v>
      </c>
      <c r="M62" s="79"/>
      <c r="N62" s="79"/>
      <c r="O62" s="79"/>
      <c r="P62" s="79"/>
      <c r="Q62" s="79"/>
      <c r="R62" s="79"/>
      <c r="S62" s="79"/>
      <c r="T62" s="79"/>
      <c r="U62" s="79"/>
      <c r="V62" s="80"/>
    </row>
    <row r="63" spans="1:22">
      <c r="B63" s="6"/>
      <c r="G63" s="9"/>
      <c r="L63" s="81"/>
      <c r="M63" s="79"/>
      <c r="N63" s="79"/>
      <c r="O63" s="79"/>
      <c r="P63" s="79"/>
      <c r="Q63" s="79"/>
      <c r="R63" s="79"/>
      <c r="S63" s="79"/>
      <c r="T63" s="79"/>
      <c r="U63" s="79"/>
      <c r="V63" s="80"/>
    </row>
    <row r="64" spans="1:22">
      <c r="B64" s="8"/>
      <c r="C64" s="5"/>
      <c r="D64" s="5"/>
      <c r="E64" s="5"/>
      <c r="F64" s="5"/>
      <c r="G64" s="11"/>
      <c r="L64" s="82"/>
      <c r="M64" s="83"/>
      <c r="N64" s="83"/>
      <c r="O64" s="83"/>
      <c r="P64" s="83"/>
      <c r="Q64" s="83"/>
      <c r="R64" s="83"/>
      <c r="S64" s="83"/>
      <c r="T64" s="83"/>
      <c r="U64" s="83"/>
      <c r="V64" s="84"/>
    </row>
  </sheetData>
  <mergeCells count="8">
    <mergeCell ref="L62:V64"/>
    <mergeCell ref="A1:G1"/>
    <mergeCell ref="B3:G3"/>
    <mergeCell ref="L3:V3"/>
    <mergeCell ref="L4:M4"/>
    <mergeCell ref="O4:P4"/>
    <mergeCell ref="R4:S4"/>
    <mergeCell ref="U4:V4"/>
  </mergeCells>
  <pageMargins left="0" right="0" top="0" bottom="0" header="0" footer="0"/>
  <pageSetup scale="48"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A1:V64"/>
  <sheetViews>
    <sheetView zoomScale="75" workbookViewId="0">
      <selection sqref="A1:G1"/>
    </sheetView>
  </sheetViews>
  <sheetFormatPr defaultColWidth="9.109375" defaultRowHeight="14.4"/>
  <cols>
    <col min="1" max="1" width="20" style="1" customWidth="1"/>
    <col min="2" max="7" width="15" style="1" customWidth="1"/>
    <col min="8" max="8" width="1" style="1" customWidth="1"/>
    <col min="9" max="9" width="30" style="1" customWidth="1"/>
    <col min="10" max="10" width="15" style="1" customWidth="1"/>
    <col min="11" max="11" width="1" style="1" customWidth="1"/>
    <col min="12" max="13" width="15" style="1" customWidth="1"/>
    <col min="14" max="14" width="1" style="1" customWidth="1"/>
    <col min="15" max="16" width="15" style="1" customWidth="1"/>
    <col min="17" max="17" width="1" style="1" customWidth="1"/>
    <col min="18" max="19" width="15" style="1" customWidth="1"/>
    <col min="20" max="20" width="1" style="1" customWidth="1"/>
    <col min="21" max="22" width="15" style="1" customWidth="1"/>
    <col min="23" max="23" width="9.109375" style="1" customWidth="1"/>
    <col min="24" max="16384" width="9.109375" style="1"/>
  </cols>
  <sheetData>
    <row r="1" spans="1:22">
      <c r="A1" s="85" t="s">
        <v>130</v>
      </c>
      <c r="B1" s="79"/>
      <c r="C1" s="79"/>
      <c r="D1" s="79"/>
      <c r="E1" s="79"/>
      <c r="F1" s="79"/>
      <c r="G1" s="79"/>
    </row>
    <row r="3" spans="1:22">
      <c r="B3" s="86" t="s">
        <v>1</v>
      </c>
      <c r="C3" s="87"/>
      <c r="D3" s="87"/>
      <c r="E3" s="87"/>
      <c r="F3" s="87"/>
      <c r="G3" s="88"/>
      <c r="L3" s="89" t="s">
        <v>2</v>
      </c>
      <c r="M3" s="90"/>
      <c r="N3" s="90"/>
      <c r="O3" s="90"/>
      <c r="P3" s="90"/>
      <c r="Q3" s="90"/>
      <c r="R3" s="90"/>
      <c r="S3" s="90"/>
      <c r="T3" s="90"/>
      <c r="U3" s="90"/>
      <c r="V3" s="91"/>
    </row>
    <row r="4" spans="1:22">
      <c r="B4" s="6"/>
      <c r="G4" s="9"/>
      <c r="L4" s="92" t="s">
        <v>3</v>
      </c>
      <c r="M4" s="93"/>
      <c r="N4" s="3"/>
      <c r="O4" s="94" t="s">
        <v>4</v>
      </c>
      <c r="P4" s="93"/>
      <c r="Q4" s="3"/>
      <c r="R4" s="94" t="s">
        <v>5</v>
      </c>
      <c r="S4" s="93"/>
      <c r="T4" s="3"/>
      <c r="U4" s="94" t="s">
        <v>6</v>
      </c>
      <c r="V4" s="95"/>
    </row>
    <row r="5" spans="1:22" ht="60" customHeight="1">
      <c r="B5" s="7" t="s">
        <v>3</v>
      </c>
      <c r="C5" s="4" t="s">
        <v>4</v>
      </c>
      <c r="D5" s="4" t="s">
        <v>5</v>
      </c>
      <c r="E5" s="4" t="s">
        <v>6</v>
      </c>
      <c r="F5" s="4" t="s">
        <v>7</v>
      </c>
      <c r="G5" s="10" t="s">
        <v>8</v>
      </c>
      <c r="L5" s="19" t="s">
        <v>9</v>
      </c>
      <c r="M5" s="18" t="s">
        <v>10</v>
      </c>
      <c r="N5" s="18"/>
      <c r="O5" s="18" t="s">
        <v>9</v>
      </c>
      <c r="P5" s="18" t="s">
        <v>10</v>
      </c>
      <c r="Q5" s="18"/>
      <c r="R5" s="18" t="s">
        <v>9</v>
      </c>
      <c r="S5" s="18" t="s">
        <v>10</v>
      </c>
      <c r="T5" s="18"/>
      <c r="U5" s="18" t="s">
        <v>9</v>
      </c>
      <c r="V5" s="20" t="s">
        <v>10</v>
      </c>
    </row>
    <row r="6" spans="1:22">
      <c r="A6" s="1" t="s">
        <v>11</v>
      </c>
      <c r="B6" s="6">
        <v>575506.77905280993</v>
      </c>
      <c r="C6" s="1">
        <v>245144.28758403228</v>
      </c>
      <c r="D6" s="1">
        <v>0</v>
      </c>
      <c r="E6" s="1">
        <v>0</v>
      </c>
      <c r="F6" s="1">
        <v>0</v>
      </c>
      <c r="G6" s="9">
        <f>SUM(AL_FINANCIAL)</f>
        <v>820651.06663684221</v>
      </c>
      <c r="L6" s="6">
        <v>1419000</v>
      </c>
      <c r="M6" s="1">
        <v>0</v>
      </c>
      <c r="O6" s="1">
        <v>15909</v>
      </c>
      <c r="P6" s="1">
        <v>0</v>
      </c>
      <c r="R6" s="1">
        <v>0</v>
      </c>
      <c r="S6" s="1">
        <v>0</v>
      </c>
      <c r="U6" s="1">
        <v>0</v>
      </c>
      <c r="V6" s="9">
        <v>0</v>
      </c>
    </row>
    <row r="7" spans="1:22">
      <c r="A7" s="1" t="s">
        <v>12</v>
      </c>
      <c r="B7" s="6">
        <v>-4552.9972762040634</v>
      </c>
      <c r="C7" s="1">
        <v>0</v>
      </c>
      <c r="D7" s="1">
        <v>0</v>
      </c>
      <c r="E7" s="1">
        <v>0</v>
      </c>
      <c r="F7" s="1">
        <v>0</v>
      </c>
      <c r="G7" s="9">
        <f>SUM(AK_FINANCIAL)</f>
        <v>-4552.9972762040634</v>
      </c>
      <c r="I7" s="12"/>
      <c r="J7" s="15"/>
      <c r="L7" s="6">
        <v>68158</v>
      </c>
      <c r="M7" s="1">
        <v>41500</v>
      </c>
      <c r="O7" s="1">
        <v>0</v>
      </c>
      <c r="P7" s="1">
        <v>0</v>
      </c>
      <c r="R7" s="1">
        <v>1000</v>
      </c>
      <c r="S7" s="1">
        <v>0</v>
      </c>
      <c r="U7" s="1">
        <v>0</v>
      </c>
      <c r="V7" s="9">
        <v>0</v>
      </c>
    </row>
    <row r="8" spans="1:22">
      <c r="A8" s="1" t="s">
        <v>13</v>
      </c>
      <c r="B8" s="6">
        <v>1386950.5984946908</v>
      </c>
      <c r="C8" s="1">
        <v>77902.019848582626</v>
      </c>
      <c r="D8" s="1">
        <v>0</v>
      </c>
      <c r="E8" s="1">
        <v>0</v>
      </c>
      <c r="F8" s="1">
        <v>0</v>
      </c>
      <c r="G8" s="9">
        <f>SUM(AZ_FINANCIAL)</f>
        <v>1464852.6183432734</v>
      </c>
      <c r="I8" s="13" t="s">
        <v>14</v>
      </c>
      <c r="J8" s="16"/>
      <c r="L8" s="6">
        <v>1251703</v>
      </c>
      <c r="M8" s="1">
        <v>0</v>
      </c>
      <c r="O8" s="1">
        <v>44673</v>
      </c>
      <c r="P8" s="1">
        <v>0</v>
      </c>
      <c r="R8" s="1">
        <v>0</v>
      </c>
      <c r="S8" s="1">
        <v>0</v>
      </c>
      <c r="U8" s="1">
        <v>0</v>
      </c>
      <c r="V8" s="9">
        <v>0</v>
      </c>
    </row>
    <row r="9" spans="1:22">
      <c r="A9" s="1" t="s">
        <v>15</v>
      </c>
      <c r="B9" s="6">
        <v>519704.03972281993</v>
      </c>
      <c r="C9" s="1">
        <v>0</v>
      </c>
      <c r="D9" s="1">
        <v>0</v>
      </c>
      <c r="E9" s="1">
        <v>0</v>
      </c>
      <c r="F9" s="1">
        <v>0</v>
      </c>
      <c r="G9" s="9">
        <f>SUM(AR_FINANCIAL)</f>
        <v>519704.03972281993</v>
      </c>
      <c r="I9" s="13"/>
      <c r="J9" s="16"/>
      <c r="L9" s="6">
        <v>669513</v>
      </c>
      <c r="M9" s="1">
        <v>0</v>
      </c>
      <c r="O9" s="1">
        <v>0</v>
      </c>
      <c r="P9" s="1">
        <v>0</v>
      </c>
      <c r="R9" s="1">
        <v>0</v>
      </c>
      <c r="S9" s="1">
        <v>0</v>
      </c>
      <c r="U9" s="1">
        <v>0</v>
      </c>
      <c r="V9" s="9">
        <v>0</v>
      </c>
    </row>
    <row r="10" spans="1:22">
      <c r="A10" s="1" t="s">
        <v>16</v>
      </c>
      <c r="B10" s="6">
        <v>9814042.7385009639</v>
      </c>
      <c r="C10" s="1">
        <v>4615055.5849099187</v>
      </c>
      <c r="D10" s="1">
        <v>0</v>
      </c>
      <c r="E10" s="1">
        <v>0</v>
      </c>
      <c r="F10" s="1">
        <v>0</v>
      </c>
      <c r="G10" s="9">
        <f>SUM(CA_FINANCIAL)</f>
        <v>14429098.323410884</v>
      </c>
      <c r="I10" s="13" t="s">
        <v>17</v>
      </c>
      <c r="J10" s="16">
        <v>72462458.310899913</v>
      </c>
      <c r="L10" s="6">
        <v>17000000</v>
      </c>
      <c r="M10" s="1">
        <v>5715000</v>
      </c>
      <c r="O10" s="1">
        <v>7800000</v>
      </c>
      <c r="P10" s="1">
        <v>8563000</v>
      </c>
      <c r="R10" s="1">
        <v>270000</v>
      </c>
      <c r="S10" s="1">
        <v>0</v>
      </c>
      <c r="U10" s="1">
        <v>0</v>
      </c>
      <c r="V10" s="9">
        <v>0</v>
      </c>
    </row>
    <row r="11" spans="1:22">
      <c r="A11" s="1" t="s">
        <v>18</v>
      </c>
      <c r="B11" s="6">
        <v>0</v>
      </c>
      <c r="C11" s="1">
        <v>0</v>
      </c>
      <c r="D11" s="1">
        <v>0</v>
      </c>
      <c r="E11" s="1">
        <v>0</v>
      </c>
      <c r="F11" s="1">
        <v>0</v>
      </c>
      <c r="G11" s="9">
        <f>SUM(CO_FINANCIAL)</f>
        <v>0</v>
      </c>
      <c r="I11" s="13"/>
      <c r="J11" s="16"/>
      <c r="L11" s="6"/>
      <c r="V11" s="9"/>
    </row>
    <row r="12" spans="1:22">
      <c r="A12" s="1" t="s">
        <v>19</v>
      </c>
      <c r="B12" s="6">
        <v>0</v>
      </c>
      <c r="C12" s="1">
        <v>0</v>
      </c>
      <c r="D12" s="1">
        <v>0</v>
      </c>
      <c r="E12" s="1">
        <v>0</v>
      </c>
      <c r="F12" s="1">
        <v>0</v>
      </c>
      <c r="G12" s="9">
        <f>SUM(CT_FINANCIAL)</f>
        <v>0</v>
      </c>
      <c r="I12" s="13" t="s">
        <v>20</v>
      </c>
      <c r="J12" s="16"/>
      <c r="L12" s="6"/>
      <c r="V12" s="9"/>
    </row>
    <row r="13" spans="1:22">
      <c r="A13" s="1" t="s">
        <v>21</v>
      </c>
      <c r="B13" s="6">
        <v>45369.833579006139</v>
      </c>
      <c r="C13" s="1">
        <v>59975.535650317543</v>
      </c>
      <c r="D13" s="1">
        <v>0</v>
      </c>
      <c r="E13" s="1">
        <v>232037.84091795259</v>
      </c>
      <c r="F13" s="1">
        <v>0</v>
      </c>
      <c r="G13" s="9">
        <f>SUM(DE_FINANCIAL)</f>
        <v>337383.21014727629</v>
      </c>
      <c r="I13" s="13" t="s">
        <v>22</v>
      </c>
      <c r="J13" s="16">
        <v>79125416</v>
      </c>
      <c r="L13" s="6">
        <v>82000</v>
      </c>
      <c r="M13" s="1">
        <v>0</v>
      </c>
      <c r="O13" s="1">
        <v>418000</v>
      </c>
      <c r="P13" s="1">
        <v>0</v>
      </c>
      <c r="R13" s="1">
        <v>0</v>
      </c>
      <c r="S13" s="1">
        <v>0</v>
      </c>
      <c r="U13" s="1">
        <v>0</v>
      </c>
      <c r="V13" s="9">
        <v>0</v>
      </c>
    </row>
    <row r="14" spans="1:22">
      <c r="A14" s="1" t="s">
        <v>23</v>
      </c>
      <c r="B14" s="6">
        <v>0</v>
      </c>
      <c r="C14" s="1">
        <v>0</v>
      </c>
      <c r="D14" s="1">
        <v>0</v>
      </c>
      <c r="E14" s="1">
        <v>0</v>
      </c>
      <c r="F14" s="1">
        <v>0</v>
      </c>
      <c r="G14" s="9">
        <f>SUM(DC_FINANCIAL)</f>
        <v>0</v>
      </c>
      <c r="I14" s="13" t="s">
        <v>24</v>
      </c>
      <c r="J14" s="16">
        <v>4933932.9999999981</v>
      </c>
      <c r="L14" s="6"/>
      <c r="V14" s="9"/>
    </row>
    <row r="15" spans="1:22">
      <c r="A15" s="1" t="s">
        <v>25</v>
      </c>
      <c r="B15" s="6">
        <v>2477191.004463701</v>
      </c>
      <c r="C15" s="1">
        <v>1756526.1662031896</v>
      </c>
      <c r="D15" s="1">
        <v>0</v>
      </c>
      <c r="E15" s="1">
        <v>0</v>
      </c>
      <c r="F15" s="1">
        <v>0</v>
      </c>
      <c r="G15" s="9">
        <f>SUM(FL_FINANCIAL)</f>
        <v>4233717.1706668902</v>
      </c>
      <c r="I15" s="13" t="s">
        <v>26</v>
      </c>
      <c r="J15" s="16">
        <v>2897449.169999999</v>
      </c>
      <c r="L15" s="6">
        <v>2300000</v>
      </c>
      <c r="M15" s="1">
        <v>0</v>
      </c>
      <c r="O15" s="1">
        <v>1000000</v>
      </c>
      <c r="P15" s="1">
        <v>0</v>
      </c>
      <c r="R15" s="1">
        <v>1300000</v>
      </c>
      <c r="S15" s="1">
        <v>0</v>
      </c>
      <c r="U15" s="1">
        <v>0</v>
      </c>
      <c r="V15" s="9">
        <v>0</v>
      </c>
    </row>
    <row r="16" spans="1:22">
      <c r="A16" s="1" t="s">
        <v>27</v>
      </c>
      <c r="B16" s="6">
        <v>1195120.8848296409</v>
      </c>
      <c r="C16" s="1">
        <v>0</v>
      </c>
      <c r="D16" s="1">
        <v>0</v>
      </c>
      <c r="E16" s="1">
        <v>110519.7249168734</v>
      </c>
      <c r="F16" s="1">
        <v>0</v>
      </c>
      <c r="G16" s="9">
        <f>SUM(GA_FINANCIAL)</f>
        <v>1305640.6097465144</v>
      </c>
      <c r="I16" s="13" t="s">
        <v>28</v>
      </c>
      <c r="J16" s="16">
        <v>0</v>
      </c>
      <c r="L16" s="6">
        <v>1630072</v>
      </c>
      <c r="M16" s="1">
        <v>0</v>
      </c>
      <c r="O16" s="1">
        <v>0</v>
      </c>
      <c r="P16" s="1">
        <v>0</v>
      </c>
      <c r="R16" s="1">
        <v>0</v>
      </c>
      <c r="S16" s="1">
        <v>0</v>
      </c>
      <c r="U16" s="1">
        <v>157061</v>
      </c>
      <c r="V16" s="9">
        <v>-1770.53</v>
      </c>
    </row>
    <row r="17" spans="1:22">
      <c r="A17" s="1" t="s">
        <v>29</v>
      </c>
      <c r="B17" s="6">
        <v>68394.513320275961</v>
      </c>
      <c r="C17" s="1">
        <v>0</v>
      </c>
      <c r="D17" s="1">
        <v>0</v>
      </c>
      <c r="E17" s="1">
        <v>0</v>
      </c>
      <c r="F17" s="1">
        <v>0</v>
      </c>
      <c r="G17" s="9">
        <f>SUM(HI_FINANCIAL)</f>
        <v>68394.513320275961</v>
      </c>
      <c r="I17" s="13"/>
      <c r="J17" s="16"/>
      <c r="L17" s="6">
        <v>0</v>
      </c>
      <c r="M17" s="1">
        <v>19697</v>
      </c>
      <c r="O17" s="1">
        <v>0</v>
      </c>
      <c r="P17" s="1">
        <v>0</v>
      </c>
      <c r="R17" s="1">
        <v>121409</v>
      </c>
      <c r="S17" s="1">
        <v>0</v>
      </c>
      <c r="U17" s="1">
        <v>0</v>
      </c>
      <c r="V17" s="9">
        <v>0</v>
      </c>
    </row>
    <row r="18" spans="1:22">
      <c r="A18" s="1" t="s">
        <v>30</v>
      </c>
      <c r="B18" s="6">
        <v>131116.69432653923</v>
      </c>
      <c r="C18" s="1">
        <v>0</v>
      </c>
      <c r="D18" s="1">
        <v>0</v>
      </c>
      <c r="E18" s="1">
        <v>0</v>
      </c>
      <c r="F18" s="1">
        <v>0</v>
      </c>
      <c r="G18" s="9">
        <f>SUM(ID_FINANCIAL)</f>
        <v>131116.69432653923</v>
      </c>
      <c r="I18" s="13" t="s">
        <v>31</v>
      </c>
      <c r="J18" s="16"/>
      <c r="L18" s="6">
        <v>275000</v>
      </c>
      <c r="M18" s="1">
        <v>0</v>
      </c>
      <c r="O18" s="1">
        <v>0</v>
      </c>
      <c r="P18" s="1">
        <v>0</v>
      </c>
      <c r="R18" s="1">
        <v>0</v>
      </c>
      <c r="S18" s="1">
        <v>0</v>
      </c>
      <c r="U18" s="1">
        <v>0</v>
      </c>
      <c r="V18" s="9">
        <v>0</v>
      </c>
    </row>
    <row r="19" spans="1:22">
      <c r="A19" s="1" t="s">
        <v>32</v>
      </c>
      <c r="B19" s="6">
        <v>13188076.258957719</v>
      </c>
      <c r="C19" s="1">
        <v>3314131.1297161132</v>
      </c>
      <c r="D19" s="1">
        <v>0</v>
      </c>
      <c r="E19" s="1">
        <v>2431447.3482384542</v>
      </c>
      <c r="F19" s="1">
        <v>0</v>
      </c>
      <c r="G19" s="9">
        <f>SUM(IL_FINANCIAL)</f>
        <v>18933654.736912288</v>
      </c>
      <c r="I19" s="13" t="s">
        <v>33</v>
      </c>
      <c r="J19" s="16">
        <v>0</v>
      </c>
      <c r="L19" s="6">
        <v>15189000</v>
      </c>
      <c r="M19" s="1">
        <v>7787461</v>
      </c>
      <c r="O19" s="1">
        <v>6029000</v>
      </c>
      <c r="P19" s="1">
        <v>2127010</v>
      </c>
      <c r="R19" s="1">
        <v>200000</v>
      </c>
      <c r="S19" s="1">
        <v>221540</v>
      </c>
      <c r="U19" s="1">
        <v>15925000</v>
      </c>
      <c r="V19" s="9">
        <v>10987367</v>
      </c>
    </row>
    <row r="20" spans="1:22">
      <c r="A20" s="1" t="s">
        <v>34</v>
      </c>
      <c r="B20" s="6">
        <v>1234196.9246880396</v>
      </c>
      <c r="C20" s="1">
        <v>80397.911154496702</v>
      </c>
      <c r="D20" s="1">
        <v>0</v>
      </c>
      <c r="E20" s="1">
        <v>0</v>
      </c>
      <c r="F20" s="1">
        <v>0</v>
      </c>
      <c r="G20" s="9">
        <f>SUM(IN_FINANCIAL)</f>
        <v>1314594.8358425363</v>
      </c>
      <c r="I20" s="13" t="s">
        <v>35</v>
      </c>
      <c r="J20" s="16">
        <v>-1818282.7484705588</v>
      </c>
      <c r="L20" s="6">
        <v>1004167</v>
      </c>
      <c r="M20" s="1">
        <v>0</v>
      </c>
      <c r="O20" s="1">
        <v>0</v>
      </c>
      <c r="P20" s="1">
        <v>0</v>
      </c>
      <c r="R20" s="1">
        <v>0</v>
      </c>
      <c r="S20" s="1">
        <v>0</v>
      </c>
      <c r="U20" s="1">
        <v>0</v>
      </c>
      <c r="V20" s="9">
        <v>0</v>
      </c>
    </row>
    <row r="21" spans="1:22">
      <c r="A21" s="1" t="s">
        <v>36</v>
      </c>
      <c r="B21" s="6">
        <v>1320419.0433456562</v>
      </c>
      <c r="C21" s="1">
        <v>100279.3612348779</v>
      </c>
      <c r="D21" s="1">
        <v>0</v>
      </c>
      <c r="E21" s="1">
        <v>0</v>
      </c>
      <c r="F21" s="1">
        <v>0</v>
      </c>
      <c r="G21" s="9">
        <f>SUM(IA_FINANCIAL)</f>
        <v>1420698.4045805342</v>
      </c>
      <c r="I21" s="13" t="s">
        <v>37</v>
      </c>
      <c r="J21" s="16"/>
      <c r="L21" s="6">
        <v>1199870</v>
      </c>
      <c r="M21" s="1">
        <v>0</v>
      </c>
      <c r="O21" s="1">
        <v>436704</v>
      </c>
      <c r="P21" s="1">
        <v>0</v>
      </c>
      <c r="R21" s="1">
        <v>0</v>
      </c>
      <c r="S21" s="1">
        <v>0</v>
      </c>
      <c r="U21" s="1">
        <v>1040000</v>
      </c>
      <c r="V21" s="9">
        <v>0</v>
      </c>
    </row>
    <row r="22" spans="1:22">
      <c r="A22" s="1" t="s">
        <v>38</v>
      </c>
      <c r="B22" s="6">
        <v>207426.57403413404</v>
      </c>
      <c r="C22" s="1">
        <v>234322.78809978411</v>
      </c>
      <c r="D22" s="1">
        <v>0</v>
      </c>
      <c r="E22" s="1">
        <v>0</v>
      </c>
      <c r="F22" s="1">
        <v>0</v>
      </c>
      <c r="G22" s="9">
        <f>SUM(KS_FINANCIAL)</f>
        <v>441749.36213391816</v>
      </c>
      <c r="I22" s="13" t="s">
        <v>39</v>
      </c>
      <c r="J22" s="16">
        <v>370225</v>
      </c>
      <c r="L22" s="6">
        <v>450000</v>
      </c>
      <c r="M22" s="1">
        <v>0</v>
      </c>
      <c r="O22" s="1">
        <v>300000</v>
      </c>
      <c r="P22" s="1">
        <v>0</v>
      </c>
      <c r="R22" s="1">
        <v>0</v>
      </c>
      <c r="S22" s="1">
        <v>0</v>
      </c>
      <c r="U22" s="1">
        <v>0</v>
      </c>
      <c r="V22" s="9">
        <v>0</v>
      </c>
    </row>
    <row r="23" spans="1:22">
      <c r="A23" s="1" t="s">
        <v>40</v>
      </c>
      <c r="B23" s="6">
        <v>463898.03573189606</v>
      </c>
      <c r="C23" s="1">
        <v>16323.504421248354</v>
      </c>
      <c r="D23" s="1">
        <v>0</v>
      </c>
      <c r="E23" s="1">
        <v>0</v>
      </c>
      <c r="F23" s="1">
        <v>0</v>
      </c>
      <c r="G23" s="9">
        <f>SUM(KY_FINANCIAL)</f>
        <v>480221.54015314439</v>
      </c>
      <c r="I23" s="13" t="s">
        <v>41</v>
      </c>
      <c r="J23" s="16"/>
      <c r="L23" s="6">
        <v>643875</v>
      </c>
      <c r="M23" s="1">
        <v>150000</v>
      </c>
      <c r="O23" s="1">
        <v>11600</v>
      </c>
      <c r="P23" s="1">
        <v>0</v>
      </c>
      <c r="R23" s="1">
        <v>0</v>
      </c>
      <c r="S23" s="1">
        <v>0</v>
      </c>
      <c r="U23" s="1">
        <v>0</v>
      </c>
      <c r="V23" s="9">
        <v>0</v>
      </c>
    </row>
    <row r="24" spans="1:22">
      <c r="A24" s="1" t="s">
        <v>42</v>
      </c>
      <c r="B24" s="6">
        <v>-2.3283064365386963E-10</v>
      </c>
      <c r="C24" s="1">
        <v>0</v>
      </c>
      <c r="D24" s="1">
        <v>0</v>
      </c>
      <c r="E24" s="1">
        <v>0</v>
      </c>
      <c r="F24" s="1">
        <v>0</v>
      </c>
      <c r="G24" s="9">
        <f>SUM(LA_FINANCIAL)</f>
        <v>-2.3283064365386963E-10</v>
      </c>
      <c r="I24" s="13" t="s">
        <v>43</v>
      </c>
      <c r="J24" s="16">
        <v>53095510.000000015</v>
      </c>
      <c r="L24" s="6"/>
      <c r="V24" s="9"/>
    </row>
    <row r="25" spans="1:22">
      <c r="A25" s="1" t="s">
        <v>44</v>
      </c>
      <c r="B25" s="6">
        <v>91296.720195528527</v>
      </c>
      <c r="C25" s="1">
        <v>0</v>
      </c>
      <c r="D25" s="1">
        <v>0</v>
      </c>
      <c r="E25" s="1">
        <v>63667.402396726931</v>
      </c>
      <c r="F25" s="1">
        <v>0</v>
      </c>
      <c r="G25" s="9">
        <f>SUM(ME_FINANCIAL)</f>
        <v>154964.12259225547</v>
      </c>
      <c r="I25" s="13"/>
      <c r="J25" s="16"/>
      <c r="L25" s="6">
        <v>230000</v>
      </c>
      <c r="M25" s="1">
        <v>0</v>
      </c>
      <c r="O25" s="1">
        <v>0</v>
      </c>
      <c r="P25" s="1">
        <v>0</v>
      </c>
      <c r="R25" s="1">
        <v>0</v>
      </c>
      <c r="S25" s="1">
        <v>0</v>
      </c>
      <c r="U25" s="1">
        <v>0</v>
      </c>
      <c r="V25" s="9">
        <v>0</v>
      </c>
    </row>
    <row r="26" spans="1:22">
      <c r="A26" s="1" t="s">
        <v>45</v>
      </c>
      <c r="B26" s="6">
        <v>-2.3283064365386963E-10</v>
      </c>
      <c r="C26" s="1">
        <v>0</v>
      </c>
      <c r="D26" s="1">
        <v>0</v>
      </c>
      <c r="E26" s="1">
        <v>0</v>
      </c>
      <c r="F26" s="1">
        <v>0</v>
      </c>
      <c r="G26" s="9">
        <f>SUM(MD_FINANCIAL)</f>
        <v>-2.3283064365386963E-10</v>
      </c>
      <c r="I26" s="13" t="s">
        <v>46</v>
      </c>
      <c r="J26" s="16">
        <f>SUM(ADD_FINANCIAL)-SUM(LESS_FINANCIAL)</f>
        <v>107771804.22937045</v>
      </c>
      <c r="L26" s="6"/>
      <c r="V26" s="9"/>
    </row>
    <row r="27" spans="1:22">
      <c r="A27" s="1" t="s">
        <v>47</v>
      </c>
      <c r="B27" s="6">
        <v>1598221.2706992128</v>
      </c>
      <c r="C27" s="1">
        <v>0</v>
      </c>
      <c r="D27" s="1">
        <v>0</v>
      </c>
      <c r="E27" s="1">
        <v>0</v>
      </c>
      <c r="F27" s="1">
        <v>0</v>
      </c>
      <c r="G27" s="9">
        <f>SUM(MA_FINANCIAL)</f>
        <v>1598221.2706992128</v>
      </c>
      <c r="I27" s="13" t="s">
        <v>48</v>
      </c>
      <c r="J27" s="16">
        <f>SUM(ALL_BLOCKS)</f>
        <v>107771804.22937047</v>
      </c>
      <c r="L27" s="6">
        <v>2000000</v>
      </c>
      <c r="M27" s="1">
        <v>0</v>
      </c>
      <c r="O27" s="1">
        <v>0</v>
      </c>
      <c r="P27" s="1">
        <v>0</v>
      </c>
      <c r="R27" s="1">
        <v>0</v>
      </c>
      <c r="S27" s="1">
        <v>0</v>
      </c>
      <c r="U27" s="1">
        <v>0</v>
      </c>
      <c r="V27" s="9">
        <v>0</v>
      </c>
    </row>
    <row r="28" spans="1:22">
      <c r="A28" s="1" t="s">
        <v>49</v>
      </c>
      <c r="B28" s="6">
        <v>5156080.9320903979</v>
      </c>
      <c r="C28" s="1">
        <v>1624865.4421040844</v>
      </c>
      <c r="D28" s="1">
        <v>0</v>
      </c>
      <c r="E28" s="1">
        <v>3491311.3666136372</v>
      </c>
      <c r="F28" s="1">
        <v>0</v>
      </c>
      <c r="G28" s="9">
        <f>SUM(MI_FINANCIAL)</f>
        <v>10272257.74080812</v>
      </c>
      <c r="I28" s="14"/>
      <c r="J28" s="17"/>
      <c r="L28" s="6">
        <v>4100000</v>
      </c>
      <c r="M28" s="1">
        <v>900647</v>
      </c>
      <c r="O28" s="1">
        <v>2500000</v>
      </c>
      <c r="P28" s="1">
        <v>0</v>
      </c>
      <c r="R28" s="1">
        <v>0</v>
      </c>
      <c r="S28" s="1">
        <v>0</v>
      </c>
      <c r="U28" s="1">
        <v>10300000</v>
      </c>
      <c r="V28" s="9">
        <v>4497170</v>
      </c>
    </row>
    <row r="29" spans="1:22">
      <c r="A29" s="1" t="s">
        <v>50</v>
      </c>
      <c r="B29" s="6">
        <v>-0.16064403949885922</v>
      </c>
      <c r="C29" s="1">
        <v>61037.702092913081</v>
      </c>
      <c r="D29" s="1">
        <v>0</v>
      </c>
      <c r="E29" s="1">
        <v>2403902.3604149404</v>
      </c>
      <c r="F29" s="1">
        <v>0</v>
      </c>
      <c r="G29" s="9">
        <f>SUM(MN_FINANCIAL)</f>
        <v>2464939.9018638139</v>
      </c>
      <c r="L29" s="6">
        <v>447000</v>
      </c>
      <c r="M29" s="1">
        <v>353520</v>
      </c>
      <c r="O29" s="1">
        <v>3170000</v>
      </c>
      <c r="P29" s="1">
        <v>2592480</v>
      </c>
      <c r="R29" s="1">
        <v>0</v>
      </c>
      <c r="S29" s="1">
        <v>0</v>
      </c>
      <c r="U29" s="1">
        <v>0</v>
      </c>
      <c r="V29" s="9">
        <v>0</v>
      </c>
    </row>
    <row r="30" spans="1:22">
      <c r="A30" s="1" t="s">
        <v>51</v>
      </c>
      <c r="B30" s="6">
        <v>276221.05690131889</v>
      </c>
      <c r="C30" s="1">
        <v>17556.147758459134</v>
      </c>
      <c r="D30" s="1">
        <v>0</v>
      </c>
      <c r="E30" s="1">
        <v>0</v>
      </c>
      <c r="F30" s="1">
        <v>0</v>
      </c>
      <c r="G30" s="9">
        <f>SUM(MS_FINANCIAL)</f>
        <v>293777.20465977804</v>
      </c>
      <c r="L30" s="6">
        <v>368000</v>
      </c>
      <c r="M30" s="1">
        <v>0</v>
      </c>
      <c r="O30" s="1">
        <v>32000</v>
      </c>
      <c r="P30" s="1">
        <v>0</v>
      </c>
      <c r="R30" s="1">
        <v>0</v>
      </c>
      <c r="S30" s="1">
        <v>0</v>
      </c>
      <c r="U30" s="1">
        <v>0</v>
      </c>
      <c r="V30" s="9">
        <v>0</v>
      </c>
    </row>
    <row r="31" spans="1:22">
      <c r="A31" s="1" t="s">
        <v>52</v>
      </c>
      <c r="B31" s="6">
        <v>544027.02898497414</v>
      </c>
      <c r="C31" s="1">
        <v>184480.71788341177</v>
      </c>
      <c r="D31" s="1">
        <v>0</v>
      </c>
      <c r="E31" s="1">
        <v>0</v>
      </c>
      <c r="F31" s="1">
        <v>0</v>
      </c>
      <c r="G31" s="9">
        <f>SUM(MO_FINANCIAL)</f>
        <v>728507.74686838593</v>
      </c>
      <c r="L31" s="6">
        <v>1650000</v>
      </c>
      <c r="M31" s="1">
        <v>0</v>
      </c>
      <c r="O31" s="1">
        <v>353704</v>
      </c>
      <c r="P31" s="1">
        <v>0</v>
      </c>
      <c r="R31" s="1">
        <v>0</v>
      </c>
      <c r="S31" s="1">
        <v>0</v>
      </c>
      <c r="U31" s="1">
        <v>0</v>
      </c>
      <c r="V31" s="9">
        <v>0</v>
      </c>
    </row>
    <row r="32" spans="1:22">
      <c r="A32" s="1" t="s">
        <v>53</v>
      </c>
      <c r="B32" s="6">
        <v>242544.35738207214</v>
      </c>
      <c r="C32" s="1">
        <v>115273.10882349081</v>
      </c>
      <c r="D32" s="1">
        <v>0</v>
      </c>
      <c r="E32" s="1">
        <v>0</v>
      </c>
      <c r="F32" s="1">
        <v>0</v>
      </c>
      <c r="G32" s="9">
        <f>SUM(MT_FINANCIAL)</f>
        <v>357817.46620556293</v>
      </c>
      <c r="L32" s="6">
        <v>429300</v>
      </c>
      <c r="M32" s="1">
        <v>0</v>
      </c>
      <c r="O32" s="1">
        <v>56000</v>
      </c>
      <c r="P32" s="1">
        <v>0</v>
      </c>
      <c r="R32" s="1">
        <v>0</v>
      </c>
      <c r="S32" s="1">
        <v>0</v>
      </c>
      <c r="U32" s="1">
        <v>0</v>
      </c>
      <c r="V32" s="9">
        <v>0</v>
      </c>
    </row>
    <row r="33" spans="1:22">
      <c r="A33" s="1" t="s">
        <v>54</v>
      </c>
      <c r="B33" s="6">
        <v>1177367.4095338404</v>
      </c>
      <c r="C33" s="1">
        <v>119062.18176379008</v>
      </c>
      <c r="D33" s="1">
        <v>0</v>
      </c>
      <c r="E33" s="1">
        <v>0</v>
      </c>
      <c r="F33" s="1">
        <v>0</v>
      </c>
      <c r="G33" s="9">
        <f>SUM(NE_FINANCIAL)</f>
        <v>1296429.5912976305</v>
      </c>
      <c r="L33" s="6">
        <v>1639125</v>
      </c>
      <c r="M33" s="1">
        <v>137750</v>
      </c>
      <c r="O33" s="1">
        <v>102116</v>
      </c>
      <c r="P33" s="1">
        <v>7250</v>
      </c>
      <c r="R33" s="1">
        <v>0</v>
      </c>
      <c r="S33" s="1">
        <v>0</v>
      </c>
      <c r="U33" s="1">
        <v>0</v>
      </c>
      <c r="V33" s="9">
        <v>0</v>
      </c>
    </row>
    <row r="34" spans="1:22">
      <c r="A34" s="1" t="s">
        <v>55</v>
      </c>
      <c r="B34" s="6">
        <v>113329.80264569481</v>
      </c>
      <c r="C34" s="1">
        <v>15775.499696333382</v>
      </c>
      <c r="D34" s="1">
        <v>0</v>
      </c>
      <c r="E34" s="1">
        <v>0</v>
      </c>
      <c r="F34" s="1">
        <v>0</v>
      </c>
      <c r="G34" s="9">
        <f>SUM(NV_FINANCIAL)</f>
        <v>129105.3023420282</v>
      </c>
      <c r="L34" s="6">
        <v>213900</v>
      </c>
      <c r="M34" s="1">
        <v>0</v>
      </c>
      <c r="O34" s="1">
        <v>9500</v>
      </c>
      <c r="P34" s="1">
        <v>0</v>
      </c>
      <c r="R34" s="1">
        <v>0</v>
      </c>
      <c r="S34" s="1">
        <v>0</v>
      </c>
      <c r="U34" s="1">
        <v>0</v>
      </c>
      <c r="V34" s="9">
        <v>0</v>
      </c>
    </row>
    <row r="35" spans="1:22">
      <c r="A35" s="1" t="s">
        <v>56</v>
      </c>
      <c r="B35" s="6">
        <v>388191.9864102549</v>
      </c>
      <c r="C35" s="1">
        <v>146996.28813317491</v>
      </c>
      <c r="D35" s="1">
        <v>0</v>
      </c>
      <c r="E35" s="1">
        <v>607576.32708864158</v>
      </c>
      <c r="F35" s="1">
        <v>0</v>
      </c>
      <c r="G35" s="9">
        <f>SUM(NH_FINANCIAL)</f>
        <v>1142764.6016320714</v>
      </c>
      <c r="L35" s="6">
        <v>1283000</v>
      </c>
      <c r="M35" s="1">
        <v>250000</v>
      </c>
      <c r="O35" s="1">
        <v>1217000</v>
      </c>
      <c r="P35" s="1">
        <v>550000</v>
      </c>
      <c r="R35" s="1">
        <v>0</v>
      </c>
      <c r="S35" s="1">
        <v>0</v>
      </c>
      <c r="U35" s="1">
        <v>0</v>
      </c>
      <c r="V35" s="9">
        <v>0</v>
      </c>
    </row>
    <row r="36" spans="1:22">
      <c r="A36" s="1" t="s">
        <v>57</v>
      </c>
      <c r="B36" s="6">
        <v>7671000.4748165421</v>
      </c>
      <c r="C36" s="1">
        <v>1533725.2528033189</v>
      </c>
      <c r="D36" s="1">
        <v>0</v>
      </c>
      <c r="E36" s="1">
        <v>3477971.3466877248</v>
      </c>
      <c r="F36" s="1">
        <v>0</v>
      </c>
      <c r="G36" s="9">
        <f>SUM(NJ_FINANCIAL)</f>
        <v>12682697.074307585</v>
      </c>
      <c r="L36" s="6">
        <v>5500000</v>
      </c>
      <c r="M36" s="1">
        <v>3764806</v>
      </c>
      <c r="O36" s="1">
        <v>2508522</v>
      </c>
      <c r="P36" s="1">
        <v>4520000</v>
      </c>
      <c r="R36" s="1">
        <v>0</v>
      </c>
      <c r="S36" s="1">
        <v>0</v>
      </c>
      <c r="U36" s="1">
        <v>11404352</v>
      </c>
      <c r="V36" s="9">
        <v>0</v>
      </c>
    </row>
    <row r="37" spans="1:22">
      <c r="A37" s="1" t="s">
        <v>58</v>
      </c>
      <c r="B37" s="6">
        <v>208876.21458554908</v>
      </c>
      <c r="C37" s="1">
        <v>48649.417275770858</v>
      </c>
      <c r="D37" s="1">
        <v>0</v>
      </c>
      <c r="E37" s="1">
        <v>0</v>
      </c>
      <c r="F37" s="1">
        <v>0</v>
      </c>
      <c r="G37" s="9">
        <f>SUM(NM_FINANCIAL)</f>
        <v>257525.63186131994</v>
      </c>
      <c r="L37" s="6">
        <v>260000</v>
      </c>
      <c r="M37" s="1">
        <v>0</v>
      </c>
      <c r="O37" s="1">
        <v>55263</v>
      </c>
      <c r="P37" s="1">
        <v>0</v>
      </c>
      <c r="R37" s="1">
        <v>0</v>
      </c>
      <c r="S37" s="1">
        <v>0</v>
      </c>
      <c r="U37" s="1">
        <v>0</v>
      </c>
      <c r="V37" s="9">
        <v>0</v>
      </c>
    </row>
    <row r="38" spans="1:22">
      <c r="A38" s="1" t="s">
        <v>59</v>
      </c>
      <c r="B38" s="6">
        <v>4.6566128730773926E-10</v>
      </c>
      <c r="C38" s="1">
        <v>0</v>
      </c>
      <c r="D38" s="1">
        <v>0</v>
      </c>
      <c r="E38" s="1">
        <v>0</v>
      </c>
      <c r="F38" s="1">
        <v>0</v>
      </c>
      <c r="G38" s="9">
        <f>SUM(NY_FINANCIAL)</f>
        <v>4.6566128730773926E-10</v>
      </c>
      <c r="L38" s="6"/>
      <c r="V38" s="9"/>
    </row>
    <row r="39" spans="1:22">
      <c r="A39" s="1" t="s">
        <v>60</v>
      </c>
      <c r="B39" s="6">
        <v>3056073.9838651726</v>
      </c>
      <c r="C39" s="1">
        <v>343856.2833639218</v>
      </c>
      <c r="D39" s="1">
        <v>0</v>
      </c>
      <c r="E39" s="1">
        <v>220855.22559240862</v>
      </c>
      <c r="F39" s="1">
        <v>0</v>
      </c>
      <c r="G39" s="9">
        <f>SUM(NC_FINANCIAL)</f>
        <v>3620785.492821503</v>
      </c>
      <c r="L39" s="6">
        <v>5044000</v>
      </c>
      <c r="M39" s="1">
        <v>533500</v>
      </c>
      <c r="O39" s="1">
        <v>156000</v>
      </c>
      <c r="P39" s="1">
        <v>0</v>
      </c>
      <c r="R39" s="1">
        <v>0</v>
      </c>
      <c r="S39" s="1">
        <v>0</v>
      </c>
      <c r="U39" s="1">
        <v>0</v>
      </c>
      <c r="V39" s="9">
        <v>0</v>
      </c>
    </row>
    <row r="40" spans="1:22">
      <c r="A40" s="1" t="s">
        <v>61</v>
      </c>
      <c r="B40" s="6">
        <v>140258.58576626328</v>
      </c>
      <c r="C40" s="1">
        <v>19029.144577259776</v>
      </c>
      <c r="D40" s="1">
        <v>0</v>
      </c>
      <c r="E40" s="1">
        <v>0</v>
      </c>
      <c r="F40" s="1">
        <v>0</v>
      </c>
      <c r="G40" s="9">
        <f>SUM(ND_FINANCIAL)</f>
        <v>159287.73034352306</v>
      </c>
      <c r="L40" s="6">
        <v>192600</v>
      </c>
      <c r="M40" s="1">
        <v>0</v>
      </c>
      <c r="O40" s="1">
        <v>16600</v>
      </c>
      <c r="P40" s="1">
        <v>0</v>
      </c>
      <c r="R40" s="1">
        <v>0</v>
      </c>
      <c r="S40" s="1">
        <v>0</v>
      </c>
      <c r="U40" s="1">
        <v>0</v>
      </c>
      <c r="V40" s="9">
        <v>0</v>
      </c>
    </row>
    <row r="41" spans="1:22">
      <c r="A41" s="1" t="s">
        <v>62</v>
      </c>
      <c r="B41" s="6">
        <v>3585992.1221347293</v>
      </c>
      <c r="C41" s="1">
        <v>315304.01980564836</v>
      </c>
      <c r="D41" s="1">
        <v>0</v>
      </c>
      <c r="E41" s="1">
        <v>481454.88721310091</v>
      </c>
      <c r="F41" s="1">
        <v>0</v>
      </c>
      <c r="G41" s="9">
        <f>SUM(OH_FINANCIAL)</f>
        <v>4382751.0291534783</v>
      </c>
      <c r="L41" s="6">
        <v>3500000</v>
      </c>
      <c r="M41" s="1">
        <v>0</v>
      </c>
      <c r="O41" s="1">
        <v>200000</v>
      </c>
      <c r="P41" s="1">
        <v>0</v>
      </c>
      <c r="R41" s="1">
        <v>0</v>
      </c>
      <c r="S41" s="1">
        <v>0</v>
      </c>
      <c r="U41" s="1">
        <v>3000000</v>
      </c>
      <c r="V41" s="9">
        <v>2500000</v>
      </c>
    </row>
    <row r="42" spans="1:22">
      <c r="A42" s="1" t="s">
        <v>63</v>
      </c>
      <c r="B42" s="6">
        <v>410169.41005632852</v>
      </c>
      <c r="C42" s="1">
        <v>258100.05506558172</v>
      </c>
      <c r="D42" s="1">
        <v>0</v>
      </c>
      <c r="E42" s="1">
        <v>0</v>
      </c>
      <c r="F42" s="1">
        <v>0</v>
      </c>
      <c r="G42" s="9">
        <f>SUM(OK_FINANCIAL)</f>
        <v>668269.46512191021</v>
      </c>
      <c r="L42" s="6">
        <v>768000</v>
      </c>
      <c r="M42" s="1">
        <v>160000</v>
      </c>
      <c r="O42" s="1">
        <v>432000</v>
      </c>
      <c r="P42" s="1">
        <v>90000</v>
      </c>
      <c r="R42" s="1">
        <v>0</v>
      </c>
      <c r="S42" s="1">
        <v>0</v>
      </c>
      <c r="U42" s="1">
        <v>0</v>
      </c>
      <c r="V42" s="9">
        <v>0</v>
      </c>
    </row>
    <row r="43" spans="1:22">
      <c r="A43" s="1" t="s">
        <v>64</v>
      </c>
      <c r="B43" s="6">
        <v>490940.04214307887</v>
      </c>
      <c r="C43" s="1">
        <v>3307.6975564176892</v>
      </c>
      <c r="D43" s="1">
        <v>0</v>
      </c>
      <c r="E43" s="1">
        <v>0</v>
      </c>
      <c r="F43" s="1">
        <v>0</v>
      </c>
      <c r="G43" s="9">
        <f>SUM(OR_FINANCIAL)</f>
        <v>494247.73969949654</v>
      </c>
      <c r="L43" s="6">
        <v>619914</v>
      </c>
      <c r="M43" s="1">
        <v>0</v>
      </c>
      <c r="O43" s="1">
        <v>0</v>
      </c>
      <c r="P43" s="1">
        <v>0</v>
      </c>
      <c r="R43" s="1">
        <v>0</v>
      </c>
      <c r="S43" s="1">
        <v>0</v>
      </c>
      <c r="U43" s="1">
        <v>0</v>
      </c>
      <c r="V43" s="9">
        <v>0</v>
      </c>
    </row>
    <row r="44" spans="1:22">
      <c r="A44" s="1" t="s">
        <v>65</v>
      </c>
      <c r="B44" s="6">
        <v>4846863.6182279177</v>
      </c>
      <c r="C44" s="1">
        <v>772328.39742092928</v>
      </c>
      <c r="D44" s="1">
        <v>0</v>
      </c>
      <c r="E44" s="1">
        <v>1538614.18334295</v>
      </c>
      <c r="F44" s="1">
        <v>0</v>
      </c>
      <c r="G44" s="9">
        <f>SUM(PA_FINANCIAL)</f>
        <v>7157806.1989917979</v>
      </c>
      <c r="L44" s="6">
        <v>4460640</v>
      </c>
      <c r="M44" s="1">
        <v>0</v>
      </c>
      <c r="O44" s="1">
        <v>5736310</v>
      </c>
      <c r="P44" s="1">
        <v>0</v>
      </c>
      <c r="R44" s="1">
        <v>803050</v>
      </c>
      <c r="S44" s="1">
        <v>0</v>
      </c>
      <c r="U44" s="1">
        <v>0</v>
      </c>
      <c r="V44" s="9">
        <v>0</v>
      </c>
    </row>
    <row r="45" spans="1:22">
      <c r="A45" s="1" t="s">
        <v>66</v>
      </c>
      <c r="B45" s="6">
        <v>0</v>
      </c>
      <c r="C45" s="1">
        <v>0</v>
      </c>
      <c r="D45" s="1">
        <v>0</v>
      </c>
      <c r="E45" s="1">
        <v>0</v>
      </c>
      <c r="F45" s="1">
        <v>0</v>
      </c>
      <c r="G45" s="9">
        <f>SUM(PR_FINANCIAL)</f>
        <v>0</v>
      </c>
      <c r="L45" s="6">
        <v>14808</v>
      </c>
      <c r="M45" s="1">
        <v>0</v>
      </c>
      <c r="O45" s="1">
        <v>0</v>
      </c>
      <c r="P45" s="1">
        <v>0</v>
      </c>
      <c r="R45" s="1">
        <v>0</v>
      </c>
      <c r="S45" s="1">
        <v>0</v>
      </c>
      <c r="U45" s="1">
        <v>0</v>
      </c>
      <c r="V45" s="9">
        <v>0</v>
      </c>
    </row>
    <row r="46" spans="1:22">
      <c r="A46" s="1" t="s">
        <v>67</v>
      </c>
      <c r="B46" s="6">
        <v>336135.66800992435</v>
      </c>
      <c r="C46" s="1">
        <v>0</v>
      </c>
      <c r="D46" s="1">
        <v>0</v>
      </c>
      <c r="E46" s="1">
        <v>0</v>
      </c>
      <c r="F46" s="1">
        <v>0</v>
      </c>
      <c r="G46" s="9">
        <f>SUM(RI_FINANCIAL)</f>
        <v>336135.66800992435</v>
      </c>
      <c r="L46" s="6">
        <v>427727</v>
      </c>
      <c r="M46" s="1">
        <v>0</v>
      </c>
      <c r="O46" s="1">
        <v>0</v>
      </c>
      <c r="P46" s="1">
        <v>0</v>
      </c>
      <c r="R46" s="1">
        <v>0</v>
      </c>
      <c r="S46" s="1">
        <v>0</v>
      </c>
      <c r="U46" s="1">
        <v>0</v>
      </c>
      <c r="V46" s="9">
        <v>0</v>
      </c>
    </row>
    <row r="47" spans="1:22">
      <c r="A47" s="1" t="s">
        <v>68</v>
      </c>
      <c r="B47" s="6">
        <v>844274.53144225897</v>
      </c>
      <c r="C47" s="1">
        <v>200549.89022030809</v>
      </c>
      <c r="D47" s="1">
        <v>0</v>
      </c>
      <c r="E47" s="1">
        <v>0</v>
      </c>
      <c r="F47" s="1">
        <v>0</v>
      </c>
      <c r="G47" s="9">
        <f>SUM(SC_FINANCIAL)</f>
        <v>1044824.4216625671</v>
      </c>
      <c r="L47" s="6">
        <v>928000</v>
      </c>
      <c r="M47" s="1">
        <v>0</v>
      </c>
      <c r="O47" s="1">
        <v>72000</v>
      </c>
      <c r="P47" s="1">
        <v>0</v>
      </c>
      <c r="R47" s="1">
        <v>0</v>
      </c>
      <c r="S47" s="1">
        <v>0</v>
      </c>
      <c r="U47" s="1">
        <v>0</v>
      </c>
      <c r="V47" s="9">
        <v>0</v>
      </c>
    </row>
    <row r="48" spans="1:22">
      <c r="A48" s="1" t="s">
        <v>69</v>
      </c>
      <c r="B48" s="6">
        <v>132123.37629983868</v>
      </c>
      <c r="C48" s="1">
        <v>0</v>
      </c>
      <c r="D48" s="1">
        <v>0</v>
      </c>
      <c r="E48" s="1">
        <v>0</v>
      </c>
      <c r="F48" s="1">
        <v>0</v>
      </c>
      <c r="G48" s="9">
        <f>SUM(SD_FINANCIAL)</f>
        <v>132123.37629983868</v>
      </c>
      <c r="L48" s="6">
        <v>181962</v>
      </c>
      <c r="M48" s="1">
        <v>0</v>
      </c>
      <c r="O48" s="1">
        <v>0</v>
      </c>
      <c r="P48" s="1">
        <v>0</v>
      </c>
      <c r="R48" s="1">
        <v>0</v>
      </c>
      <c r="S48" s="1">
        <v>0</v>
      </c>
      <c r="U48" s="1">
        <v>0</v>
      </c>
      <c r="V48" s="9">
        <v>0</v>
      </c>
    </row>
    <row r="49" spans="1:22">
      <c r="A49" s="1" t="s">
        <v>70</v>
      </c>
      <c r="B49" s="6">
        <v>589585.75095035997</v>
      </c>
      <c r="C49" s="1">
        <v>14063.664009104332</v>
      </c>
      <c r="D49" s="1">
        <v>0</v>
      </c>
      <c r="E49" s="1">
        <v>0</v>
      </c>
      <c r="F49" s="1">
        <v>0</v>
      </c>
      <c r="G49" s="9">
        <f>SUM(TN_FINANCIAL)</f>
        <v>603649.41495946434</v>
      </c>
      <c r="L49" s="6">
        <v>800000</v>
      </c>
      <c r="M49" s="1">
        <v>0</v>
      </c>
      <c r="O49" s="1">
        <v>15000</v>
      </c>
      <c r="P49" s="1">
        <v>0</v>
      </c>
      <c r="R49" s="1">
        <v>0</v>
      </c>
      <c r="S49" s="1">
        <v>0</v>
      </c>
      <c r="U49" s="1">
        <v>0</v>
      </c>
      <c r="V49" s="9">
        <v>0</v>
      </c>
    </row>
    <row r="50" spans="1:22">
      <c r="A50" s="1" t="s">
        <v>71</v>
      </c>
      <c r="B50" s="6">
        <v>4940302.6584821995</v>
      </c>
      <c r="C50" s="1">
        <v>1145849.2949819188</v>
      </c>
      <c r="D50" s="1">
        <v>0</v>
      </c>
      <c r="E50" s="1">
        <v>2829708.7647490716</v>
      </c>
      <c r="F50" s="1">
        <v>0</v>
      </c>
      <c r="G50" s="9">
        <f>SUM(TX_FINANCIAL)</f>
        <v>8915860.7182131894</v>
      </c>
      <c r="L50" s="6">
        <v>7943606</v>
      </c>
      <c r="M50" s="1">
        <v>2763533.6333499998</v>
      </c>
      <c r="O50" s="1">
        <v>3266771</v>
      </c>
      <c r="P50" s="1">
        <v>1029679.6889800001</v>
      </c>
      <c r="R50" s="1">
        <v>1337174</v>
      </c>
      <c r="S50" s="1">
        <v>421519.62767000002</v>
      </c>
      <c r="U50" s="1">
        <v>0</v>
      </c>
      <c r="V50" s="9">
        <v>0</v>
      </c>
    </row>
    <row r="51" spans="1:22">
      <c r="A51" s="1" t="s">
        <v>72</v>
      </c>
      <c r="B51" s="6">
        <v>340421.35796203499</v>
      </c>
      <c r="C51" s="1">
        <v>69358.267657500081</v>
      </c>
      <c r="D51" s="1">
        <v>0</v>
      </c>
      <c r="E51" s="1">
        <v>72.716908959676857</v>
      </c>
      <c r="F51" s="1">
        <v>0</v>
      </c>
      <c r="G51" s="9">
        <f>SUM(UT_FINANCIAL)</f>
        <v>409852.34252849477</v>
      </c>
      <c r="L51" s="6">
        <v>591592</v>
      </c>
      <c r="M51" s="1">
        <v>0</v>
      </c>
      <c r="O51" s="1">
        <v>97832</v>
      </c>
      <c r="P51" s="1">
        <v>0</v>
      </c>
      <c r="R51" s="1">
        <v>250</v>
      </c>
      <c r="S51" s="1">
        <v>0</v>
      </c>
      <c r="U51" s="1">
        <v>0</v>
      </c>
      <c r="V51" s="9">
        <v>0</v>
      </c>
    </row>
    <row r="52" spans="1:22">
      <c r="A52" s="1" t="s">
        <v>73</v>
      </c>
      <c r="B52" s="6">
        <v>48628.380846166881</v>
      </c>
      <c r="C52" s="1">
        <v>2813.8426878663549</v>
      </c>
      <c r="D52" s="1">
        <v>0</v>
      </c>
      <c r="E52" s="1">
        <v>0</v>
      </c>
      <c r="F52" s="1">
        <v>0</v>
      </c>
      <c r="G52" s="9">
        <f>SUM(VT_FINANCIAL)</f>
        <v>51442.223534033234</v>
      </c>
      <c r="L52" s="6">
        <v>81000</v>
      </c>
      <c r="M52" s="1">
        <v>0</v>
      </c>
      <c r="O52" s="1">
        <v>6000</v>
      </c>
      <c r="P52" s="1">
        <v>0</v>
      </c>
      <c r="R52" s="1">
        <v>0</v>
      </c>
      <c r="S52" s="1">
        <v>0</v>
      </c>
      <c r="U52" s="1">
        <v>0</v>
      </c>
      <c r="V52" s="9">
        <v>0</v>
      </c>
    </row>
    <row r="53" spans="1:22">
      <c r="A53" s="1" t="s">
        <v>74</v>
      </c>
      <c r="B53" s="6">
        <v>758017.40106835263</v>
      </c>
      <c r="C53" s="1">
        <v>5759.1419402080737</v>
      </c>
      <c r="D53" s="1">
        <v>0</v>
      </c>
      <c r="E53" s="1">
        <v>0</v>
      </c>
      <c r="F53" s="1">
        <v>0</v>
      </c>
      <c r="G53" s="9">
        <f>SUM(VA_FINANCIAL)</f>
        <v>763776.54300856066</v>
      </c>
      <c r="L53" s="6">
        <v>2000000</v>
      </c>
      <c r="M53" s="1">
        <v>2556164</v>
      </c>
      <c r="O53" s="1">
        <v>85000</v>
      </c>
      <c r="P53" s="1">
        <v>0</v>
      </c>
      <c r="R53" s="1">
        <v>0</v>
      </c>
      <c r="S53" s="1">
        <v>0</v>
      </c>
      <c r="U53" s="1">
        <v>0</v>
      </c>
      <c r="V53" s="9">
        <v>0</v>
      </c>
    </row>
    <row r="54" spans="1:22">
      <c r="A54" s="1" t="s">
        <v>75</v>
      </c>
      <c r="B54" s="6">
        <v>898985.55433335283</v>
      </c>
      <c r="C54" s="1">
        <v>221020.68532045238</v>
      </c>
      <c r="D54" s="1">
        <v>0</v>
      </c>
      <c r="E54" s="1">
        <v>0</v>
      </c>
      <c r="F54" s="1">
        <v>0</v>
      </c>
      <c r="G54" s="9">
        <f>SUM(WA_FINANCIAL)</f>
        <v>1120006.2396538053</v>
      </c>
      <c r="L54" s="6">
        <v>1175000</v>
      </c>
      <c r="M54" s="1">
        <v>315235</v>
      </c>
      <c r="O54" s="1">
        <v>400000</v>
      </c>
      <c r="P54" s="1">
        <v>288326</v>
      </c>
      <c r="R54" s="1">
        <v>0</v>
      </c>
      <c r="S54" s="1">
        <v>0</v>
      </c>
      <c r="U54" s="1">
        <v>0</v>
      </c>
      <c r="V54" s="9">
        <v>0</v>
      </c>
    </row>
    <row r="55" spans="1:22">
      <c r="A55" s="1" t="s">
        <v>76</v>
      </c>
      <c r="B55" s="6">
        <v>94345.308271840273</v>
      </c>
      <c r="C55" s="1">
        <v>1053.384859884105</v>
      </c>
      <c r="D55" s="1">
        <v>0</v>
      </c>
      <c r="E55" s="1">
        <v>0</v>
      </c>
      <c r="F55" s="1">
        <v>0</v>
      </c>
      <c r="G55" s="9">
        <f>SUM(WV_FINANCIAL)</f>
        <v>95398.693131724373</v>
      </c>
      <c r="L55" s="6">
        <v>157506</v>
      </c>
      <c r="M55" s="1">
        <v>86553</v>
      </c>
      <c r="O55" s="1">
        <v>101999</v>
      </c>
      <c r="P55" s="1">
        <v>24519</v>
      </c>
      <c r="R55" s="1">
        <v>0</v>
      </c>
      <c r="S55" s="1">
        <v>0</v>
      </c>
      <c r="U55" s="1">
        <v>0</v>
      </c>
      <c r="V55" s="9">
        <v>0</v>
      </c>
    </row>
    <row r="56" spans="1:22">
      <c r="A56" s="1" t="s">
        <v>77</v>
      </c>
      <c r="B56" s="6">
        <v>200805.41480724691</v>
      </c>
      <c r="C56" s="1">
        <v>199010.16854199956</v>
      </c>
      <c r="D56" s="1">
        <v>0</v>
      </c>
      <c r="E56" s="1">
        <v>0</v>
      </c>
      <c r="F56" s="1">
        <v>0</v>
      </c>
      <c r="G56" s="9">
        <f>SUM(WI_FINANCIAL)</f>
        <v>399815.58334924647</v>
      </c>
      <c r="L56" s="6">
        <v>420000</v>
      </c>
      <c r="M56" s="1">
        <v>0</v>
      </c>
      <c r="O56" s="1">
        <v>320000</v>
      </c>
      <c r="P56" s="1">
        <v>0</v>
      </c>
      <c r="R56" s="1">
        <v>0</v>
      </c>
      <c r="S56" s="1">
        <v>0</v>
      </c>
      <c r="U56" s="1">
        <v>0</v>
      </c>
      <c r="V56" s="9">
        <v>0</v>
      </c>
    </row>
    <row r="57" spans="1:22">
      <c r="A57" s="1" t="s">
        <v>78</v>
      </c>
      <c r="B57" s="6">
        <v>126241.63883353157</v>
      </c>
      <c r="C57" s="1">
        <v>13597.92624909637</v>
      </c>
      <c r="D57" s="1">
        <v>0</v>
      </c>
      <c r="E57" s="1">
        <v>0</v>
      </c>
      <c r="F57" s="1">
        <v>0</v>
      </c>
      <c r="G57" s="9">
        <f>SUM(WY_FINANCIAL)</f>
        <v>139839.56508262793</v>
      </c>
      <c r="L57" s="6">
        <v>150150</v>
      </c>
      <c r="M57" s="1">
        <v>299619</v>
      </c>
      <c r="O57" s="1">
        <v>200600</v>
      </c>
      <c r="P57" s="1">
        <v>74905</v>
      </c>
      <c r="R57" s="1">
        <v>0</v>
      </c>
      <c r="S57" s="1">
        <v>0</v>
      </c>
      <c r="U57" s="1">
        <v>0</v>
      </c>
      <c r="V57" s="9">
        <v>0</v>
      </c>
    </row>
    <row r="58" spans="1:22">
      <c r="A58" s="1" t="s">
        <v>79</v>
      </c>
      <c r="B58" s="6">
        <v>0</v>
      </c>
      <c r="C58" s="1">
        <v>0</v>
      </c>
      <c r="D58" s="1">
        <v>0</v>
      </c>
      <c r="E58" s="1">
        <v>0</v>
      </c>
      <c r="F58" s="1">
        <v>0</v>
      </c>
      <c r="G58" s="9">
        <f>SUM(OT_FINANCIAL)</f>
        <v>0</v>
      </c>
      <c r="L58" s="6"/>
      <c r="V58" s="9"/>
    </row>
    <row r="59" spans="1:22">
      <c r="B59" s="6"/>
      <c r="G59" s="9"/>
      <c r="L59" s="6"/>
      <c r="V59" s="9"/>
    </row>
    <row r="60" spans="1:22">
      <c r="A60" s="1" t="s">
        <v>8</v>
      </c>
      <c r="B60" s="6">
        <f>SUM(LIFE)</f>
        <v>71930182.822873682</v>
      </c>
      <c r="C60" s="1">
        <f>SUM(ALLOCATED)</f>
        <v>17952481.911415406</v>
      </c>
      <c r="D60" s="1">
        <f>SUM(HEALTH)</f>
        <v>0</v>
      </c>
      <c r="E60" s="1">
        <f>SUM(UNALLOCATED)</f>
        <v>17889139.495081443</v>
      </c>
      <c r="F60" s="1">
        <f>SUM(LTC)</f>
        <v>0</v>
      </c>
      <c r="G60" s="9">
        <f>SUM(ALL_BLOCKS)</f>
        <v>107771804.22937047</v>
      </c>
      <c r="L60" s="6">
        <f>SUM(LIFE_CALLED)</f>
        <v>90759188</v>
      </c>
      <c r="M60" s="1">
        <f>SUM(LIFE_REFUNDED)</f>
        <v>25834985.63335</v>
      </c>
      <c r="O60" s="1">
        <f>SUM(ALLOC_CALLED)</f>
        <v>37166103</v>
      </c>
      <c r="P60" s="1">
        <f>SUM(ALLOC_REFUNDED)</f>
        <v>19867169.688979998</v>
      </c>
      <c r="R60" s="1">
        <f>SUM(HEALTH_CALLED)</f>
        <v>4032883</v>
      </c>
      <c r="S60" s="1">
        <f>SUM(HEALTH_REFUNDED)</f>
        <v>643059.62767000007</v>
      </c>
      <c r="U60" s="1">
        <f>SUM(UNALLOC_CALLED)</f>
        <v>41826413</v>
      </c>
      <c r="V60" s="9">
        <f>SUM(UNALLOC_REFUNDED)</f>
        <v>17982766.469999999</v>
      </c>
    </row>
    <row r="61" spans="1:22" ht="5.0999999999999996" customHeight="1">
      <c r="B61" s="6"/>
      <c r="G61" s="9"/>
      <c r="L61" s="6"/>
      <c r="V61" s="9"/>
    </row>
    <row r="62" spans="1:22">
      <c r="B62" s="6"/>
      <c r="G62" s="9"/>
      <c r="L62" s="78" t="s">
        <v>80</v>
      </c>
      <c r="M62" s="79"/>
      <c r="N62" s="79"/>
      <c r="O62" s="79"/>
      <c r="P62" s="79"/>
      <c r="Q62" s="79"/>
      <c r="R62" s="79"/>
      <c r="S62" s="79"/>
      <c r="T62" s="79"/>
      <c r="U62" s="79"/>
      <c r="V62" s="80"/>
    </row>
    <row r="63" spans="1:22">
      <c r="B63" s="6"/>
      <c r="G63" s="9"/>
      <c r="L63" s="81"/>
      <c r="M63" s="79"/>
      <c r="N63" s="79"/>
      <c r="O63" s="79"/>
      <c r="P63" s="79"/>
      <c r="Q63" s="79"/>
      <c r="R63" s="79"/>
      <c r="S63" s="79"/>
      <c r="T63" s="79"/>
      <c r="U63" s="79"/>
      <c r="V63" s="80"/>
    </row>
    <row r="64" spans="1:22">
      <c r="B64" s="8"/>
      <c r="C64" s="5"/>
      <c r="D64" s="5"/>
      <c r="E64" s="5"/>
      <c r="F64" s="5"/>
      <c r="G64" s="11"/>
      <c r="L64" s="82"/>
      <c r="M64" s="83"/>
      <c r="N64" s="83"/>
      <c r="O64" s="83"/>
      <c r="P64" s="83"/>
      <c r="Q64" s="83"/>
      <c r="R64" s="83"/>
      <c r="S64" s="83"/>
      <c r="T64" s="83"/>
      <c r="U64" s="83"/>
      <c r="V64" s="84"/>
    </row>
  </sheetData>
  <mergeCells count="8">
    <mergeCell ref="L62:V64"/>
    <mergeCell ref="A1:G1"/>
    <mergeCell ref="B3:G3"/>
    <mergeCell ref="L3:V3"/>
    <mergeCell ref="L4:M4"/>
    <mergeCell ref="O4:P4"/>
    <mergeCell ref="R4:S4"/>
    <mergeCell ref="U4:V4"/>
  </mergeCells>
  <pageMargins left="0" right="0" top="0" bottom="0" header="0" footer="0"/>
  <pageSetup scale="48"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1:V64"/>
  <sheetViews>
    <sheetView zoomScale="75" workbookViewId="0">
      <selection sqref="A1:G1"/>
    </sheetView>
  </sheetViews>
  <sheetFormatPr defaultColWidth="9.109375" defaultRowHeight="14.4"/>
  <cols>
    <col min="1" max="1" width="20" style="1" customWidth="1"/>
    <col min="2" max="7" width="15" style="1" customWidth="1"/>
    <col min="8" max="8" width="1" style="1" customWidth="1"/>
    <col min="9" max="9" width="30" style="1" customWidth="1"/>
    <col min="10" max="10" width="15" style="1" customWidth="1"/>
    <col min="11" max="11" width="1" style="1" customWidth="1"/>
    <col min="12" max="13" width="15" style="1" customWidth="1"/>
    <col min="14" max="14" width="1" style="1" customWidth="1"/>
    <col min="15" max="16" width="15" style="1" customWidth="1"/>
    <col min="17" max="17" width="1" style="1" customWidth="1"/>
    <col min="18" max="19" width="15" style="1" customWidth="1"/>
    <col min="20" max="20" width="1" style="1" customWidth="1"/>
    <col min="21" max="22" width="15" style="1" customWidth="1"/>
    <col min="23" max="23" width="9.109375" style="1" customWidth="1"/>
    <col min="24" max="16384" width="9.109375" style="1"/>
  </cols>
  <sheetData>
    <row r="1" spans="1:22">
      <c r="A1" s="85" t="s">
        <v>131</v>
      </c>
      <c r="B1" s="79"/>
      <c r="C1" s="79"/>
      <c r="D1" s="79"/>
      <c r="E1" s="79"/>
      <c r="F1" s="79"/>
      <c r="G1" s="79"/>
    </row>
    <row r="3" spans="1:22">
      <c r="B3" s="86" t="s">
        <v>1</v>
      </c>
      <c r="C3" s="87"/>
      <c r="D3" s="87"/>
      <c r="E3" s="87"/>
      <c r="F3" s="87"/>
      <c r="G3" s="88"/>
      <c r="L3" s="89" t="s">
        <v>2</v>
      </c>
      <c r="M3" s="90"/>
      <c r="N3" s="90"/>
      <c r="O3" s="90"/>
      <c r="P3" s="90"/>
      <c r="Q3" s="90"/>
      <c r="R3" s="90"/>
      <c r="S3" s="90"/>
      <c r="T3" s="90"/>
      <c r="U3" s="90"/>
      <c r="V3" s="91"/>
    </row>
    <row r="4" spans="1:22">
      <c r="B4" s="6"/>
      <c r="G4" s="9"/>
      <c r="L4" s="92" t="s">
        <v>3</v>
      </c>
      <c r="M4" s="93"/>
      <c r="N4" s="3"/>
      <c r="O4" s="94" t="s">
        <v>4</v>
      </c>
      <c r="P4" s="93"/>
      <c r="Q4" s="3"/>
      <c r="R4" s="94" t="s">
        <v>5</v>
      </c>
      <c r="S4" s="93"/>
      <c r="T4" s="3"/>
      <c r="U4" s="94" t="s">
        <v>6</v>
      </c>
      <c r="V4" s="95"/>
    </row>
    <row r="5" spans="1:22" ht="60" customHeight="1">
      <c r="B5" s="7" t="s">
        <v>3</v>
      </c>
      <c r="C5" s="4" t="s">
        <v>4</v>
      </c>
      <c r="D5" s="4" t="s">
        <v>5</v>
      </c>
      <c r="E5" s="4" t="s">
        <v>6</v>
      </c>
      <c r="F5" s="4" t="s">
        <v>7</v>
      </c>
      <c r="G5" s="10" t="s">
        <v>8</v>
      </c>
      <c r="L5" s="19" t="s">
        <v>9</v>
      </c>
      <c r="M5" s="18" t="s">
        <v>10</v>
      </c>
      <c r="N5" s="18"/>
      <c r="O5" s="18" t="s">
        <v>9</v>
      </c>
      <c r="P5" s="18" t="s">
        <v>10</v>
      </c>
      <c r="Q5" s="18"/>
      <c r="R5" s="18" t="s">
        <v>9</v>
      </c>
      <c r="S5" s="18" t="s">
        <v>10</v>
      </c>
      <c r="T5" s="18"/>
      <c r="U5" s="18" t="s">
        <v>9</v>
      </c>
      <c r="V5" s="20" t="s">
        <v>10</v>
      </c>
    </row>
    <row r="6" spans="1:22">
      <c r="A6" s="1" t="s">
        <v>11</v>
      </c>
      <c r="B6" s="6">
        <v>1447.6828388237245</v>
      </c>
      <c r="C6" s="1">
        <v>0</v>
      </c>
      <c r="D6" s="1">
        <v>0</v>
      </c>
      <c r="E6" s="1">
        <v>0</v>
      </c>
      <c r="F6" s="1">
        <v>0</v>
      </c>
      <c r="G6" s="9">
        <f>SUM(AL_FINANCIAL)</f>
        <v>1447.6828388237245</v>
      </c>
      <c r="L6" s="6"/>
      <c r="V6" s="9"/>
    </row>
    <row r="7" spans="1:22">
      <c r="A7" s="1" t="s">
        <v>12</v>
      </c>
      <c r="B7" s="6">
        <v>602</v>
      </c>
      <c r="C7" s="1">
        <v>0</v>
      </c>
      <c r="D7" s="1">
        <v>0</v>
      </c>
      <c r="E7" s="1">
        <v>0</v>
      </c>
      <c r="F7" s="1">
        <v>0</v>
      </c>
      <c r="G7" s="9">
        <f>SUM(AK_FINANCIAL)</f>
        <v>602</v>
      </c>
      <c r="I7" s="12"/>
      <c r="J7" s="15"/>
      <c r="L7" s="6"/>
      <c r="V7" s="9"/>
    </row>
    <row r="8" spans="1:22">
      <c r="A8" s="1" t="s">
        <v>13</v>
      </c>
      <c r="B8" s="6">
        <v>82122.277088855219</v>
      </c>
      <c r="C8" s="1">
        <v>49145.865187966992</v>
      </c>
      <c r="D8" s="1">
        <v>0</v>
      </c>
      <c r="E8" s="1">
        <v>0</v>
      </c>
      <c r="F8" s="1">
        <v>0</v>
      </c>
      <c r="G8" s="9">
        <f>SUM(AZ_FINANCIAL)</f>
        <v>131268.14227682221</v>
      </c>
      <c r="I8" s="13" t="s">
        <v>14</v>
      </c>
      <c r="J8" s="16"/>
      <c r="L8" s="6"/>
      <c r="V8" s="9"/>
    </row>
    <row r="9" spans="1:22">
      <c r="A9" s="1" t="s">
        <v>15</v>
      </c>
      <c r="B9" s="6">
        <v>13532.603127788992</v>
      </c>
      <c r="C9" s="1">
        <v>12683.963821730751</v>
      </c>
      <c r="D9" s="1">
        <v>0</v>
      </c>
      <c r="E9" s="1">
        <v>0</v>
      </c>
      <c r="F9" s="1">
        <v>0</v>
      </c>
      <c r="G9" s="9">
        <f>SUM(AR_FINANCIAL)</f>
        <v>26216.566949519744</v>
      </c>
      <c r="I9" s="13"/>
      <c r="J9" s="16"/>
      <c r="L9" s="6">
        <v>70158</v>
      </c>
      <c r="M9" s="1">
        <v>0</v>
      </c>
      <c r="O9" s="1">
        <v>0</v>
      </c>
      <c r="P9" s="1">
        <v>0</v>
      </c>
      <c r="R9" s="1">
        <v>0</v>
      </c>
      <c r="S9" s="1">
        <v>0</v>
      </c>
      <c r="U9" s="1">
        <v>0</v>
      </c>
      <c r="V9" s="9">
        <v>0</v>
      </c>
    </row>
    <row r="10" spans="1:22">
      <c r="A10" s="1" t="s">
        <v>16</v>
      </c>
      <c r="B10" s="6">
        <v>170118.25012718188</v>
      </c>
      <c r="C10" s="1">
        <v>24520.92575714807</v>
      </c>
      <c r="D10" s="1">
        <v>0</v>
      </c>
      <c r="E10" s="1">
        <v>0</v>
      </c>
      <c r="F10" s="1">
        <v>0</v>
      </c>
      <c r="G10" s="9">
        <f>SUM(CA_FINANCIAL)</f>
        <v>194639.17588432995</v>
      </c>
      <c r="I10" s="13" t="s">
        <v>17</v>
      </c>
      <c r="J10" s="16">
        <v>12183752</v>
      </c>
      <c r="L10" s="6">
        <v>1393120</v>
      </c>
      <c r="M10" s="1">
        <v>300000</v>
      </c>
      <c r="O10" s="1">
        <v>206880</v>
      </c>
      <c r="P10" s="1">
        <v>0</v>
      </c>
      <c r="R10" s="1">
        <v>0</v>
      </c>
      <c r="S10" s="1">
        <v>0</v>
      </c>
      <c r="U10" s="1">
        <v>0</v>
      </c>
      <c r="V10" s="9">
        <v>0</v>
      </c>
    </row>
    <row r="11" spans="1:22">
      <c r="A11" s="1" t="s">
        <v>18</v>
      </c>
      <c r="B11" s="6">
        <v>9643.0587551195313</v>
      </c>
      <c r="C11" s="1">
        <v>4498.9033746396126</v>
      </c>
      <c r="D11" s="1">
        <v>0</v>
      </c>
      <c r="E11" s="1">
        <v>0</v>
      </c>
      <c r="F11" s="1">
        <v>0</v>
      </c>
      <c r="G11" s="9">
        <f>SUM(CO_FINANCIAL)</f>
        <v>14141.962129759144</v>
      </c>
      <c r="I11" s="13"/>
      <c r="J11" s="16"/>
      <c r="L11" s="6"/>
      <c r="V11" s="9"/>
    </row>
    <row r="12" spans="1:22">
      <c r="A12" s="1" t="s">
        <v>19</v>
      </c>
      <c r="B12" s="6">
        <v>1398.9215501613987</v>
      </c>
      <c r="C12" s="1">
        <v>6451.7570119050779</v>
      </c>
      <c r="D12" s="1">
        <v>0</v>
      </c>
      <c r="E12" s="1">
        <v>0</v>
      </c>
      <c r="F12" s="1">
        <v>0</v>
      </c>
      <c r="G12" s="9">
        <f>SUM(CT_FINANCIAL)</f>
        <v>7850.6785620664768</v>
      </c>
      <c r="I12" s="13" t="s">
        <v>20</v>
      </c>
      <c r="J12" s="16"/>
      <c r="L12" s="6"/>
      <c r="V12" s="9"/>
    </row>
    <row r="13" spans="1:22">
      <c r="A13" s="1" t="s">
        <v>21</v>
      </c>
      <c r="B13" s="6">
        <v>0</v>
      </c>
      <c r="C13" s="1">
        <v>0</v>
      </c>
      <c r="D13" s="1">
        <v>0</v>
      </c>
      <c r="E13" s="1">
        <v>0</v>
      </c>
      <c r="F13" s="1">
        <v>0</v>
      </c>
      <c r="G13" s="9">
        <f>SUM(DE_FINANCIAL)</f>
        <v>0</v>
      </c>
      <c r="I13" s="13" t="s">
        <v>22</v>
      </c>
      <c r="J13" s="16">
        <v>25081</v>
      </c>
      <c r="L13" s="6"/>
      <c r="V13" s="9"/>
    </row>
    <row r="14" spans="1:22">
      <c r="A14" s="1" t="s">
        <v>23</v>
      </c>
      <c r="B14" s="6">
        <v>-296.26944197306216</v>
      </c>
      <c r="C14" s="1">
        <v>0</v>
      </c>
      <c r="D14" s="1">
        <v>0</v>
      </c>
      <c r="E14" s="1">
        <v>0</v>
      </c>
      <c r="F14" s="1">
        <v>0</v>
      </c>
      <c r="G14" s="9">
        <f>SUM(DC_FINANCIAL)</f>
        <v>-296.26944197306216</v>
      </c>
      <c r="I14" s="13" t="s">
        <v>24</v>
      </c>
      <c r="J14" s="16">
        <v>318423.00000000006</v>
      </c>
      <c r="L14" s="6"/>
      <c r="V14" s="9"/>
    </row>
    <row r="15" spans="1:22">
      <c r="A15" s="1" t="s">
        <v>25</v>
      </c>
      <c r="B15" s="6">
        <v>30447.354709779316</v>
      </c>
      <c r="C15" s="1">
        <v>40726.002380299571</v>
      </c>
      <c r="D15" s="1">
        <v>0</v>
      </c>
      <c r="E15" s="1">
        <v>0</v>
      </c>
      <c r="F15" s="1">
        <v>0</v>
      </c>
      <c r="G15" s="9">
        <f>SUM(FL_FINANCIAL)</f>
        <v>71173.357090078891</v>
      </c>
      <c r="I15" s="13" t="s">
        <v>26</v>
      </c>
      <c r="J15" s="16">
        <v>394039.02597756055</v>
      </c>
      <c r="L15" s="6"/>
      <c r="V15" s="9"/>
    </row>
    <row r="16" spans="1:22">
      <c r="A16" s="1" t="s">
        <v>27</v>
      </c>
      <c r="B16" s="6">
        <v>10985.554101273712</v>
      </c>
      <c r="C16" s="1">
        <v>925.30123878272639</v>
      </c>
      <c r="D16" s="1">
        <v>0</v>
      </c>
      <c r="E16" s="1">
        <v>0</v>
      </c>
      <c r="F16" s="1">
        <v>0</v>
      </c>
      <c r="G16" s="9">
        <f>SUM(GA_FINANCIAL)</f>
        <v>11910.855340056438</v>
      </c>
      <c r="I16" s="13" t="s">
        <v>28</v>
      </c>
      <c r="J16" s="16">
        <v>0</v>
      </c>
      <c r="L16" s="6"/>
      <c r="V16" s="9"/>
    </row>
    <row r="17" spans="1:22">
      <c r="A17" s="1" t="s">
        <v>29</v>
      </c>
      <c r="B17" s="6">
        <v>1870.9831130158077</v>
      </c>
      <c r="C17" s="1">
        <v>0</v>
      </c>
      <c r="D17" s="1">
        <v>0</v>
      </c>
      <c r="E17" s="1">
        <v>0</v>
      </c>
      <c r="F17" s="1">
        <v>0</v>
      </c>
      <c r="G17" s="9">
        <f>SUM(HI_FINANCIAL)</f>
        <v>1870.9831130158077</v>
      </c>
      <c r="I17" s="13"/>
      <c r="J17" s="16"/>
      <c r="L17" s="6"/>
      <c r="V17" s="9"/>
    </row>
    <row r="18" spans="1:22">
      <c r="A18" s="1" t="s">
        <v>30</v>
      </c>
      <c r="B18" s="6">
        <v>5354.1618790984303</v>
      </c>
      <c r="C18" s="1">
        <v>5519.9086856590857</v>
      </c>
      <c r="D18" s="1">
        <v>0</v>
      </c>
      <c r="E18" s="1">
        <v>0</v>
      </c>
      <c r="F18" s="1">
        <v>0</v>
      </c>
      <c r="G18" s="9">
        <f>SUM(ID_FINANCIAL)</f>
        <v>10874.070564757516</v>
      </c>
      <c r="I18" s="13" t="s">
        <v>31</v>
      </c>
      <c r="J18" s="16"/>
      <c r="L18" s="6"/>
      <c r="V18" s="9"/>
    </row>
    <row r="19" spans="1:22">
      <c r="A19" s="1" t="s">
        <v>32</v>
      </c>
      <c r="B19" s="6">
        <v>0</v>
      </c>
      <c r="C19" s="1">
        <v>0</v>
      </c>
      <c r="D19" s="1">
        <v>0</v>
      </c>
      <c r="E19" s="1">
        <v>0</v>
      </c>
      <c r="F19" s="1">
        <v>0</v>
      </c>
      <c r="G19" s="9">
        <f>SUM(IL_FINANCIAL)</f>
        <v>0</v>
      </c>
      <c r="I19" s="13" t="s">
        <v>33</v>
      </c>
      <c r="J19" s="16">
        <v>0</v>
      </c>
      <c r="L19" s="6"/>
      <c r="V19" s="9"/>
    </row>
    <row r="20" spans="1:22">
      <c r="A20" s="1" t="s">
        <v>34</v>
      </c>
      <c r="B20" s="6">
        <v>158441.97183141485</v>
      </c>
      <c r="C20" s="1">
        <v>449115.42820598977</v>
      </c>
      <c r="D20" s="1">
        <v>0</v>
      </c>
      <c r="E20" s="1">
        <v>0</v>
      </c>
      <c r="F20" s="1">
        <v>0</v>
      </c>
      <c r="G20" s="9">
        <f>SUM(IN_FINANCIAL)</f>
        <v>607557.40003740462</v>
      </c>
      <c r="I20" s="13" t="s">
        <v>35</v>
      </c>
      <c r="J20" s="16">
        <v>-406387.00000000012</v>
      </c>
      <c r="L20" s="6"/>
      <c r="V20" s="9"/>
    </row>
    <row r="21" spans="1:22">
      <c r="A21" s="1" t="s">
        <v>36</v>
      </c>
      <c r="B21" s="6">
        <v>0</v>
      </c>
      <c r="C21" s="1">
        <v>0</v>
      </c>
      <c r="D21" s="1">
        <v>0</v>
      </c>
      <c r="E21" s="1">
        <v>0</v>
      </c>
      <c r="F21" s="1">
        <v>0</v>
      </c>
      <c r="G21" s="9">
        <f>SUM(IA_FINANCIAL)</f>
        <v>0</v>
      </c>
      <c r="I21" s="13" t="s">
        <v>37</v>
      </c>
      <c r="J21" s="16"/>
      <c r="L21" s="6"/>
      <c r="V21" s="9"/>
    </row>
    <row r="22" spans="1:22">
      <c r="A22" s="1" t="s">
        <v>38</v>
      </c>
      <c r="B22" s="6">
        <v>2973.6676807416843</v>
      </c>
      <c r="C22" s="1">
        <v>1711.5109540268822</v>
      </c>
      <c r="D22" s="1">
        <v>0</v>
      </c>
      <c r="E22" s="1">
        <v>0</v>
      </c>
      <c r="F22" s="1">
        <v>0</v>
      </c>
      <c r="G22" s="9">
        <f>SUM(KS_FINANCIAL)</f>
        <v>4685.1786347685666</v>
      </c>
      <c r="I22" s="13" t="s">
        <v>39</v>
      </c>
      <c r="J22" s="16">
        <v>1953369</v>
      </c>
      <c r="L22" s="6"/>
      <c r="V22" s="9"/>
    </row>
    <row r="23" spans="1:22">
      <c r="A23" s="1" t="s">
        <v>40</v>
      </c>
      <c r="B23" s="6">
        <v>-892.644810028135</v>
      </c>
      <c r="C23" s="1">
        <v>-415.65903367722296</v>
      </c>
      <c r="D23" s="1">
        <v>0</v>
      </c>
      <c r="E23" s="1">
        <v>0</v>
      </c>
      <c r="F23" s="1">
        <v>0</v>
      </c>
      <c r="G23" s="9">
        <f>SUM(KY_FINANCIAL)</f>
        <v>-1308.3038437053578</v>
      </c>
      <c r="I23" s="13" t="s">
        <v>41</v>
      </c>
      <c r="J23" s="16"/>
      <c r="L23" s="6"/>
      <c r="V23" s="9"/>
    </row>
    <row r="24" spans="1:22">
      <c r="A24" s="1" t="s">
        <v>42</v>
      </c>
      <c r="B24" s="6">
        <v>2651</v>
      </c>
      <c r="C24" s="1">
        <v>0</v>
      </c>
      <c r="D24" s="1">
        <v>0</v>
      </c>
      <c r="E24" s="1">
        <v>0</v>
      </c>
      <c r="F24" s="1">
        <v>0</v>
      </c>
      <c r="G24" s="9">
        <f>SUM(LA_FINANCIAL)</f>
        <v>2651</v>
      </c>
      <c r="I24" s="13" t="s">
        <v>43</v>
      </c>
      <c r="J24" s="16">
        <v>9499998.0000000019</v>
      </c>
      <c r="L24" s="6"/>
      <c r="V24" s="9"/>
    </row>
    <row r="25" spans="1:22">
      <c r="A25" s="1" t="s">
        <v>44</v>
      </c>
      <c r="B25" s="6">
        <v>0</v>
      </c>
      <c r="C25" s="1">
        <v>0</v>
      </c>
      <c r="D25" s="1">
        <v>0</v>
      </c>
      <c r="E25" s="1">
        <v>0</v>
      </c>
      <c r="F25" s="1">
        <v>0</v>
      </c>
      <c r="G25" s="9">
        <f>SUM(ME_FINANCIAL)</f>
        <v>0</v>
      </c>
      <c r="I25" s="13"/>
      <c r="J25" s="16"/>
      <c r="L25" s="6"/>
      <c r="V25" s="9"/>
    </row>
    <row r="26" spans="1:22">
      <c r="A26" s="1" t="s">
        <v>45</v>
      </c>
      <c r="B26" s="6">
        <v>-13.755882507239676</v>
      </c>
      <c r="C26" s="1">
        <v>-14.31236122731525</v>
      </c>
      <c r="D26" s="1">
        <v>0</v>
      </c>
      <c r="E26" s="1">
        <v>0</v>
      </c>
      <c r="F26" s="1">
        <v>0</v>
      </c>
      <c r="G26" s="9">
        <f>SUM(MD_FINANCIAL)</f>
        <v>-28.068243734554926</v>
      </c>
      <c r="I26" s="13" t="s">
        <v>46</v>
      </c>
      <c r="J26" s="16">
        <f>SUM(ADD_FINANCIAL)-SUM(LESS_FINANCIAL)</f>
        <v>1874315.0259775594</v>
      </c>
      <c r="L26" s="6">
        <v>0</v>
      </c>
      <c r="M26" s="1">
        <v>0</v>
      </c>
      <c r="O26" s="1">
        <v>0</v>
      </c>
      <c r="P26" s="1">
        <v>0</v>
      </c>
      <c r="R26" s="1">
        <v>0</v>
      </c>
      <c r="S26" s="1">
        <v>0</v>
      </c>
      <c r="U26" s="1">
        <v>0</v>
      </c>
      <c r="V26" s="9">
        <v>0</v>
      </c>
    </row>
    <row r="27" spans="1:22">
      <c r="A27" s="1" t="s">
        <v>47</v>
      </c>
      <c r="B27" s="6">
        <v>0</v>
      </c>
      <c r="C27" s="1">
        <v>0</v>
      </c>
      <c r="D27" s="1">
        <v>0</v>
      </c>
      <c r="E27" s="1">
        <v>0</v>
      </c>
      <c r="F27" s="1">
        <v>0</v>
      </c>
      <c r="G27" s="9">
        <f>SUM(MA_FINANCIAL)</f>
        <v>0</v>
      </c>
      <c r="I27" s="13" t="s">
        <v>48</v>
      </c>
      <c r="J27" s="16">
        <f>SUM(ALL_BLOCKS)</f>
        <v>1874315.025977561</v>
      </c>
      <c r="L27" s="6"/>
      <c r="V27" s="9"/>
    </row>
    <row r="28" spans="1:22">
      <c r="A28" s="1" t="s">
        <v>49</v>
      </c>
      <c r="B28" s="6">
        <v>118</v>
      </c>
      <c r="C28" s="1">
        <v>0</v>
      </c>
      <c r="D28" s="1">
        <v>0</v>
      </c>
      <c r="E28" s="1">
        <v>0</v>
      </c>
      <c r="F28" s="1">
        <v>0</v>
      </c>
      <c r="G28" s="9">
        <f>SUM(MI_FINANCIAL)</f>
        <v>118</v>
      </c>
      <c r="I28" s="14"/>
      <c r="J28" s="17"/>
      <c r="L28" s="6"/>
      <c r="V28" s="9"/>
    </row>
    <row r="29" spans="1:22">
      <c r="A29" s="1" t="s">
        <v>50</v>
      </c>
      <c r="B29" s="6">
        <v>1770.2335342854349</v>
      </c>
      <c r="C29" s="1">
        <v>6949.8886936039962</v>
      </c>
      <c r="D29" s="1">
        <v>0</v>
      </c>
      <c r="E29" s="1">
        <v>0</v>
      </c>
      <c r="F29" s="1">
        <v>0</v>
      </c>
      <c r="G29" s="9">
        <f>SUM(MN_FINANCIAL)</f>
        <v>8720.1222278894311</v>
      </c>
      <c r="L29" s="6"/>
      <c r="V29" s="9"/>
    </row>
    <row r="30" spans="1:22">
      <c r="A30" s="1" t="s">
        <v>51</v>
      </c>
      <c r="B30" s="6">
        <v>0</v>
      </c>
      <c r="C30" s="1">
        <v>0</v>
      </c>
      <c r="D30" s="1">
        <v>0</v>
      </c>
      <c r="E30" s="1">
        <v>0</v>
      </c>
      <c r="F30" s="1">
        <v>0</v>
      </c>
      <c r="G30" s="9">
        <f>SUM(MS_FINANCIAL)</f>
        <v>0</v>
      </c>
      <c r="L30" s="6"/>
      <c r="V30" s="9"/>
    </row>
    <row r="31" spans="1:22">
      <c r="A31" s="1" t="s">
        <v>52</v>
      </c>
      <c r="B31" s="6">
        <v>135693.82162663573</v>
      </c>
      <c r="C31" s="1">
        <v>29355.088174757722</v>
      </c>
      <c r="D31" s="1">
        <v>0</v>
      </c>
      <c r="E31" s="1">
        <v>0</v>
      </c>
      <c r="F31" s="1">
        <v>0</v>
      </c>
      <c r="G31" s="9">
        <f>SUM(MO_FINANCIAL)</f>
        <v>165048.90980139346</v>
      </c>
      <c r="L31" s="6"/>
      <c r="V31" s="9"/>
    </row>
    <row r="32" spans="1:22">
      <c r="A32" s="1" t="s">
        <v>53</v>
      </c>
      <c r="B32" s="6">
        <v>710</v>
      </c>
      <c r="C32" s="1">
        <v>0</v>
      </c>
      <c r="D32" s="1">
        <v>0</v>
      </c>
      <c r="E32" s="1">
        <v>0</v>
      </c>
      <c r="F32" s="1">
        <v>0</v>
      </c>
      <c r="G32" s="9">
        <f>SUM(MT_FINANCIAL)</f>
        <v>710</v>
      </c>
      <c r="L32" s="6"/>
      <c r="V32" s="9"/>
    </row>
    <row r="33" spans="1:22">
      <c r="A33" s="1" t="s">
        <v>54</v>
      </c>
      <c r="B33" s="6">
        <v>562.88657529060765</v>
      </c>
      <c r="C33" s="1">
        <v>0</v>
      </c>
      <c r="D33" s="1">
        <v>0</v>
      </c>
      <c r="E33" s="1">
        <v>0</v>
      </c>
      <c r="F33" s="1">
        <v>0</v>
      </c>
      <c r="G33" s="9">
        <f>SUM(NE_FINANCIAL)</f>
        <v>562.88657529060765</v>
      </c>
      <c r="L33" s="6"/>
      <c r="V33" s="9"/>
    </row>
    <row r="34" spans="1:22">
      <c r="A34" s="1" t="s">
        <v>55</v>
      </c>
      <c r="B34" s="6">
        <v>1776.4720444526906</v>
      </c>
      <c r="C34" s="1">
        <v>121.69987057776552</v>
      </c>
      <c r="D34" s="1">
        <v>0</v>
      </c>
      <c r="E34" s="1">
        <v>0</v>
      </c>
      <c r="F34" s="1">
        <v>0</v>
      </c>
      <c r="G34" s="9">
        <f>SUM(NV_FINANCIAL)</f>
        <v>1898.1719150304561</v>
      </c>
      <c r="L34" s="6"/>
      <c r="V34" s="9"/>
    </row>
    <row r="35" spans="1:22">
      <c r="A35" s="1" t="s">
        <v>56</v>
      </c>
      <c r="B35" s="6">
        <v>0</v>
      </c>
      <c r="C35" s="1">
        <v>0</v>
      </c>
      <c r="D35" s="1">
        <v>0</v>
      </c>
      <c r="E35" s="1">
        <v>0</v>
      </c>
      <c r="F35" s="1">
        <v>0</v>
      </c>
      <c r="G35" s="9">
        <f>SUM(NH_FINANCIAL)</f>
        <v>0</v>
      </c>
      <c r="L35" s="6"/>
      <c r="V35" s="9"/>
    </row>
    <row r="36" spans="1:22">
      <c r="A36" s="1" t="s">
        <v>57</v>
      </c>
      <c r="B36" s="6">
        <v>0</v>
      </c>
      <c r="C36" s="1">
        <v>0</v>
      </c>
      <c r="D36" s="1">
        <v>0</v>
      </c>
      <c r="E36" s="1">
        <v>0</v>
      </c>
      <c r="F36" s="1">
        <v>0</v>
      </c>
      <c r="G36" s="9">
        <f>SUM(NJ_FINANCIAL)</f>
        <v>0</v>
      </c>
      <c r="L36" s="6"/>
      <c r="V36" s="9"/>
    </row>
    <row r="37" spans="1:22">
      <c r="A37" s="1" t="s">
        <v>58</v>
      </c>
      <c r="B37" s="6">
        <v>14754.254825006619</v>
      </c>
      <c r="C37" s="1">
        <v>0</v>
      </c>
      <c r="D37" s="1">
        <v>0</v>
      </c>
      <c r="E37" s="1">
        <v>0</v>
      </c>
      <c r="F37" s="1">
        <v>0</v>
      </c>
      <c r="G37" s="9">
        <f>SUM(NM_FINANCIAL)</f>
        <v>14754.254825006619</v>
      </c>
      <c r="L37" s="6">
        <v>99972</v>
      </c>
      <c r="M37" s="1">
        <v>0</v>
      </c>
      <c r="O37" s="1">
        <v>0</v>
      </c>
      <c r="P37" s="1">
        <v>0</v>
      </c>
      <c r="R37" s="1">
        <v>0</v>
      </c>
      <c r="S37" s="1">
        <v>0</v>
      </c>
      <c r="U37" s="1">
        <v>0</v>
      </c>
      <c r="V37" s="9">
        <v>0</v>
      </c>
    </row>
    <row r="38" spans="1:22">
      <c r="A38" s="1" t="s">
        <v>59</v>
      </c>
      <c r="B38" s="6">
        <v>0</v>
      </c>
      <c r="C38" s="1">
        <v>0</v>
      </c>
      <c r="D38" s="1">
        <v>0</v>
      </c>
      <c r="E38" s="1">
        <v>0</v>
      </c>
      <c r="F38" s="1">
        <v>0</v>
      </c>
      <c r="G38" s="9">
        <f>SUM(NY_FINANCIAL)</f>
        <v>0</v>
      </c>
      <c r="L38" s="6"/>
      <c r="V38" s="9"/>
    </row>
    <row r="39" spans="1:22">
      <c r="A39" s="1" t="s">
        <v>60</v>
      </c>
      <c r="B39" s="6">
        <v>940.57131973658102</v>
      </c>
      <c r="C39" s="1">
        <v>6257.4951813048328</v>
      </c>
      <c r="D39" s="1">
        <v>0</v>
      </c>
      <c r="E39" s="1">
        <v>0</v>
      </c>
      <c r="F39" s="1">
        <v>0</v>
      </c>
      <c r="G39" s="9">
        <f>SUM(NC_FINANCIAL)</f>
        <v>7198.0665010414141</v>
      </c>
      <c r="L39" s="6"/>
      <c r="V39" s="9"/>
    </row>
    <row r="40" spans="1:22">
      <c r="A40" s="1" t="s">
        <v>61</v>
      </c>
      <c r="B40" s="6">
        <v>818</v>
      </c>
      <c r="C40" s="1">
        <v>0</v>
      </c>
      <c r="D40" s="1">
        <v>0</v>
      </c>
      <c r="E40" s="1">
        <v>0</v>
      </c>
      <c r="F40" s="1">
        <v>0</v>
      </c>
      <c r="G40" s="9">
        <f>SUM(ND_FINANCIAL)</f>
        <v>818</v>
      </c>
      <c r="L40" s="6"/>
      <c r="V40" s="9"/>
    </row>
    <row r="41" spans="1:22">
      <c r="A41" s="1" t="s">
        <v>62</v>
      </c>
      <c r="B41" s="6">
        <v>1941.5727084925784</v>
      </c>
      <c r="C41" s="1">
        <v>2172.8477889215337</v>
      </c>
      <c r="D41" s="1">
        <v>0</v>
      </c>
      <c r="E41" s="1">
        <v>0</v>
      </c>
      <c r="F41" s="1">
        <v>0</v>
      </c>
      <c r="G41" s="9">
        <f>SUM(OH_FINANCIAL)</f>
        <v>4114.4204974141121</v>
      </c>
      <c r="L41" s="6"/>
      <c r="V41" s="9"/>
    </row>
    <row r="42" spans="1:22">
      <c r="A42" s="1" t="s">
        <v>63</v>
      </c>
      <c r="B42" s="6">
        <v>12253.522952081326</v>
      </c>
      <c r="C42" s="1">
        <v>4557.9918686051569</v>
      </c>
      <c r="D42" s="1">
        <v>0</v>
      </c>
      <c r="E42" s="1">
        <v>0</v>
      </c>
      <c r="F42" s="1">
        <v>0</v>
      </c>
      <c r="G42" s="9">
        <f>SUM(OK_FINANCIAL)</f>
        <v>16811.514820686483</v>
      </c>
      <c r="L42" s="6">
        <v>99000</v>
      </c>
      <c r="M42" s="1">
        <v>0</v>
      </c>
      <c r="O42" s="1">
        <v>1000</v>
      </c>
      <c r="P42" s="1">
        <v>0</v>
      </c>
      <c r="R42" s="1">
        <v>0</v>
      </c>
      <c r="S42" s="1">
        <v>0</v>
      </c>
      <c r="U42" s="1">
        <v>0</v>
      </c>
      <c r="V42" s="9">
        <v>0</v>
      </c>
    </row>
    <row r="43" spans="1:22">
      <c r="A43" s="1" t="s">
        <v>64</v>
      </c>
      <c r="B43" s="6">
        <v>1311.573704012535</v>
      </c>
      <c r="C43" s="1">
        <v>143.61513501663285</v>
      </c>
      <c r="D43" s="1">
        <v>0</v>
      </c>
      <c r="E43" s="1">
        <v>0</v>
      </c>
      <c r="F43" s="1">
        <v>0</v>
      </c>
      <c r="G43" s="9">
        <f>SUM(OR_FINANCIAL)</f>
        <v>1455.1888390291679</v>
      </c>
      <c r="L43" s="6"/>
      <c r="V43" s="9"/>
    </row>
    <row r="44" spans="1:22">
      <c r="A44" s="1" t="s">
        <v>65</v>
      </c>
      <c r="B44" s="6">
        <v>154.7143337339983</v>
      </c>
      <c r="C44" s="1">
        <v>0</v>
      </c>
      <c r="D44" s="1">
        <v>0</v>
      </c>
      <c r="E44" s="1">
        <v>0</v>
      </c>
      <c r="F44" s="1">
        <v>0</v>
      </c>
      <c r="G44" s="9">
        <f>SUM(PA_FINANCIAL)</f>
        <v>154.7143337339983</v>
      </c>
      <c r="L44" s="6"/>
      <c r="V44" s="9"/>
    </row>
    <row r="45" spans="1:22">
      <c r="A45" s="1" t="s">
        <v>66</v>
      </c>
      <c r="B45" s="6">
        <v>0</v>
      </c>
      <c r="C45" s="1">
        <v>0</v>
      </c>
      <c r="D45" s="1">
        <v>0</v>
      </c>
      <c r="E45" s="1">
        <v>0</v>
      </c>
      <c r="F45" s="1">
        <v>0</v>
      </c>
      <c r="G45" s="9">
        <f>SUM(PR_FINANCIAL)</f>
        <v>0</v>
      </c>
      <c r="L45" s="6"/>
      <c r="V45" s="9"/>
    </row>
    <row r="46" spans="1:22">
      <c r="A46" s="1" t="s">
        <v>67</v>
      </c>
      <c r="B46" s="6">
        <v>0</v>
      </c>
      <c r="C46" s="1">
        <v>0</v>
      </c>
      <c r="D46" s="1">
        <v>0</v>
      </c>
      <c r="E46" s="1">
        <v>0</v>
      </c>
      <c r="F46" s="1">
        <v>0</v>
      </c>
      <c r="G46" s="9">
        <f>SUM(RI_FINANCIAL)</f>
        <v>0</v>
      </c>
      <c r="L46" s="6"/>
      <c r="V46" s="9"/>
    </row>
    <row r="47" spans="1:22">
      <c r="A47" s="1" t="s">
        <v>68</v>
      </c>
      <c r="B47" s="6">
        <v>2520.7562981871247</v>
      </c>
      <c r="C47" s="1">
        <v>12.061034919555627</v>
      </c>
      <c r="D47" s="1">
        <v>0</v>
      </c>
      <c r="E47" s="1">
        <v>0</v>
      </c>
      <c r="F47" s="1">
        <v>0</v>
      </c>
      <c r="G47" s="9">
        <f>SUM(SC_FINANCIAL)</f>
        <v>2532.8173331066805</v>
      </c>
      <c r="L47" s="6"/>
      <c r="V47" s="9"/>
    </row>
    <row r="48" spans="1:22">
      <c r="A48" s="1" t="s">
        <v>69</v>
      </c>
      <c r="B48" s="6">
        <v>1026.3730921083566</v>
      </c>
      <c r="C48" s="1">
        <v>0</v>
      </c>
      <c r="D48" s="1">
        <v>0</v>
      </c>
      <c r="E48" s="1">
        <v>0</v>
      </c>
      <c r="F48" s="1">
        <v>0</v>
      </c>
      <c r="G48" s="9">
        <f>SUM(SD_FINANCIAL)</f>
        <v>1026.3730921083566</v>
      </c>
      <c r="L48" s="6"/>
      <c r="V48" s="9"/>
    </row>
    <row r="49" spans="1:22">
      <c r="A49" s="1" t="s">
        <v>70</v>
      </c>
      <c r="B49" s="6">
        <v>311.5981509965286</v>
      </c>
      <c r="C49" s="1">
        <v>1856.1331876682998</v>
      </c>
      <c r="D49" s="1">
        <v>0</v>
      </c>
      <c r="E49" s="1">
        <v>0</v>
      </c>
      <c r="F49" s="1">
        <v>0</v>
      </c>
      <c r="G49" s="9">
        <f>SUM(TN_FINANCIAL)</f>
        <v>2167.7313386648284</v>
      </c>
      <c r="L49" s="6"/>
      <c r="V49" s="9"/>
    </row>
    <row r="50" spans="1:22">
      <c r="A50" s="1" t="s">
        <v>71</v>
      </c>
      <c r="B50" s="6">
        <v>453589.87161319377</v>
      </c>
      <c r="C50" s="1">
        <v>27153.248477641755</v>
      </c>
      <c r="D50" s="1">
        <v>0</v>
      </c>
      <c r="E50" s="1">
        <v>0</v>
      </c>
      <c r="F50" s="1">
        <v>0</v>
      </c>
      <c r="G50" s="9">
        <f>SUM(TX_FINANCIAL)</f>
        <v>480743.12009083549</v>
      </c>
      <c r="L50" s="6">
        <v>2898033</v>
      </c>
      <c r="M50" s="1">
        <v>2875000</v>
      </c>
      <c r="O50" s="1">
        <v>0</v>
      </c>
      <c r="P50" s="1">
        <v>0</v>
      </c>
      <c r="R50" s="1">
        <v>152528</v>
      </c>
      <c r="S50" s="1">
        <v>125000</v>
      </c>
      <c r="U50" s="1">
        <v>0</v>
      </c>
      <c r="V50" s="9">
        <v>0</v>
      </c>
    </row>
    <row r="51" spans="1:22">
      <c r="A51" s="1" t="s">
        <v>72</v>
      </c>
      <c r="B51" s="6">
        <v>851.04855708939931</v>
      </c>
      <c r="C51" s="1">
        <v>1416.4132926742786</v>
      </c>
      <c r="D51" s="1">
        <v>0</v>
      </c>
      <c r="E51" s="1">
        <v>0</v>
      </c>
      <c r="F51" s="1">
        <v>0</v>
      </c>
      <c r="G51" s="9">
        <f>SUM(UT_FINANCIAL)</f>
        <v>2267.4618497636779</v>
      </c>
      <c r="L51" s="6"/>
      <c r="V51" s="9"/>
    </row>
    <row r="52" spans="1:22">
      <c r="A52" s="1" t="s">
        <v>73</v>
      </c>
      <c r="B52" s="6">
        <v>6964.9905806680072</v>
      </c>
      <c r="C52" s="1">
        <v>0</v>
      </c>
      <c r="D52" s="1">
        <v>0</v>
      </c>
      <c r="E52" s="1">
        <v>0</v>
      </c>
      <c r="F52" s="1">
        <v>0</v>
      </c>
      <c r="G52" s="9">
        <f>SUM(VT_FINANCIAL)</f>
        <v>6964.9905806680072</v>
      </c>
      <c r="L52" s="6"/>
      <c r="V52" s="9"/>
    </row>
    <row r="53" spans="1:22">
      <c r="A53" s="1" t="s">
        <v>74</v>
      </c>
      <c r="B53" s="6">
        <v>2311.4093045223235</v>
      </c>
      <c r="C53" s="1">
        <v>56903.733171067259</v>
      </c>
      <c r="D53" s="1">
        <v>0</v>
      </c>
      <c r="E53" s="1">
        <v>0</v>
      </c>
      <c r="F53" s="1">
        <v>0</v>
      </c>
      <c r="G53" s="9">
        <f>SUM(VA_FINANCIAL)</f>
        <v>59215.142475589586</v>
      </c>
      <c r="L53" s="6">
        <v>2800</v>
      </c>
      <c r="M53" s="1">
        <v>0</v>
      </c>
      <c r="O53" s="1">
        <v>70000</v>
      </c>
      <c r="P53" s="1">
        <v>0</v>
      </c>
      <c r="R53" s="1">
        <v>0</v>
      </c>
      <c r="S53" s="1">
        <v>0</v>
      </c>
      <c r="U53" s="1">
        <v>0</v>
      </c>
      <c r="V53" s="9">
        <v>0</v>
      </c>
    </row>
    <row r="54" spans="1:22">
      <c r="A54" s="1" t="s">
        <v>75</v>
      </c>
      <c r="B54" s="6">
        <v>7424.2814524173336</v>
      </c>
      <c r="C54" s="1">
        <v>0</v>
      </c>
      <c r="D54" s="1">
        <v>0</v>
      </c>
      <c r="E54" s="1">
        <v>0</v>
      </c>
      <c r="F54" s="1">
        <v>0</v>
      </c>
      <c r="G54" s="9">
        <f>SUM(WA_FINANCIAL)</f>
        <v>7424.2814524173336</v>
      </c>
      <c r="L54" s="6">
        <v>39000</v>
      </c>
      <c r="M54" s="1">
        <v>0</v>
      </c>
      <c r="O54" s="1">
        <v>0</v>
      </c>
      <c r="P54" s="1">
        <v>0</v>
      </c>
      <c r="R54" s="1">
        <v>0</v>
      </c>
      <c r="S54" s="1">
        <v>0</v>
      </c>
      <c r="U54" s="1">
        <v>0</v>
      </c>
      <c r="V54" s="9">
        <v>0</v>
      </c>
    </row>
    <row r="55" spans="1:22">
      <c r="A55" s="1" t="s">
        <v>76</v>
      </c>
      <c r="B55" s="6">
        <v>715.46202421591784</v>
      </c>
      <c r="C55" s="1">
        <v>0</v>
      </c>
      <c r="D55" s="1">
        <v>0</v>
      </c>
      <c r="E55" s="1">
        <v>0</v>
      </c>
      <c r="F55" s="1">
        <v>0</v>
      </c>
      <c r="G55" s="9">
        <f>SUM(WV_FINANCIAL)</f>
        <v>715.46202421591784</v>
      </c>
      <c r="L55" s="6"/>
      <c r="V55" s="9"/>
    </row>
    <row r="56" spans="1:22">
      <c r="A56" s="1" t="s">
        <v>77</v>
      </c>
      <c r="B56" s="6">
        <v>3624.5058959681887</v>
      </c>
      <c r="C56" s="1">
        <v>0</v>
      </c>
      <c r="D56" s="1">
        <v>0</v>
      </c>
      <c r="E56" s="1">
        <v>0</v>
      </c>
      <c r="F56" s="1">
        <v>0</v>
      </c>
      <c r="G56" s="9">
        <f>SUM(WI_FINANCIAL)</f>
        <v>3624.5058959681887</v>
      </c>
      <c r="L56" s="6"/>
      <c r="V56" s="9"/>
    </row>
    <row r="57" spans="1:22">
      <c r="A57" s="1" t="s">
        <v>78</v>
      </c>
      <c r="B57" s="6">
        <v>0</v>
      </c>
      <c r="C57" s="1">
        <v>12.4776157167276</v>
      </c>
      <c r="D57" s="1">
        <v>0</v>
      </c>
      <c r="E57" s="1">
        <v>0</v>
      </c>
      <c r="F57" s="1">
        <v>0</v>
      </c>
      <c r="G57" s="9">
        <f>SUM(WY_FINANCIAL)</f>
        <v>12.4776157167276</v>
      </c>
      <c r="L57" s="6"/>
      <c r="V57" s="9"/>
    </row>
    <row r="58" spans="1:22">
      <c r="A58" s="1" t="s">
        <v>79</v>
      </c>
      <c r="B58" s="6">
        <v>0</v>
      </c>
      <c r="C58" s="1">
        <v>0</v>
      </c>
      <c r="D58" s="1">
        <v>0</v>
      </c>
      <c r="E58" s="1">
        <v>0</v>
      </c>
      <c r="F58" s="1">
        <v>0</v>
      </c>
      <c r="G58" s="9">
        <f>SUM(OT_FINANCIAL)</f>
        <v>0</v>
      </c>
      <c r="L58" s="6"/>
      <c r="V58" s="9"/>
    </row>
    <row r="59" spans="1:22">
      <c r="B59" s="6"/>
      <c r="G59" s="9"/>
      <c r="L59" s="6"/>
      <c r="V59" s="9"/>
    </row>
    <row r="60" spans="1:22">
      <c r="A60" s="1" t="s">
        <v>8</v>
      </c>
      <c r="B60" s="6">
        <f>SUM(LIFE)</f>
        <v>1142532.7372618408</v>
      </c>
      <c r="C60" s="1">
        <f>SUM(ALLOCATED)</f>
        <v>731782.28871571959</v>
      </c>
      <c r="D60" s="1">
        <f>SUM(HEALTH)</f>
        <v>0</v>
      </c>
      <c r="E60" s="1">
        <f>SUM(UNALLOCATED)</f>
        <v>0</v>
      </c>
      <c r="F60" s="1">
        <f>SUM(LTC)</f>
        <v>0</v>
      </c>
      <c r="G60" s="9">
        <f>SUM(ALL_BLOCKS)</f>
        <v>1874315.025977561</v>
      </c>
      <c r="L60" s="6">
        <f>SUM(LIFE_CALLED)</f>
        <v>4602083</v>
      </c>
      <c r="M60" s="1">
        <f>SUM(LIFE_REFUNDED)</f>
        <v>3175000</v>
      </c>
      <c r="O60" s="1">
        <f>SUM(ALLOC_CALLED)</f>
        <v>277880</v>
      </c>
      <c r="P60" s="1">
        <f>SUM(ALLOC_REFUNDED)</f>
        <v>0</v>
      </c>
      <c r="R60" s="1">
        <f>SUM(HEALTH_CALLED)</f>
        <v>152528</v>
      </c>
      <c r="S60" s="1">
        <f>SUM(HEALTH_REFUNDED)</f>
        <v>125000</v>
      </c>
      <c r="U60" s="1">
        <f>SUM(UNALLOC_CALLED)</f>
        <v>0</v>
      </c>
      <c r="V60" s="9">
        <f>SUM(UNALLOC_REFUNDED)</f>
        <v>0</v>
      </c>
    </row>
    <row r="61" spans="1:22" ht="5.0999999999999996" customHeight="1">
      <c r="B61" s="6"/>
      <c r="G61" s="9"/>
      <c r="L61" s="6"/>
      <c r="V61" s="9"/>
    </row>
    <row r="62" spans="1:22">
      <c r="B62" s="6"/>
      <c r="G62" s="9"/>
      <c r="L62" s="78" t="s">
        <v>80</v>
      </c>
      <c r="M62" s="79"/>
      <c r="N62" s="79"/>
      <c r="O62" s="79"/>
      <c r="P62" s="79"/>
      <c r="Q62" s="79"/>
      <c r="R62" s="79"/>
      <c r="S62" s="79"/>
      <c r="T62" s="79"/>
      <c r="U62" s="79"/>
      <c r="V62" s="80"/>
    </row>
    <row r="63" spans="1:22">
      <c r="B63" s="6"/>
      <c r="G63" s="9"/>
      <c r="L63" s="81"/>
      <c r="M63" s="79"/>
      <c r="N63" s="79"/>
      <c r="O63" s="79"/>
      <c r="P63" s="79"/>
      <c r="Q63" s="79"/>
      <c r="R63" s="79"/>
      <c r="S63" s="79"/>
      <c r="T63" s="79"/>
      <c r="U63" s="79"/>
      <c r="V63" s="80"/>
    </row>
    <row r="64" spans="1:22">
      <c r="B64" s="8"/>
      <c r="C64" s="5"/>
      <c r="D64" s="5"/>
      <c r="E64" s="5"/>
      <c r="F64" s="5"/>
      <c r="G64" s="11"/>
      <c r="L64" s="82"/>
      <c r="M64" s="83"/>
      <c r="N64" s="83"/>
      <c r="O64" s="83"/>
      <c r="P64" s="83"/>
      <c r="Q64" s="83"/>
      <c r="R64" s="83"/>
      <c r="S64" s="83"/>
      <c r="T64" s="83"/>
      <c r="U64" s="83"/>
      <c r="V64" s="84"/>
    </row>
  </sheetData>
  <mergeCells count="8">
    <mergeCell ref="L62:V64"/>
    <mergeCell ref="A1:G1"/>
    <mergeCell ref="B3:G3"/>
    <mergeCell ref="L3:V3"/>
    <mergeCell ref="L4:M4"/>
    <mergeCell ref="O4:P4"/>
    <mergeCell ref="R4:S4"/>
    <mergeCell ref="U4:V4"/>
  </mergeCells>
  <pageMargins left="0" right="0" top="0" bottom="0" header="0" footer="0"/>
  <pageSetup scale="48"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V64"/>
  <sheetViews>
    <sheetView zoomScale="75" workbookViewId="0">
      <selection sqref="A1:G1"/>
    </sheetView>
  </sheetViews>
  <sheetFormatPr defaultColWidth="9.109375" defaultRowHeight="14.4"/>
  <cols>
    <col min="1" max="1" width="20" style="1" customWidth="1"/>
    <col min="2" max="7" width="15" style="1" customWidth="1"/>
    <col min="8" max="8" width="1" style="1" customWidth="1"/>
    <col min="9" max="9" width="30" style="1" customWidth="1"/>
    <col min="10" max="10" width="15" style="1" customWidth="1"/>
    <col min="11" max="11" width="1" style="1" customWidth="1"/>
    <col min="12" max="13" width="15" style="1" customWidth="1"/>
    <col min="14" max="14" width="1" style="1" customWidth="1"/>
    <col min="15" max="16" width="15" style="1" customWidth="1"/>
    <col min="17" max="17" width="1" style="1" customWidth="1"/>
    <col min="18" max="19" width="15" style="1" customWidth="1"/>
    <col min="20" max="20" width="1" style="1" customWidth="1"/>
    <col min="21" max="22" width="15" style="1" customWidth="1"/>
    <col min="23" max="23" width="9.109375" style="1" customWidth="1"/>
    <col min="24" max="16384" width="9.109375" style="1"/>
  </cols>
  <sheetData>
    <row r="1" spans="1:22">
      <c r="A1" s="85" t="s">
        <v>132</v>
      </c>
      <c r="B1" s="79"/>
      <c r="C1" s="79"/>
      <c r="D1" s="79"/>
      <c r="E1" s="79"/>
      <c r="F1" s="79"/>
      <c r="G1" s="79"/>
    </row>
    <row r="3" spans="1:22">
      <c r="B3" s="86" t="s">
        <v>1</v>
      </c>
      <c r="C3" s="87"/>
      <c r="D3" s="87"/>
      <c r="E3" s="87"/>
      <c r="F3" s="87"/>
      <c r="G3" s="88"/>
      <c r="L3" s="89" t="s">
        <v>2</v>
      </c>
      <c r="M3" s="90"/>
      <c r="N3" s="90"/>
      <c r="O3" s="90"/>
      <c r="P3" s="90"/>
      <c r="Q3" s="90"/>
      <c r="R3" s="90"/>
      <c r="S3" s="90"/>
      <c r="T3" s="90"/>
      <c r="U3" s="90"/>
      <c r="V3" s="91"/>
    </row>
    <row r="4" spans="1:22">
      <c r="B4" s="6"/>
      <c r="G4" s="9"/>
      <c r="L4" s="92" t="s">
        <v>3</v>
      </c>
      <c r="M4" s="93"/>
      <c r="N4" s="3"/>
      <c r="O4" s="94" t="s">
        <v>4</v>
      </c>
      <c r="P4" s="93"/>
      <c r="Q4" s="3"/>
      <c r="R4" s="94" t="s">
        <v>5</v>
      </c>
      <c r="S4" s="93"/>
      <c r="T4" s="3"/>
      <c r="U4" s="94" t="s">
        <v>6</v>
      </c>
      <c r="V4" s="95"/>
    </row>
    <row r="5" spans="1:22" ht="60" customHeight="1">
      <c r="B5" s="7" t="s">
        <v>3</v>
      </c>
      <c r="C5" s="4" t="s">
        <v>4</v>
      </c>
      <c r="D5" s="4" t="s">
        <v>5</v>
      </c>
      <c r="E5" s="4" t="s">
        <v>6</v>
      </c>
      <c r="F5" s="4" t="s">
        <v>7</v>
      </c>
      <c r="G5" s="10" t="s">
        <v>8</v>
      </c>
      <c r="L5" s="19" t="s">
        <v>9</v>
      </c>
      <c r="M5" s="18" t="s">
        <v>10</v>
      </c>
      <c r="N5" s="18"/>
      <c r="O5" s="18" t="s">
        <v>9</v>
      </c>
      <c r="P5" s="18" t="s">
        <v>10</v>
      </c>
      <c r="Q5" s="18"/>
      <c r="R5" s="18" t="s">
        <v>9</v>
      </c>
      <c r="S5" s="18" t="s">
        <v>10</v>
      </c>
      <c r="T5" s="18"/>
      <c r="U5" s="18" t="s">
        <v>9</v>
      </c>
      <c r="V5" s="20" t="s">
        <v>10</v>
      </c>
    </row>
    <row r="6" spans="1:22">
      <c r="A6" s="1" t="s">
        <v>11</v>
      </c>
      <c r="B6" s="6">
        <v>43008.290737429925</v>
      </c>
      <c r="C6" s="1">
        <v>80950.694796066004</v>
      </c>
      <c r="D6" s="1">
        <v>0</v>
      </c>
      <c r="E6" s="1">
        <v>0</v>
      </c>
      <c r="F6" s="1">
        <v>0</v>
      </c>
      <c r="G6" s="9">
        <f>SUM(AL_FINANCIAL)</f>
        <v>123958.98553349593</v>
      </c>
      <c r="L6" s="6">
        <v>59000</v>
      </c>
      <c r="M6" s="1">
        <v>0</v>
      </c>
      <c r="O6" s="1">
        <v>51893</v>
      </c>
      <c r="P6" s="1">
        <v>0</v>
      </c>
      <c r="R6" s="1">
        <v>0</v>
      </c>
      <c r="S6" s="1">
        <v>0</v>
      </c>
      <c r="U6" s="1">
        <v>0</v>
      </c>
      <c r="V6" s="9">
        <v>0</v>
      </c>
    </row>
    <row r="7" spans="1:22">
      <c r="A7" s="1" t="s">
        <v>12</v>
      </c>
      <c r="B7" s="6">
        <v>0</v>
      </c>
      <c r="C7" s="1">
        <v>0</v>
      </c>
      <c r="D7" s="1">
        <v>0</v>
      </c>
      <c r="E7" s="1">
        <v>0</v>
      </c>
      <c r="F7" s="1">
        <v>0</v>
      </c>
      <c r="G7" s="9">
        <f>SUM(AK_FINANCIAL)</f>
        <v>0</v>
      </c>
      <c r="I7" s="12"/>
      <c r="J7" s="15"/>
      <c r="L7" s="6"/>
      <c r="V7" s="9"/>
    </row>
    <row r="8" spans="1:22">
      <c r="A8" s="1" t="s">
        <v>13</v>
      </c>
      <c r="B8" s="6">
        <v>6696.6701440759007</v>
      </c>
      <c r="C8" s="1">
        <v>16811.816136865473</v>
      </c>
      <c r="D8" s="1">
        <v>0</v>
      </c>
      <c r="E8" s="1">
        <v>0</v>
      </c>
      <c r="F8" s="1">
        <v>0</v>
      </c>
      <c r="G8" s="9">
        <f>SUM(AZ_FINANCIAL)</f>
        <v>23508.486280941375</v>
      </c>
      <c r="I8" s="13" t="s">
        <v>14</v>
      </c>
      <c r="J8" s="16"/>
      <c r="L8" s="6">
        <v>3325</v>
      </c>
      <c r="M8" s="1">
        <v>0</v>
      </c>
      <c r="O8" s="1">
        <v>5932</v>
      </c>
      <c r="P8" s="1">
        <v>0</v>
      </c>
      <c r="R8" s="1">
        <v>0</v>
      </c>
      <c r="S8" s="1">
        <v>0</v>
      </c>
      <c r="U8" s="1">
        <v>0</v>
      </c>
      <c r="V8" s="9">
        <v>0</v>
      </c>
    </row>
    <row r="9" spans="1:22">
      <c r="A9" s="1" t="s">
        <v>15</v>
      </c>
      <c r="B9" s="6">
        <v>381.80872133965261</v>
      </c>
      <c r="C9" s="1">
        <v>19467.497977192128</v>
      </c>
      <c r="D9" s="1">
        <v>0</v>
      </c>
      <c r="E9" s="1">
        <v>0</v>
      </c>
      <c r="F9" s="1">
        <v>0</v>
      </c>
      <c r="G9" s="9">
        <f>SUM(AR_FINANCIAL)</f>
        <v>19849.306698531782</v>
      </c>
      <c r="I9" s="13"/>
      <c r="J9" s="16"/>
      <c r="L9" s="6">
        <v>47114</v>
      </c>
      <c r="M9" s="1">
        <v>0</v>
      </c>
      <c r="O9" s="1">
        <v>0</v>
      </c>
      <c r="P9" s="1">
        <v>0</v>
      </c>
      <c r="R9" s="1">
        <v>0</v>
      </c>
      <c r="S9" s="1">
        <v>0</v>
      </c>
      <c r="U9" s="1">
        <v>0</v>
      </c>
      <c r="V9" s="9">
        <v>0</v>
      </c>
    </row>
    <row r="10" spans="1:22">
      <c r="A10" s="1" t="s">
        <v>16</v>
      </c>
      <c r="B10" s="6">
        <v>83436.425082498376</v>
      </c>
      <c r="C10" s="1">
        <v>38250.785900899529</v>
      </c>
      <c r="D10" s="1">
        <v>0</v>
      </c>
      <c r="E10" s="1">
        <v>0</v>
      </c>
      <c r="F10" s="1">
        <v>0</v>
      </c>
      <c r="G10" s="9">
        <f>SUM(CA_FINANCIAL)</f>
        <v>121687.2109833979</v>
      </c>
      <c r="I10" s="13" t="s">
        <v>17</v>
      </c>
      <c r="J10" s="16">
        <v>67641599.769650847</v>
      </c>
      <c r="L10" s="6">
        <v>125483</v>
      </c>
      <c r="M10" s="1">
        <v>0</v>
      </c>
      <c r="O10" s="1">
        <v>57507</v>
      </c>
      <c r="P10" s="1">
        <v>0</v>
      </c>
      <c r="R10" s="1">
        <v>0</v>
      </c>
      <c r="S10" s="1">
        <v>0</v>
      </c>
      <c r="U10" s="1">
        <v>0</v>
      </c>
      <c r="V10" s="9">
        <v>0</v>
      </c>
    </row>
    <row r="11" spans="1:22">
      <c r="A11" s="1" t="s">
        <v>18</v>
      </c>
      <c r="B11" s="6">
        <v>15502.532394991813</v>
      </c>
      <c r="C11" s="1">
        <v>14197.06032458649</v>
      </c>
      <c r="D11" s="1">
        <v>0</v>
      </c>
      <c r="E11" s="1">
        <v>0</v>
      </c>
      <c r="F11" s="1">
        <v>0</v>
      </c>
      <c r="G11" s="9">
        <f>SUM(CO_FINANCIAL)</f>
        <v>29699.592719578301</v>
      </c>
      <c r="I11" s="13"/>
      <c r="J11" s="16"/>
      <c r="L11" s="6">
        <v>25480</v>
      </c>
      <c r="M11" s="1">
        <v>0</v>
      </c>
      <c r="O11" s="1">
        <v>23520</v>
      </c>
      <c r="P11" s="1">
        <v>0</v>
      </c>
      <c r="R11" s="1">
        <v>0</v>
      </c>
      <c r="S11" s="1">
        <v>0</v>
      </c>
      <c r="U11" s="1">
        <v>0</v>
      </c>
      <c r="V11" s="9">
        <v>0</v>
      </c>
    </row>
    <row r="12" spans="1:22">
      <c r="A12" s="1" t="s">
        <v>19</v>
      </c>
      <c r="B12" s="6">
        <v>0</v>
      </c>
      <c r="C12" s="1">
        <v>0</v>
      </c>
      <c r="D12" s="1">
        <v>0</v>
      </c>
      <c r="E12" s="1">
        <v>0</v>
      </c>
      <c r="F12" s="1">
        <v>0</v>
      </c>
      <c r="G12" s="9">
        <f>SUM(CT_FINANCIAL)</f>
        <v>0</v>
      </c>
      <c r="I12" s="13" t="s">
        <v>20</v>
      </c>
      <c r="J12" s="16"/>
      <c r="L12" s="6"/>
      <c r="V12" s="9"/>
    </row>
    <row r="13" spans="1:22">
      <c r="A13" s="1" t="s">
        <v>21</v>
      </c>
      <c r="B13" s="6">
        <v>1741.4145412038654</v>
      </c>
      <c r="C13" s="1">
        <v>1420.5825025781294</v>
      </c>
      <c r="D13" s="1">
        <v>0</v>
      </c>
      <c r="E13" s="1">
        <v>0</v>
      </c>
      <c r="F13" s="1">
        <v>0</v>
      </c>
      <c r="G13" s="9">
        <f>SUM(DE_FINANCIAL)</f>
        <v>3161.9970437819948</v>
      </c>
      <c r="I13" s="13" t="s">
        <v>22</v>
      </c>
      <c r="J13" s="16">
        <v>382611.05000000005</v>
      </c>
      <c r="L13" s="6">
        <v>750</v>
      </c>
      <c r="M13" s="1">
        <v>0</v>
      </c>
      <c r="O13" s="1">
        <v>1750</v>
      </c>
      <c r="P13" s="1">
        <v>0</v>
      </c>
      <c r="R13" s="1">
        <v>0</v>
      </c>
      <c r="S13" s="1">
        <v>0</v>
      </c>
      <c r="U13" s="1">
        <v>0</v>
      </c>
      <c r="V13" s="9">
        <v>0</v>
      </c>
    </row>
    <row r="14" spans="1:22">
      <c r="A14" s="1" t="s">
        <v>23</v>
      </c>
      <c r="B14" s="6">
        <v>0</v>
      </c>
      <c r="C14" s="1">
        <v>0</v>
      </c>
      <c r="D14" s="1">
        <v>0</v>
      </c>
      <c r="E14" s="1">
        <v>0</v>
      </c>
      <c r="F14" s="1">
        <v>0</v>
      </c>
      <c r="G14" s="9">
        <f>SUM(DC_FINANCIAL)</f>
        <v>0</v>
      </c>
      <c r="I14" s="13" t="s">
        <v>24</v>
      </c>
      <c r="J14" s="16">
        <v>994264.99999999977</v>
      </c>
      <c r="L14" s="6"/>
      <c r="V14" s="9"/>
    </row>
    <row r="15" spans="1:22">
      <c r="A15" s="1" t="s">
        <v>25</v>
      </c>
      <c r="B15" s="6">
        <v>303989.62744072115</v>
      </c>
      <c r="C15" s="1">
        <v>440006.11634247651</v>
      </c>
      <c r="D15" s="1">
        <v>0</v>
      </c>
      <c r="E15" s="1">
        <v>0</v>
      </c>
      <c r="F15" s="1">
        <v>0</v>
      </c>
      <c r="G15" s="9">
        <f>SUM(FL_FINANCIAL)</f>
        <v>743995.7437831976</v>
      </c>
      <c r="I15" s="13" t="s">
        <v>26</v>
      </c>
      <c r="J15" s="16">
        <v>712586.20999999985</v>
      </c>
      <c r="L15" s="6">
        <v>275000</v>
      </c>
      <c r="M15" s="1">
        <v>0</v>
      </c>
      <c r="O15" s="1">
        <v>975000</v>
      </c>
      <c r="P15" s="1">
        <v>0</v>
      </c>
      <c r="R15" s="1">
        <v>0</v>
      </c>
      <c r="S15" s="1">
        <v>0</v>
      </c>
      <c r="U15" s="1">
        <v>0</v>
      </c>
      <c r="V15" s="9">
        <v>0</v>
      </c>
    </row>
    <row r="16" spans="1:22">
      <c r="A16" s="1" t="s">
        <v>27</v>
      </c>
      <c r="B16" s="6">
        <v>84456.602707979211</v>
      </c>
      <c r="C16" s="1">
        <v>1336680.5301448018</v>
      </c>
      <c r="D16" s="1">
        <v>0</v>
      </c>
      <c r="E16" s="1">
        <v>0</v>
      </c>
      <c r="F16" s="1">
        <v>0</v>
      </c>
      <c r="G16" s="9">
        <f>SUM(GA_FINANCIAL)</f>
        <v>1421137.1328527811</v>
      </c>
      <c r="I16" s="13" t="s">
        <v>28</v>
      </c>
      <c r="J16" s="16">
        <v>0</v>
      </c>
      <c r="L16" s="6">
        <v>112560</v>
      </c>
      <c r="M16" s="1">
        <v>0</v>
      </c>
      <c r="O16" s="1">
        <v>2087440</v>
      </c>
      <c r="P16" s="1">
        <v>92229.35</v>
      </c>
      <c r="R16" s="1">
        <v>0</v>
      </c>
      <c r="S16" s="1">
        <v>0</v>
      </c>
      <c r="U16" s="1">
        <v>0</v>
      </c>
      <c r="V16" s="9">
        <v>0</v>
      </c>
    </row>
    <row r="17" spans="1:22">
      <c r="A17" s="1" t="s">
        <v>29</v>
      </c>
      <c r="B17" s="6">
        <v>0</v>
      </c>
      <c r="C17" s="1">
        <v>0</v>
      </c>
      <c r="D17" s="1">
        <v>0</v>
      </c>
      <c r="E17" s="1">
        <v>0</v>
      </c>
      <c r="F17" s="1">
        <v>0</v>
      </c>
      <c r="G17" s="9">
        <f>SUM(HI_FINANCIAL)</f>
        <v>0</v>
      </c>
      <c r="I17" s="13"/>
      <c r="J17" s="16"/>
      <c r="L17" s="6"/>
      <c r="V17" s="9"/>
    </row>
    <row r="18" spans="1:22">
      <c r="A18" s="1" t="s">
        <v>30</v>
      </c>
      <c r="B18" s="6">
        <v>0</v>
      </c>
      <c r="C18" s="1">
        <v>0</v>
      </c>
      <c r="D18" s="1">
        <v>0</v>
      </c>
      <c r="E18" s="1">
        <v>0</v>
      </c>
      <c r="F18" s="1">
        <v>0</v>
      </c>
      <c r="G18" s="9">
        <f>SUM(ID_FINANCIAL)</f>
        <v>0</v>
      </c>
      <c r="I18" s="13" t="s">
        <v>31</v>
      </c>
      <c r="J18" s="16"/>
      <c r="L18" s="6"/>
      <c r="V18" s="9"/>
    </row>
    <row r="19" spans="1:22">
      <c r="A19" s="1" t="s">
        <v>32</v>
      </c>
      <c r="B19" s="6">
        <v>93099.494201263631</v>
      </c>
      <c r="C19" s="1">
        <v>10239.849632879204</v>
      </c>
      <c r="D19" s="1">
        <v>0</v>
      </c>
      <c r="E19" s="1">
        <v>0</v>
      </c>
      <c r="F19" s="1">
        <v>0</v>
      </c>
      <c r="G19" s="9">
        <f>SUM(IL_FINANCIAL)</f>
        <v>103339.34383414284</v>
      </c>
      <c r="I19" s="13" t="s">
        <v>33</v>
      </c>
      <c r="J19" s="16">
        <v>46001671.584207788</v>
      </c>
      <c r="L19" s="6">
        <v>167000</v>
      </c>
      <c r="M19" s="1">
        <v>0</v>
      </c>
      <c r="O19" s="1">
        <v>8000</v>
      </c>
      <c r="P19" s="1">
        <v>0</v>
      </c>
      <c r="R19" s="1">
        <v>0</v>
      </c>
      <c r="S19" s="1">
        <v>0</v>
      </c>
      <c r="U19" s="1">
        <v>0</v>
      </c>
      <c r="V19" s="9">
        <v>0</v>
      </c>
    </row>
    <row r="20" spans="1:22">
      <c r="A20" s="1" t="s">
        <v>34</v>
      </c>
      <c r="B20" s="6">
        <v>139.89755854319895</v>
      </c>
      <c r="C20" s="1">
        <v>31231.925416174803</v>
      </c>
      <c r="D20" s="1">
        <v>0</v>
      </c>
      <c r="E20" s="1">
        <v>0</v>
      </c>
      <c r="F20" s="1">
        <v>0</v>
      </c>
      <c r="G20" s="9">
        <f>SUM(IN_FINANCIAL)</f>
        <v>31371.822974718001</v>
      </c>
      <c r="I20" s="13" t="s">
        <v>35</v>
      </c>
      <c r="J20" s="16">
        <v>-131111.8145569294</v>
      </c>
      <c r="L20" s="6"/>
      <c r="V20" s="9"/>
    </row>
    <row r="21" spans="1:22">
      <c r="A21" s="1" t="s">
        <v>36</v>
      </c>
      <c r="B21" s="6">
        <v>253.07795276521381</v>
      </c>
      <c r="C21" s="1">
        <v>0</v>
      </c>
      <c r="D21" s="1">
        <v>0</v>
      </c>
      <c r="E21" s="1">
        <v>0</v>
      </c>
      <c r="F21" s="1">
        <v>0</v>
      </c>
      <c r="G21" s="9">
        <f>SUM(IA_FINANCIAL)</f>
        <v>253.07795276521381</v>
      </c>
      <c r="I21" s="13" t="s">
        <v>37</v>
      </c>
      <c r="J21" s="16"/>
      <c r="L21" s="6"/>
      <c r="V21" s="9"/>
    </row>
    <row r="22" spans="1:22">
      <c r="A22" s="1" t="s">
        <v>38</v>
      </c>
      <c r="B22" s="6">
        <v>2108.6193789494937</v>
      </c>
      <c r="C22" s="1">
        <v>4181.0874354103435</v>
      </c>
      <c r="D22" s="1">
        <v>0</v>
      </c>
      <c r="E22" s="1">
        <v>0</v>
      </c>
      <c r="F22" s="1">
        <v>0</v>
      </c>
      <c r="G22" s="9">
        <f>SUM(KS_FINANCIAL)</f>
        <v>6289.7068143598372</v>
      </c>
      <c r="I22" s="13" t="s">
        <v>39</v>
      </c>
      <c r="J22" s="16">
        <v>259235</v>
      </c>
      <c r="L22" s="6"/>
      <c r="V22" s="9"/>
    </row>
    <row r="23" spans="1:22">
      <c r="A23" s="1" t="s">
        <v>40</v>
      </c>
      <c r="B23" s="6">
        <v>40983.994685723519</v>
      </c>
      <c r="C23" s="1">
        <v>162669.92402872629</v>
      </c>
      <c r="D23" s="1">
        <v>0</v>
      </c>
      <c r="E23" s="1">
        <v>0</v>
      </c>
      <c r="F23" s="1">
        <v>0</v>
      </c>
      <c r="G23" s="9">
        <f>SUM(KY_FINANCIAL)</f>
        <v>203653.9187144498</v>
      </c>
      <c r="I23" s="13" t="s">
        <v>41</v>
      </c>
      <c r="J23" s="16"/>
      <c r="L23" s="6">
        <v>59999</v>
      </c>
      <c r="M23" s="1">
        <v>0</v>
      </c>
      <c r="O23" s="1">
        <v>280671</v>
      </c>
      <c r="P23" s="1">
        <v>50000</v>
      </c>
      <c r="R23" s="1">
        <v>0</v>
      </c>
      <c r="S23" s="1">
        <v>0</v>
      </c>
      <c r="U23" s="1">
        <v>0</v>
      </c>
      <c r="V23" s="9">
        <v>0</v>
      </c>
    </row>
    <row r="24" spans="1:22">
      <c r="A24" s="1" t="s">
        <v>42</v>
      </c>
      <c r="B24" s="6">
        <v>107658.06154435754</v>
      </c>
      <c r="C24" s="1">
        <v>37534.302992558958</v>
      </c>
      <c r="D24" s="1">
        <v>0</v>
      </c>
      <c r="E24" s="1">
        <v>0</v>
      </c>
      <c r="F24" s="1">
        <v>0</v>
      </c>
      <c r="G24" s="9">
        <f>SUM(LA_FINANCIAL)</f>
        <v>145192.36453691649</v>
      </c>
      <c r="I24" s="13" t="s">
        <v>43</v>
      </c>
      <c r="J24" s="16">
        <v>7843309.1354829157</v>
      </c>
      <c r="L24" s="6">
        <v>110873</v>
      </c>
      <c r="M24" s="1">
        <v>0</v>
      </c>
      <c r="O24" s="1">
        <v>21127</v>
      </c>
      <c r="P24" s="1">
        <v>0</v>
      </c>
      <c r="R24" s="1">
        <v>0</v>
      </c>
      <c r="S24" s="1">
        <v>0</v>
      </c>
      <c r="U24" s="1">
        <v>0</v>
      </c>
      <c r="V24" s="9">
        <v>0</v>
      </c>
    </row>
    <row r="25" spans="1:22">
      <c r="A25" s="1" t="s">
        <v>44</v>
      </c>
      <c r="B25" s="6">
        <v>0</v>
      </c>
      <c r="C25" s="1">
        <v>0</v>
      </c>
      <c r="D25" s="1">
        <v>0</v>
      </c>
      <c r="E25" s="1">
        <v>0</v>
      </c>
      <c r="F25" s="1">
        <v>0</v>
      </c>
      <c r="G25" s="9">
        <f>SUM(ME_FINANCIAL)</f>
        <v>0</v>
      </c>
      <c r="I25" s="13"/>
      <c r="J25" s="16"/>
      <c r="L25" s="6"/>
      <c r="V25" s="9"/>
    </row>
    <row r="26" spans="1:22">
      <c r="A26" s="1" t="s">
        <v>45</v>
      </c>
      <c r="B26" s="6">
        <v>26790.754836532</v>
      </c>
      <c r="C26" s="1">
        <v>61328.64965600858</v>
      </c>
      <c r="D26" s="1">
        <v>0</v>
      </c>
      <c r="E26" s="1">
        <v>0</v>
      </c>
      <c r="F26" s="1">
        <v>0</v>
      </c>
      <c r="G26" s="9">
        <f>SUM(MD_FINANCIAL)</f>
        <v>88119.404492540576</v>
      </c>
      <c r="I26" s="13" t="s">
        <v>46</v>
      </c>
      <c r="J26" s="16">
        <f>SUM(ADD_FINANCIAL)-SUM(LESS_FINANCIAL)</f>
        <v>15757958.124517061</v>
      </c>
      <c r="L26" s="6">
        <v>18300</v>
      </c>
      <c r="M26" s="1">
        <v>0</v>
      </c>
      <c r="O26" s="1">
        <v>53700</v>
      </c>
      <c r="P26" s="1">
        <v>0</v>
      </c>
      <c r="R26" s="1">
        <v>0</v>
      </c>
      <c r="S26" s="1">
        <v>0</v>
      </c>
      <c r="U26" s="1">
        <v>0</v>
      </c>
      <c r="V26" s="9">
        <v>0</v>
      </c>
    </row>
    <row r="27" spans="1:22">
      <c r="A27" s="1" t="s">
        <v>47</v>
      </c>
      <c r="B27" s="6">
        <v>0</v>
      </c>
      <c r="C27" s="1">
        <v>0</v>
      </c>
      <c r="D27" s="1">
        <v>0</v>
      </c>
      <c r="E27" s="1">
        <v>0</v>
      </c>
      <c r="F27" s="1">
        <v>0</v>
      </c>
      <c r="G27" s="9">
        <f>SUM(MA_FINANCIAL)</f>
        <v>0</v>
      </c>
      <c r="I27" s="13" t="s">
        <v>48</v>
      </c>
      <c r="J27" s="16">
        <f>SUM(ALL_BLOCKS)</f>
        <v>15757958.124517081</v>
      </c>
      <c r="L27" s="6"/>
      <c r="V27" s="9"/>
    </row>
    <row r="28" spans="1:22">
      <c r="A28" s="1" t="s">
        <v>49</v>
      </c>
      <c r="B28" s="6">
        <v>0</v>
      </c>
      <c r="C28" s="1">
        <v>0</v>
      </c>
      <c r="D28" s="1">
        <v>0</v>
      </c>
      <c r="E28" s="1">
        <v>0</v>
      </c>
      <c r="F28" s="1">
        <v>0</v>
      </c>
      <c r="G28" s="9">
        <f>SUM(MI_FINANCIAL)</f>
        <v>0</v>
      </c>
      <c r="I28" s="14"/>
      <c r="J28" s="17"/>
      <c r="L28" s="6"/>
      <c r="V28" s="9"/>
    </row>
    <row r="29" spans="1:22">
      <c r="A29" s="1" t="s">
        <v>50</v>
      </c>
      <c r="B29" s="6">
        <v>0</v>
      </c>
      <c r="C29" s="1">
        <v>0</v>
      </c>
      <c r="D29" s="1">
        <v>0</v>
      </c>
      <c r="E29" s="1">
        <v>0</v>
      </c>
      <c r="F29" s="1">
        <v>0</v>
      </c>
      <c r="G29" s="9">
        <f>SUM(MN_FINANCIAL)</f>
        <v>0</v>
      </c>
      <c r="L29" s="6"/>
      <c r="V29" s="9"/>
    </row>
    <row r="30" spans="1:22">
      <c r="A30" s="1" t="s">
        <v>51</v>
      </c>
      <c r="B30" s="6">
        <v>3928.220907894668</v>
      </c>
      <c r="C30" s="1">
        <v>47668.740447080054</v>
      </c>
      <c r="D30" s="1">
        <v>0</v>
      </c>
      <c r="E30" s="1">
        <v>0</v>
      </c>
      <c r="F30" s="1">
        <v>0</v>
      </c>
      <c r="G30" s="9">
        <f>SUM(MS_FINANCIAL)</f>
        <v>51596.961354974723</v>
      </c>
      <c r="L30" s="6"/>
      <c r="V30" s="9"/>
    </row>
    <row r="31" spans="1:22">
      <c r="A31" s="1" t="s">
        <v>52</v>
      </c>
      <c r="B31" s="6">
        <v>3346.0858168075783</v>
      </c>
      <c r="C31" s="1">
        <v>20059.204683767752</v>
      </c>
      <c r="D31" s="1">
        <v>0</v>
      </c>
      <c r="E31" s="1">
        <v>0</v>
      </c>
      <c r="F31" s="1">
        <v>0</v>
      </c>
      <c r="G31" s="9">
        <f>SUM(MO_FINANCIAL)</f>
        <v>23405.290500575331</v>
      </c>
      <c r="L31" s="6"/>
      <c r="V31" s="9"/>
    </row>
    <row r="32" spans="1:22">
      <c r="A32" s="1" t="s">
        <v>53</v>
      </c>
      <c r="B32" s="6">
        <v>0</v>
      </c>
      <c r="C32" s="1">
        <v>0</v>
      </c>
      <c r="D32" s="1">
        <v>0</v>
      </c>
      <c r="E32" s="1">
        <v>0</v>
      </c>
      <c r="F32" s="1">
        <v>0</v>
      </c>
      <c r="G32" s="9">
        <f>SUM(MT_FINANCIAL)</f>
        <v>0</v>
      </c>
      <c r="L32" s="6"/>
      <c r="V32" s="9"/>
    </row>
    <row r="33" spans="1:22">
      <c r="A33" s="1" t="s">
        <v>54</v>
      </c>
      <c r="B33" s="6">
        <v>0</v>
      </c>
      <c r="C33" s="1">
        <v>0</v>
      </c>
      <c r="D33" s="1">
        <v>0</v>
      </c>
      <c r="E33" s="1">
        <v>0</v>
      </c>
      <c r="F33" s="1">
        <v>0</v>
      </c>
      <c r="G33" s="9">
        <f>SUM(NE_FINANCIAL)</f>
        <v>0</v>
      </c>
      <c r="L33" s="6"/>
      <c r="V33" s="9"/>
    </row>
    <row r="34" spans="1:22">
      <c r="A34" s="1" t="s">
        <v>55</v>
      </c>
      <c r="B34" s="6">
        <v>1176.9330958043447</v>
      </c>
      <c r="C34" s="1">
        <v>0</v>
      </c>
      <c r="D34" s="1">
        <v>0</v>
      </c>
      <c r="E34" s="1">
        <v>0</v>
      </c>
      <c r="F34" s="1">
        <v>0</v>
      </c>
      <c r="G34" s="9">
        <f>SUM(NV_FINANCIAL)</f>
        <v>1176.9330958043447</v>
      </c>
      <c r="L34" s="6"/>
      <c r="V34" s="9"/>
    </row>
    <row r="35" spans="1:22">
      <c r="A35" s="1" t="s">
        <v>56</v>
      </c>
      <c r="B35" s="6">
        <v>0</v>
      </c>
      <c r="C35" s="1">
        <v>0</v>
      </c>
      <c r="D35" s="1">
        <v>0</v>
      </c>
      <c r="E35" s="1">
        <v>0</v>
      </c>
      <c r="F35" s="1">
        <v>0</v>
      </c>
      <c r="G35" s="9">
        <f>SUM(NH_FINANCIAL)</f>
        <v>0</v>
      </c>
      <c r="L35" s="6"/>
      <c r="V35" s="9"/>
    </row>
    <row r="36" spans="1:22">
      <c r="A36" s="1" t="s">
        <v>57</v>
      </c>
      <c r="B36" s="6">
        <v>8197.3465400421865</v>
      </c>
      <c r="C36" s="1">
        <v>53103.76735980963</v>
      </c>
      <c r="D36" s="1">
        <v>0</v>
      </c>
      <c r="E36" s="1">
        <v>0</v>
      </c>
      <c r="F36" s="1">
        <v>0</v>
      </c>
      <c r="G36" s="9">
        <f>SUM(NJ_FINANCIAL)</f>
        <v>61301.113899851814</v>
      </c>
      <c r="L36" s="6">
        <v>100000</v>
      </c>
      <c r="M36" s="1">
        <v>0</v>
      </c>
      <c r="O36" s="1">
        <v>0</v>
      </c>
      <c r="P36" s="1">
        <v>0</v>
      </c>
      <c r="R36" s="1">
        <v>0</v>
      </c>
      <c r="S36" s="1">
        <v>0</v>
      </c>
      <c r="U36" s="1">
        <v>0</v>
      </c>
      <c r="V36" s="9">
        <v>0</v>
      </c>
    </row>
    <row r="37" spans="1:22">
      <c r="A37" s="1" t="s">
        <v>58</v>
      </c>
      <c r="B37" s="6">
        <v>16879.78406160379</v>
      </c>
      <c r="C37" s="1">
        <v>0</v>
      </c>
      <c r="D37" s="1">
        <v>0</v>
      </c>
      <c r="E37" s="1">
        <v>0</v>
      </c>
      <c r="F37" s="1">
        <v>0</v>
      </c>
      <c r="G37" s="9">
        <f>SUM(NM_FINANCIAL)</f>
        <v>16879.78406160379</v>
      </c>
      <c r="L37" s="6"/>
      <c r="V37" s="9"/>
    </row>
    <row r="38" spans="1:22">
      <c r="A38" s="1" t="s">
        <v>59</v>
      </c>
      <c r="B38" s="6">
        <v>0</v>
      </c>
      <c r="C38" s="1">
        <v>0</v>
      </c>
      <c r="D38" s="1">
        <v>0</v>
      </c>
      <c r="E38" s="1">
        <v>0</v>
      </c>
      <c r="F38" s="1">
        <v>0</v>
      </c>
      <c r="G38" s="9">
        <f>SUM(NY_FINANCIAL)</f>
        <v>0</v>
      </c>
      <c r="L38" s="6"/>
      <c r="V38" s="9"/>
    </row>
    <row r="39" spans="1:22">
      <c r="A39" s="1" t="s">
        <v>60</v>
      </c>
      <c r="B39" s="6">
        <v>350834.23387268034</v>
      </c>
      <c r="C39" s="1">
        <v>2035493.0079735378</v>
      </c>
      <c r="D39" s="1">
        <v>225</v>
      </c>
      <c r="E39" s="1">
        <v>0</v>
      </c>
      <c r="F39" s="1">
        <v>0</v>
      </c>
      <c r="G39" s="9">
        <f>SUM(NC_FINANCIAL)</f>
        <v>2386552.2418462182</v>
      </c>
      <c r="L39" s="6">
        <v>450000</v>
      </c>
      <c r="M39" s="1">
        <v>60000</v>
      </c>
      <c r="O39" s="1">
        <v>2550000</v>
      </c>
      <c r="P39" s="1">
        <v>340000</v>
      </c>
      <c r="R39" s="1">
        <v>0</v>
      </c>
      <c r="S39" s="1">
        <v>0</v>
      </c>
      <c r="U39" s="1">
        <v>0</v>
      </c>
      <c r="V39" s="9">
        <v>0</v>
      </c>
    </row>
    <row r="40" spans="1:22">
      <c r="A40" s="1" t="s">
        <v>61</v>
      </c>
      <c r="B40" s="6">
        <v>0</v>
      </c>
      <c r="C40" s="1">
        <v>0</v>
      </c>
      <c r="D40" s="1">
        <v>0</v>
      </c>
      <c r="E40" s="1">
        <v>0</v>
      </c>
      <c r="F40" s="1">
        <v>0</v>
      </c>
      <c r="G40" s="9">
        <f>SUM(ND_FINANCIAL)</f>
        <v>0</v>
      </c>
      <c r="L40" s="6"/>
      <c r="V40" s="9"/>
    </row>
    <row r="41" spans="1:22">
      <c r="A41" s="1" t="s">
        <v>62</v>
      </c>
      <c r="B41" s="6">
        <v>51276.712705508893</v>
      </c>
      <c r="C41" s="1">
        <v>256316.74198780878</v>
      </c>
      <c r="D41" s="1">
        <v>0</v>
      </c>
      <c r="E41" s="1">
        <v>0</v>
      </c>
      <c r="F41" s="1">
        <v>0</v>
      </c>
      <c r="G41" s="9">
        <f>SUM(OH_FINANCIAL)</f>
        <v>307593.45469331765</v>
      </c>
      <c r="L41" s="6">
        <v>70000</v>
      </c>
      <c r="M41" s="1">
        <v>0</v>
      </c>
      <c r="O41" s="1">
        <v>370000</v>
      </c>
      <c r="P41" s="1">
        <v>0</v>
      </c>
      <c r="R41" s="1">
        <v>0</v>
      </c>
      <c r="S41" s="1">
        <v>0</v>
      </c>
      <c r="U41" s="1">
        <v>0</v>
      </c>
      <c r="V41" s="9">
        <v>0</v>
      </c>
    </row>
    <row r="42" spans="1:22">
      <c r="A42" s="1" t="s">
        <v>63</v>
      </c>
      <c r="B42" s="6">
        <v>110515.25347375113</v>
      </c>
      <c r="C42" s="1">
        <v>33741.462806039082</v>
      </c>
      <c r="D42" s="1">
        <v>0</v>
      </c>
      <c r="E42" s="1">
        <v>0</v>
      </c>
      <c r="F42" s="1">
        <v>0</v>
      </c>
      <c r="G42" s="9">
        <f>SUM(OK_FINANCIAL)</f>
        <v>144256.71627979021</v>
      </c>
      <c r="L42" s="6">
        <v>52900</v>
      </c>
      <c r="M42" s="1">
        <v>0</v>
      </c>
      <c r="O42" s="1">
        <v>177100</v>
      </c>
      <c r="P42" s="1">
        <v>0</v>
      </c>
      <c r="R42" s="1">
        <v>0</v>
      </c>
      <c r="S42" s="1">
        <v>0</v>
      </c>
      <c r="U42" s="1">
        <v>0</v>
      </c>
      <c r="V42" s="9">
        <v>0</v>
      </c>
    </row>
    <row r="43" spans="1:22">
      <c r="A43" s="1" t="s">
        <v>64</v>
      </c>
      <c r="B43" s="6">
        <v>6561.4308444343123</v>
      </c>
      <c r="C43" s="1">
        <v>14024.859131698193</v>
      </c>
      <c r="D43" s="1">
        <v>0</v>
      </c>
      <c r="E43" s="1">
        <v>0</v>
      </c>
      <c r="F43" s="1">
        <v>0</v>
      </c>
      <c r="G43" s="9">
        <f>SUM(OR_FINANCIAL)</f>
        <v>20586.289976132506</v>
      </c>
      <c r="L43" s="6"/>
      <c r="V43" s="9"/>
    </row>
    <row r="44" spans="1:22">
      <c r="A44" s="1" t="s">
        <v>65</v>
      </c>
      <c r="B44" s="6">
        <v>8600.8940236214621</v>
      </c>
      <c r="C44" s="1">
        <v>25770.649321174616</v>
      </c>
      <c r="D44" s="1">
        <v>0</v>
      </c>
      <c r="E44" s="1">
        <v>0</v>
      </c>
      <c r="F44" s="1">
        <v>0</v>
      </c>
      <c r="G44" s="9">
        <f>SUM(PA_FINANCIAL)</f>
        <v>34371.543344796082</v>
      </c>
      <c r="L44" s="6"/>
      <c r="V44" s="9"/>
    </row>
    <row r="45" spans="1:22">
      <c r="A45" s="1" t="s">
        <v>66</v>
      </c>
      <c r="B45" s="6">
        <v>0</v>
      </c>
      <c r="C45" s="1">
        <v>0</v>
      </c>
      <c r="D45" s="1">
        <v>0</v>
      </c>
      <c r="E45" s="1">
        <v>0</v>
      </c>
      <c r="F45" s="1">
        <v>0</v>
      </c>
      <c r="G45" s="9">
        <f>SUM(PR_FINANCIAL)</f>
        <v>0</v>
      </c>
      <c r="L45" s="6"/>
      <c r="V45" s="9"/>
    </row>
    <row r="46" spans="1:22">
      <c r="A46" s="1" t="s">
        <v>67</v>
      </c>
      <c r="B46" s="6">
        <v>0</v>
      </c>
      <c r="C46" s="1">
        <v>0</v>
      </c>
      <c r="D46" s="1">
        <v>0</v>
      </c>
      <c r="E46" s="1">
        <v>0</v>
      </c>
      <c r="F46" s="1">
        <v>0</v>
      </c>
      <c r="G46" s="9">
        <f>SUM(RI_FINANCIAL)</f>
        <v>0</v>
      </c>
      <c r="L46" s="6"/>
      <c r="V46" s="9"/>
    </row>
    <row r="47" spans="1:22">
      <c r="A47" s="1" t="s">
        <v>68</v>
      </c>
      <c r="B47" s="6">
        <v>1591180.4815546824</v>
      </c>
      <c r="C47" s="1">
        <v>4327098.8056921735</v>
      </c>
      <c r="D47" s="1">
        <v>0</v>
      </c>
      <c r="E47" s="1">
        <v>0</v>
      </c>
      <c r="F47" s="1">
        <v>0</v>
      </c>
      <c r="G47" s="9">
        <f>SUM(SC_FINANCIAL)</f>
        <v>5918279.2872468559</v>
      </c>
      <c r="L47" s="6">
        <v>2518615</v>
      </c>
      <c r="M47" s="1">
        <v>0</v>
      </c>
      <c r="O47" s="1">
        <v>6531385</v>
      </c>
      <c r="P47" s="1">
        <v>0</v>
      </c>
      <c r="R47" s="1">
        <v>0</v>
      </c>
      <c r="S47" s="1">
        <v>0</v>
      </c>
      <c r="U47" s="1">
        <v>0</v>
      </c>
      <c r="V47" s="9">
        <v>0</v>
      </c>
    </row>
    <row r="48" spans="1:22">
      <c r="A48" s="1" t="s">
        <v>69</v>
      </c>
      <c r="B48" s="6">
        <v>49.658604058524176</v>
      </c>
      <c r="C48" s="1">
        <v>0</v>
      </c>
      <c r="D48" s="1">
        <v>0</v>
      </c>
      <c r="E48" s="1">
        <v>0</v>
      </c>
      <c r="F48" s="1">
        <v>0</v>
      </c>
      <c r="G48" s="9">
        <f>SUM(SD_FINANCIAL)</f>
        <v>49.658604058524176</v>
      </c>
      <c r="L48" s="6"/>
      <c r="V48" s="9"/>
    </row>
    <row r="49" spans="1:22">
      <c r="A49" s="1" t="s">
        <v>70</v>
      </c>
      <c r="B49" s="6">
        <v>18919.799439200928</v>
      </c>
      <c r="C49" s="1">
        <v>1484239.547416246</v>
      </c>
      <c r="D49" s="1">
        <v>0</v>
      </c>
      <c r="E49" s="1">
        <v>0</v>
      </c>
      <c r="F49" s="1">
        <v>0</v>
      </c>
      <c r="G49" s="9">
        <f>SUM(TN_FINANCIAL)</f>
        <v>1503159.3468554469</v>
      </c>
      <c r="L49" s="6">
        <v>50000</v>
      </c>
      <c r="M49" s="1">
        <v>0</v>
      </c>
      <c r="O49" s="1">
        <v>2450000</v>
      </c>
      <c r="P49" s="1">
        <v>0</v>
      </c>
      <c r="R49" s="1">
        <v>0</v>
      </c>
      <c r="S49" s="1">
        <v>0</v>
      </c>
      <c r="U49" s="1">
        <v>0</v>
      </c>
      <c r="V49" s="9">
        <v>0</v>
      </c>
    </row>
    <row r="50" spans="1:22">
      <c r="A50" s="1" t="s">
        <v>71</v>
      </c>
      <c r="B50" s="6">
        <v>220338.840798044</v>
      </c>
      <c r="C50" s="1">
        <v>391138.75240714214</v>
      </c>
      <c r="D50" s="1">
        <v>15146.34</v>
      </c>
      <c r="E50" s="1">
        <v>0</v>
      </c>
      <c r="F50" s="1">
        <v>0</v>
      </c>
      <c r="G50" s="9">
        <f>SUM(TX_FINANCIAL)</f>
        <v>626623.93320518604</v>
      </c>
      <c r="L50" s="6">
        <v>523717</v>
      </c>
      <c r="M50" s="1">
        <v>139012</v>
      </c>
      <c r="O50" s="1">
        <v>407272</v>
      </c>
      <c r="P50" s="1">
        <v>108114</v>
      </c>
      <c r="R50" s="1">
        <v>0</v>
      </c>
      <c r="S50" s="1">
        <v>0</v>
      </c>
      <c r="U50" s="1">
        <v>0</v>
      </c>
      <c r="V50" s="9">
        <v>0</v>
      </c>
    </row>
    <row r="51" spans="1:22">
      <c r="A51" s="1" t="s">
        <v>72</v>
      </c>
      <c r="B51" s="6">
        <v>0</v>
      </c>
      <c r="C51" s="1">
        <v>52137.631814468194</v>
      </c>
      <c r="D51" s="1">
        <v>0</v>
      </c>
      <c r="E51" s="1">
        <v>0</v>
      </c>
      <c r="F51" s="1">
        <v>0</v>
      </c>
      <c r="G51" s="9">
        <f>SUM(UT_FINANCIAL)</f>
        <v>52137.631814468194</v>
      </c>
      <c r="L51" s="6">
        <v>0</v>
      </c>
      <c r="M51" s="1">
        <v>0</v>
      </c>
      <c r="O51" s="1">
        <v>47000</v>
      </c>
      <c r="P51" s="1">
        <v>0</v>
      </c>
      <c r="R51" s="1">
        <v>0</v>
      </c>
      <c r="S51" s="1">
        <v>0</v>
      </c>
      <c r="U51" s="1">
        <v>0</v>
      </c>
      <c r="V51" s="9">
        <v>0</v>
      </c>
    </row>
    <row r="52" spans="1:22">
      <c r="A52" s="1" t="s">
        <v>73</v>
      </c>
      <c r="B52" s="6">
        <v>0</v>
      </c>
      <c r="C52" s="1">
        <v>0</v>
      </c>
      <c r="D52" s="1">
        <v>0</v>
      </c>
      <c r="E52" s="1">
        <v>0</v>
      </c>
      <c r="F52" s="1">
        <v>0</v>
      </c>
      <c r="G52" s="9">
        <f>SUM(VT_FINANCIAL)</f>
        <v>0</v>
      </c>
      <c r="L52" s="6"/>
      <c r="V52" s="9"/>
    </row>
    <row r="53" spans="1:22">
      <c r="A53" s="1" t="s">
        <v>74</v>
      </c>
      <c r="B53" s="6">
        <v>313306.12760234886</v>
      </c>
      <c r="C53" s="1">
        <v>1002164.885255693</v>
      </c>
      <c r="D53" s="1">
        <v>762.5</v>
      </c>
      <c r="E53" s="1">
        <v>0</v>
      </c>
      <c r="F53" s="1">
        <v>0</v>
      </c>
      <c r="G53" s="9">
        <f>SUM(VA_FINANCIAL)</f>
        <v>1316233.5128580418</v>
      </c>
      <c r="L53" s="6">
        <v>368136</v>
      </c>
      <c r="M53" s="1">
        <v>18000</v>
      </c>
      <c r="O53" s="1">
        <v>1104909</v>
      </c>
      <c r="P53" s="1">
        <v>51387</v>
      </c>
      <c r="R53" s="1">
        <v>0</v>
      </c>
      <c r="S53" s="1">
        <v>0</v>
      </c>
      <c r="U53" s="1">
        <v>0</v>
      </c>
      <c r="V53" s="9">
        <v>0</v>
      </c>
    </row>
    <row r="54" spans="1:22">
      <c r="A54" s="1" t="s">
        <v>75</v>
      </c>
      <c r="B54" s="6">
        <v>57405.019176084359</v>
      </c>
      <c r="C54" s="1">
        <v>61.577341307127163</v>
      </c>
      <c r="D54" s="1">
        <v>0</v>
      </c>
      <c r="E54" s="1">
        <v>0</v>
      </c>
      <c r="F54" s="1">
        <v>0</v>
      </c>
      <c r="G54" s="9">
        <f>SUM(WA_FINANCIAL)</f>
        <v>57466.596517391488</v>
      </c>
      <c r="L54" s="6"/>
      <c r="V54" s="9"/>
    </row>
    <row r="55" spans="1:22">
      <c r="A55" s="1" t="s">
        <v>76</v>
      </c>
      <c r="B55" s="6">
        <v>27919.251701609261</v>
      </c>
      <c r="C55" s="1">
        <v>135462.05039854109</v>
      </c>
      <c r="D55" s="1">
        <v>0</v>
      </c>
      <c r="E55" s="1">
        <v>0</v>
      </c>
      <c r="F55" s="1">
        <v>0</v>
      </c>
      <c r="G55" s="9">
        <f>SUM(WV_FINANCIAL)</f>
        <v>163381.30210015035</v>
      </c>
      <c r="L55" s="6">
        <v>132436</v>
      </c>
      <c r="M55" s="1">
        <v>139679</v>
      </c>
      <c r="O55" s="1">
        <v>642564</v>
      </c>
      <c r="P55" s="1">
        <v>683850</v>
      </c>
      <c r="R55" s="1">
        <v>0</v>
      </c>
      <c r="S55" s="1">
        <v>0</v>
      </c>
      <c r="U55" s="1">
        <v>0</v>
      </c>
      <c r="V55" s="9">
        <v>0</v>
      </c>
    </row>
    <row r="56" spans="1:22">
      <c r="A56" s="1" t="s">
        <v>77</v>
      </c>
      <c r="B56" s="6">
        <v>215.26495886147637</v>
      </c>
      <c r="C56" s="1">
        <v>7473.1660879587407</v>
      </c>
      <c r="D56" s="1">
        <v>0</v>
      </c>
      <c r="E56" s="1">
        <v>0</v>
      </c>
      <c r="F56" s="1">
        <v>0</v>
      </c>
      <c r="G56" s="9">
        <f>SUM(WI_FINANCIAL)</f>
        <v>7688.4310468202175</v>
      </c>
      <c r="L56" s="6"/>
      <c r="V56" s="9"/>
    </row>
    <row r="57" spans="1:22">
      <c r="A57" s="1" t="s">
        <v>78</v>
      </c>
      <c r="B57" s="6">
        <v>0</v>
      </c>
      <c r="C57" s="1">
        <v>0</v>
      </c>
      <c r="D57" s="1">
        <v>0</v>
      </c>
      <c r="E57" s="1">
        <v>0</v>
      </c>
      <c r="F57" s="1">
        <v>0</v>
      </c>
      <c r="G57" s="9">
        <f>SUM(WY_FINANCIAL)</f>
        <v>0</v>
      </c>
      <c r="L57" s="6"/>
      <c r="V57" s="9"/>
    </row>
    <row r="58" spans="1:22">
      <c r="A58" s="1" t="s">
        <v>79</v>
      </c>
      <c r="B58" s="6">
        <v>0</v>
      </c>
      <c r="C58" s="1">
        <v>0</v>
      </c>
      <c r="D58" s="1">
        <v>0</v>
      </c>
      <c r="E58" s="1">
        <v>0</v>
      </c>
      <c r="F58" s="1">
        <v>0</v>
      </c>
      <c r="G58" s="9">
        <f>SUM(OT_FINANCIAL)</f>
        <v>0</v>
      </c>
      <c r="L58" s="6"/>
      <c r="V58" s="9"/>
    </row>
    <row r="59" spans="1:22">
      <c r="B59" s="6"/>
      <c r="G59" s="9"/>
      <c r="L59" s="6"/>
      <c r="V59" s="9"/>
    </row>
    <row r="60" spans="1:22">
      <c r="A60" s="1" t="s">
        <v>8</v>
      </c>
      <c r="B60" s="6">
        <f>SUM(LIFE)</f>
        <v>3600898.6111054136</v>
      </c>
      <c r="C60" s="1">
        <f>SUM(ALLOCATED)</f>
        <v>12140925.673411671</v>
      </c>
      <c r="D60" s="1">
        <f>SUM(HEALTH)</f>
        <v>16133.84</v>
      </c>
      <c r="E60" s="1">
        <f>SUM(UNALLOCATED)</f>
        <v>0</v>
      </c>
      <c r="F60" s="1">
        <f>SUM(LTC)</f>
        <v>0</v>
      </c>
      <c r="G60" s="9">
        <f>SUM(ALL_BLOCKS)</f>
        <v>15757958.124517081</v>
      </c>
      <c r="L60" s="6">
        <f>SUM(LIFE_CALLED)</f>
        <v>5270688</v>
      </c>
      <c r="M60" s="1">
        <f>SUM(LIFE_REFUNDED)</f>
        <v>356691</v>
      </c>
      <c r="O60" s="1">
        <f>SUM(ALLOC_CALLED)</f>
        <v>17846770</v>
      </c>
      <c r="P60" s="1">
        <f>SUM(ALLOC_REFUNDED)</f>
        <v>1325580.3500000001</v>
      </c>
      <c r="R60" s="1">
        <f>SUM(HEALTH_CALLED)</f>
        <v>0</v>
      </c>
      <c r="S60" s="1">
        <f>SUM(HEALTH_REFUNDED)</f>
        <v>0</v>
      </c>
      <c r="U60" s="1">
        <f>SUM(UNALLOC_CALLED)</f>
        <v>0</v>
      </c>
      <c r="V60" s="9">
        <f>SUM(UNALLOC_REFUNDED)</f>
        <v>0</v>
      </c>
    </row>
    <row r="61" spans="1:22" ht="5.0999999999999996" customHeight="1">
      <c r="B61" s="6"/>
      <c r="G61" s="9"/>
      <c r="L61" s="6"/>
      <c r="V61" s="9"/>
    </row>
    <row r="62" spans="1:22">
      <c r="B62" s="6"/>
      <c r="G62" s="9"/>
      <c r="L62" s="78" t="s">
        <v>80</v>
      </c>
      <c r="M62" s="79"/>
      <c r="N62" s="79"/>
      <c r="O62" s="79"/>
      <c r="P62" s="79"/>
      <c r="Q62" s="79"/>
      <c r="R62" s="79"/>
      <c r="S62" s="79"/>
      <c r="T62" s="79"/>
      <c r="U62" s="79"/>
      <c r="V62" s="80"/>
    </row>
    <row r="63" spans="1:22">
      <c r="B63" s="6"/>
      <c r="G63" s="9"/>
      <c r="L63" s="81"/>
      <c r="M63" s="79"/>
      <c r="N63" s="79"/>
      <c r="O63" s="79"/>
      <c r="P63" s="79"/>
      <c r="Q63" s="79"/>
      <c r="R63" s="79"/>
      <c r="S63" s="79"/>
      <c r="T63" s="79"/>
      <c r="U63" s="79"/>
      <c r="V63" s="80"/>
    </row>
    <row r="64" spans="1:22">
      <c r="B64" s="8"/>
      <c r="C64" s="5"/>
      <c r="D64" s="5"/>
      <c r="E64" s="5"/>
      <c r="F64" s="5"/>
      <c r="G64" s="11"/>
      <c r="L64" s="82"/>
      <c r="M64" s="83"/>
      <c r="N64" s="83"/>
      <c r="O64" s="83"/>
      <c r="P64" s="83"/>
      <c r="Q64" s="83"/>
      <c r="R64" s="83"/>
      <c r="S64" s="83"/>
      <c r="T64" s="83"/>
      <c r="U64" s="83"/>
      <c r="V64" s="84"/>
    </row>
  </sheetData>
  <mergeCells count="8">
    <mergeCell ref="L62:V64"/>
    <mergeCell ref="A1:G1"/>
    <mergeCell ref="B3:G3"/>
    <mergeCell ref="L3:V3"/>
    <mergeCell ref="L4:M4"/>
    <mergeCell ref="O4:P4"/>
    <mergeCell ref="R4:S4"/>
    <mergeCell ref="U4:V4"/>
  </mergeCells>
  <pageMargins left="0" right="0" top="0" bottom="0" header="0" footer="0"/>
  <pageSetup scale="48"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A1:V64"/>
  <sheetViews>
    <sheetView zoomScale="75" workbookViewId="0">
      <selection sqref="A1:G1"/>
    </sheetView>
  </sheetViews>
  <sheetFormatPr defaultColWidth="9.109375" defaultRowHeight="14.4"/>
  <cols>
    <col min="1" max="1" width="20" style="1" customWidth="1"/>
    <col min="2" max="7" width="15" style="1" customWidth="1"/>
    <col min="8" max="8" width="1" style="1" customWidth="1"/>
    <col min="9" max="9" width="30" style="1" customWidth="1"/>
    <col min="10" max="10" width="15" style="1" customWidth="1"/>
    <col min="11" max="11" width="1" style="1" customWidth="1"/>
    <col min="12" max="13" width="15" style="1" customWidth="1"/>
    <col min="14" max="14" width="1" style="1" customWidth="1"/>
    <col min="15" max="16" width="15" style="1" customWidth="1"/>
    <col min="17" max="17" width="1" style="1" customWidth="1"/>
    <col min="18" max="19" width="15" style="1" customWidth="1"/>
    <col min="20" max="20" width="1" style="1" customWidth="1"/>
    <col min="21" max="22" width="15" style="1" customWidth="1"/>
    <col min="23" max="23" width="9.109375" style="1" customWidth="1"/>
    <col min="24" max="16384" width="9.109375" style="1"/>
  </cols>
  <sheetData>
    <row r="1" spans="1:22">
      <c r="A1" s="85" t="s">
        <v>133</v>
      </c>
      <c r="B1" s="79"/>
      <c r="C1" s="79"/>
      <c r="D1" s="79"/>
      <c r="E1" s="79"/>
      <c r="F1" s="79"/>
      <c r="G1" s="79"/>
    </row>
    <row r="3" spans="1:22">
      <c r="B3" s="86" t="s">
        <v>1</v>
      </c>
      <c r="C3" s="87"/>
      <c r="D3" s="87"/>
      <c r="E3" s="87"/>
      <c r="F3" s="87"/>
      <c r="G3" s="88"/>
      <c r="L3" s="89" t="s">
        <v>2</v>
      </c>
      <c r="M3" s="90"/>
      <c r="N3" s="90"/>
      <c r="O3" s="90"/>
      <c r="P3" s="90"/>
      <c r="Q3" s="90"/>
      <c r="R3" s="90"/>
      <c r="S3" s="90"/>
      <c r="T3" s="90"/>
      <c r="U3" s="90"/>
      <c r="V3" s="91"/>
    </row>
    <row r="4" spans="1:22">
      <c r="B4" s="6"/>
      <c r="G4" s="9"/>
      <c r="L4" s="92" t="s">
        <v>3</v>
      </c>
      <c r="M4" s="93"/>
      <c r="N4" s="3"/>
      <c r="O4" s="94" t="s">
        <v>4</v>
      </c>
      <c r="P4" s="93"/>
      <c r="Q4" s="3"/>
      <c r="R4" s="94" t="s">
        <v>5</v>
      </c>
      <c r="S4" s="93"/>
      <c r="T4" s="3"/>
      <c r="U4" s="94" t="s">
        <v>6</v>
      </c>
      <c r="V4" s="95"/>
    </row>
    <row r="5" spans="1:22" ht="60" customHeight="1">
      <c r="B5" s="7" t="s">
        <v>3</v>
      </c>
      <c r="C5" s="4" t="s">
        <v>4</v>
      </c>
      <c r="D5" s="4" t="s">
        <v>5</v>
      </c>
      <c r="E5" s="4" t="s">
        <v>6</v>
      </c>
      <c r="F5" s="4" t="s">
        <v>7</v>
      </c>
      <c r="G5" s="10" t="s">
        <v>8</v>
      </c>
      <c r="L5" s="19" t="s">
        <v>9</v>
      </c>
      <c r="M5" s="18" t="s">
        <v>10</v>
      </c>
      <c r="N5" s="18"/>
      <c r="O5" s="18" t="s">
        <v>9</v>
      </c>
      <c r="P5" s="18" t="s">
        <v>10</v>
      </c>
      <c r="Q5" s="18"/>
      <c r="R5" s="18" t="s">
        <v>9</v>
      </c>
      <c r="S5" s="18" t="s">
        <v>10</v>
      </c>
      <c r="T5" s="18"/>
      <c r="U5" s="18" t="s">
        <v>9</v>
      </c>
      <c r="V5" s="20" t="s">
        <v>10</v>
      </c>
    </row>
    <row r="6" spans="1:22">
      <c r="A6" s="1" t="s">
        <v>11</v>
      </c>
      <c r="B6" s="6">
        <v>0</v>
      </c>
      <c r="C6" s="1">
        <v>0</v>
      </c>
      <c r="D6" s="1">
        <v>0</v>
      </c>
      <c r="E6" s="1">
        <v>0</v>
      </c>
      <c r="F6" s="1">
        <v>0</v>
      </c>
      <c r="G6" s="9">
        <f>SUM(AL_FINANCIAL)</f>
        <v>0</v>
      </c>
      <c r="L6" s="6"/>
      <c r="V6" s="9"/>
    </row>
    <row r="7" spans="1:22">
      <c r="A7" s="1" t="s">
        <v>12</v>
      </c>
      <c r="B7" s="6">
        <v>0</v>
      </c>
      <c r="C7" s="1">
        <v>0</v>
      </c>
      <c r="D7" s="1">
        <v>0</v>
      </c>
      <c r="E7" s="1">
        <v>0</v>
      </c>
      <c r="F7" s="1">
        <v>0</v>
      </c>
      <c r="G7" s="9">
        <f>SUM(AK_FINANCIAL)</f>
        <v>0</v>
      </c>
      <c r="I7" s="12"/>
      <c r="J7" s="15"/>
      <c r="L7" s="6"/>
      <c r="V7" s="9"/>
    </row>
    <row r="8" spans="1:22">
      <c r="A8" s="1" t="s">
        <v>13</v>
      </c>
      <c r="B8" s="6">
        <v>0</v>
      </c>
      <c r="C8" s="1">
        <v>0</v>
      </c>
      <c r="D8" s="1">
        <v>0</v>
      </c>
      <c r="E8" s="1">
        <v>0</v>
      </c>
      <c r="F8" s="1">
        <v>0</v>
      </c>
      <c r="G8" s="9">
        <f>SUM(AZ_FINANCIAL)</f>
        <v>0</v>
      </c>
      <c r="I8" s="13" t="s">
        <v>14</v>
      </c>
      <c r="J8" s="16"/>
      <c r="L8" s="6"/>
      <c r="V8" s="9"/>
    </row>
    <row r="9" spans="1:22">
      <c r="A9" s="1" t="s">
        <v>15</v>
      </c>
      <c r="B9" s="6">
        <v>0</v>
      </c>
      <c r="C9" s="1">
        <v>0</v>
      </c>
      <c r="D9" s="1">
        <v>0</v>
      </c>
      <c r="E9" s="1">
        <v>0</v>
      </c>
      <c r="F9" s="1">
        <v>0</v>
      </c>
      <c r="G9" s="9">
        <f>SUM(AR_FINANCIAL)</f>
        <v>0</v>
      </c>
      <c r="I9" s="13"/>
      <c r="J9" s="16"/>
      <c r="L9" s="6"/>
      <c r="V9" s="9"/>
    </row>
    <row r="10" spans="1:22">
      <c r="A10" s="1" t="s">
        <v>16</v>
      </c>
      <c r="B10" s="6">
        <v>0</v>
      </c>
      <c r="C10" s="1">
        <v>0</v>
      </c>
      <c r="D10" s="1">
        <v>0</v>
      </c>
      <c r="E10" s="1">
        <v>0</v>
      </c>
      <c r="F10" s="1">
        <v>0</v>
      </c>
      <c r="G10" s="9">
        <f>SUM(CA_FINANCIAL)</f>
        <v>0</v>
      </c>
      <c r="I10" s="13" t="s">
        <v>17</v>
      </c>
      <c r="J10" s="16">
        <v>147139267</v>
      </c>
      <c r="L10" s="6"/>
      <c r="V10" s="9"/>
    </row>
    <row r="11" spans="1:22">
      <c r="A11" s="1" t="s">
        <v>18</v>
      </c>
      <c r="B11" s="6">
        <v>0</v>
      </c>
      <c r="C11" s="1">
        <v>0</v>
      </c>
      <c r="D11" s="1">
        <v>0</v>
      </c>
      <c r="E11" s="1">
        <v>0</v>
      </c>
      <c r="F11" s="1">
        <v>0</v>
      </c>
      <c r="G11" s="9">
        <f>SUM(CO_FINANCIAL)</f>
        <v>0</v>
      </c>
      <c r="I11" s="13"/>
      <c r="J11" s="16"/>
      <c r="L11" s="6"/>
      <c r="V11" s="9"/>
    </row>
    <row r="12" spans="1:22">
      <c r="A12" s="1" t="s">
        <v>19</v>
      </c>
      <c r="B12" s="6">
        <v>0</v>
      </c>
      <c r="C12" s="1">
        <v>0</v>
      </c>
      <c r="D12" s="1">
        <v>0</v>
      </c>
      <c r="E12" s="1">
        <v>0</v>
      </c>
      <c r="F12" s="1">
        <v>0</v>
      </c>
      <c r="G12" s="9">
        <f>SUM(CT_FINANCIAL)</f>
        <v>0</v>
      </c>
      <c r="I12" s="13" t="s">
        <v>20</v>
      </c>
      <c r="J12" s="16"/>
      <c r="L12" s="6"/>
      <c r="V12" s="9"/>
    </row>
    <row r="13" spans="1:22">
      <c r="A13" s="1" t="s">
        <v>21</v>
      </c>
      <c r="B13" s="6">
        <v>0</v>
      </c>
      <c r="C13" s="1">
        <v>0</v>
      </c>
      <c r="D13" s="1">
        <v>0</v>
      </c>
      <c r="E13" s="1">
        <v>0</v>
      </c>
      <c r="F13" s="1">
        <v>0</v>
      </c>
      <c r="G13" s="9">
        <f>SUM(DE_FINANCIAL)</f>
        <v>0</v>
      </c>
      <c r="I13" s="13" t="s">
        <v>22</v>
      </c>
      <c r="J13" s="16">
        <v>5573245</v>
      </c>
      <c r="L13" s="6"/>
      <c r="V13" s="9"/>
    </row>
    <row r="14" spans="1:22">
      <c r="A14" s="1" t="s">
        <v>23</v>
      </c>
      <c r="B14" s="6">
        <v>0</v>
      </c>
      <c r="C14" s="1">
        <v>0</v>
      </c>
      <c r="D14" s="1">
        <v>0</v>
      </c>
      <c r="E14" s="1">
        <v>0</v>
      </c>
      <c r="F14" s="1">
        <v>0</v>
      </c>
      <c r="G14" s="9">
        <f>SUM(DC_FINANCIAL)</f>
        <v>0</v>
      </c>
      <c r="I14" s="13" t="s">
        <v>24</v>
      </c>
      <c r="J14" s="16">
        <v>25248618</v>
      </c>
      <c r="L14" s="6"/>
      <c r="V14" s="9"/>
    </row>
    <row r="15" spans="1:22">
      <c r="A15" s="1" t="s">
        <v>25</v>
      </c>
      <c r="B15" s="6">
        <v>0</v>
      </c>
      <c r="C15" s="1">
        <v>0</v>
      </c>
      <c r="D15" s="1">
        <v>0</v>
      </c>
      <c r="E15" s="1">
        <v>0</v>
      </c>
      <c r="F15" s="1">
        <v>0</v>
      </c>
      <c r="G15" s="9">
        <f>SUM(FL_FINANCIAL)</f>
        <v>0</v>
      </c>
      <c r="I15" s="13" t="s">
        <v>26</v>
      </c>
      <c r="J15" s="16">
        <v>22158.870000000003</v>
      </c>
      <c r="L15" s="6"/>
      <c r="V15" s="9"/>
    </row>
    <row r="16" spans="1:22">
      <c r="A16" s="1" t="s">
        <v>27</v>
      </c>
      <c r="B16" s="6">
        <v>0</v>
      </c>
      <c r="C16" s="1">
        <v>0</v>
      </c>
      <c r="D16" s="1">
        <v>0</v>
      </c>
      <c r="E16" s="1">
        <v>0</v>
      </c>
      <c r="F16" s="1">
        <v>0</v>
      </c>
      <c r="G16" s="9">
        <f>SUM(GA_FINANCIAL)</f>
        <v>0</v>
      </c>
      <c r="I16" s="13" t="s">
        <v>28</v>
      </c>
      <c r="J16" s="16">
        <v>0</v>
      </c>
      <c r="L16" s="6"/>
      <c r="V16" s="9"/>
    </row>
    <row r="17" spans="1:22">
      <c r="A17" s="1" t="s">
        <v>29</v>
      </c>
      <c r="B17" s="6">
        <v>0</v>
      </c>
      <c r="C17" s="1">
        <v>37078074.870000005</v>
      </c>
      <c r="D17" s="1">
        <v>0</v>
      </c>
      <c r="E17" s="1">
        <v>0</v>
      </c>
      <c r="F17" s="1">
        <v>0</v>
      </c>
      <c r="G17" s="9">
        <f>SUM(HI_FINANCIAL)</f>
        <v>37078074.870000005</v>
      </c>
      <c r="I17" s="13"/>
      <c r="J17" s="16"/>
      <c r="L17" s="6">
        <v>27611280</v>
      </c>
      <c r="M17" s="1">
        <v>20999761</v>
      </c>
      <c r="O17" s="1">
        <v>22525117</v>
      </c>
      <c r="P17" s="1">
        <v>11243274</v>
      </c>
      <c r="R17" s="1">
        <v>11732231</v>
      </c>
      <c r="S17" s="1">
        <v>11500000</v>
      </c>
      <c r="U17" s="1">
        <v>0</v>
      </c>
      <c r="V17" s="9">
        <v>0</v>
      </c>
    </row>
    <row r="18" spans="1:22">
      <c r="A18" s="1" t="s">
        <v>30</v>
      </c>
      <c r="B18" s="6">
        <v>0</v>
      </c>
      <c r="C18" s="1">
        <v>0</v>
      </c>
      <c r="D18" s="1">
        <v>0</v>
      </c>
      <c r="E18" s="1">
        <v>0</v>
      </c>
      <c r="F18" s="1">
        <v>0</v>
      </c>
      <c r="G18" s="9">
        <f>SUM(ID_FINANCIAL)</f>
        <v>0</v>
      </c>
      <c r="I18" s="13" t="s">
        <v>31</v>
      </c>
      <c r="J18" s="16"/>
      <c r="L18" s="6"/>
      <c r="V18" s="9"/>
    </row>
    <row r="19" spans="1:22">
      <c r="A19" s="1" t="s">
        <v>32</v>
      </c>
      <c r="B19" s="6">
        <v>0</v>
      </c>
      <c r="C19" s="1">
        <v>0</v>
      </c>
      <c r="D19" s="1">
        <v>0</v>
      </c>
      <c r="E19" s="1">
        <v>0</v>
      </c>
      <c r="F19" s="1">
        <v>0</v>
      </c>
      <c r="G19" s="9">
        <f>SUM(IL_FINANCIAL)</f>
        <v>0</v>
      </c>
      <c r="I19" s="13" t="s">
        <v>33</v>
      </c>
      <c r="J19" s="16">
        <v>120716297</v>
      </c>
      <c r="L19" s="6"/>
      <c r="V19" s="9"/>
    </row>
    <row r="20" spans="1:22">
      <c r="A20" s="1" t="s">
        <v>34</v>
      </c>
      <c r="B20" s="6">
        <v>0</v>
      </c>
      <c r="C20" s="1">
        <v>0</v>
      </c>
      <c r="D20" s="1">
        <v>0</v>
      </c>
      <c r="E20" s="1">
        <v>0</v>
      </c>
      <c r="F20" s="1">
        <v>0</v>
      </c>
      <c r="G20" s="9">
        <f>SUM(IN_FINANCIAL)</f>
        <v>0</v>
      </c>
      <c r="I20" s="13" t="s">
        <v>35</v>
      </c>
      <c r="J20" s="16">
        <v>0</v>
      </c>
      <c r="L20" s="6"/>
      <c r="V20" s="9"/>
    </row>
    <row r="21" spans="1:22">
      <c r="A21" s="1" t="s">
        <v>36</v>
      </c>
      <c r="B21" s="6">
        <v>0</v>
      </c>
      <c r="C21" s="1">
        <v>0</v>
      </c>
      <c r="D21" s="1">
        <v>0</v>
      </c>
      <c r="E21" s="1">
        <v>0</v>
      </c>
      <c r="F21" s="1">
        <v>0</v>
      </c>
      <c r="G21" s="9">
        <f>SUM(IA_FINANCIAL)</f>
        <v>0</v>
      </c>
      <c r="I21" s="13" t="s">
        <v>37</v>
      </c>
      <c r="J21" s="16"/>
      <c r="L21" s="6"/>
      <c r="V21" s="9"/>
    </row>
    <row r="22" spans="1:22">
      <c r="A22" s="1" t="s">
        <v>38</v>
      </c>
      <c r="B22" s="6">
        <v>0</v>
      </c>
      <c r="C22" s="1">
        <v>0</v>
      </c>
      <c r="D22" s="1">
        <v>0</v>
      </c>
      <c r="E22" s="1">
        <v>0</v>
      </c>
      <c r="F22" s="1">
        <v>0</v>
      </c>
      <c r="G22" s="9">
        <f>SUM(KS_FINANCIAL)</f>
        <v>0</v>
      </c>
      <c r="I22" s="13" t="s">
        <v>39</v>
      </c>
      <c r="J22" s="16">
        <v>10468441</v>
      </c>
      <c r="L22" s="6"/>
      <c r="V22" s="9"/>
    </row>
    <row r="23" spans="1:22">
      <c r="A23" s="1" t="s">
        <v>40</v>
      </c>
      <c r="B23" s="6">
        <v>0</v>
      </c>
      <c r="C23" s="1">
        <v>0</v>
      </c>
      <c r="D23" s="1">
        <v>0</v>
      </c>
      <c r="E23" s="1">
        <v>0</v>
      </c>
      <c r="F23" s="1">
        <v>0</v>
      </c>
      <c r="G23" s="9">
        <f>SUM(KY_FINANCIAL)</f>
        <v>0</v>
      </c>
      <c r="I23" s="13" t="s">
        <v>41</v>
      </c>
      <c r="J23" s="16"/>
      <c r="L23" s="6"/>
      <c r="V23" s="9"/>
    </row>
    <row r="24" spans="1:22">
      <c r="A24" s="1" t="s">
        <v>42</v>
      </c>
      <c r="B24" s="6">
        <v>0</v>
      </c>
      <c r="C24" s="1">
        <v>0</v>
      </c>
      <c r="D24" s="1">
        <v>0</v>
      </c>
      <c r="E24" s="1">
        <v>0</v>
      </c>
      <c r="F24" s="1">
        <v>0</v>
      </c>
      <c r="G24" s="9">
        <f>SUM(LA_FINANCIAL)</f>
        <v>0</v>
      </c>
      <c r="I24" s="13" t="s">
        <v>43</v>
      </c>
      <c r="J24" s="16">
        <v>9720476</v>
      </c>
      <c r="L24" s="6"/>
      <c r="V24" s="9"/>
    </row>
    <row r="25" spans="1:22">
      <c r="A25" s="1" t="s">
        <v>44</v>
      </c>
      <c r="B25" s="6">
        <v>0</v>
      </c>
      <c r="C25" s="1">
        <v>0</v>
      </c>
      <c r="D25" s="1">
        <v>0</v>
      </c>
      <c r="E25" s="1">
        <v>0</v>
      </c>
      <c r="F25" s="1">
        <v>0</v>
      </c>
      <c r="G25" s="9">
        <f>SUM(ME_FINANCIAL)</f>
        <v>0</v>
      </c>
      <c r="I25" s="13"/>
      <c r="J25" s="16"/>
      <c r="L25" s="6"/>
      <c r="V25" s="9"/>
    </row>
    <row r="26" spans="1:22">
      <c r="A26" s="1" t="s">
        <v>45</v>
      </c>
      <c r="B26" s="6">
        <v>0</v>
      </c>
      <c r="C26" s="1">
        <v>0</v>
      </c>
      <c r="D26" s="1">
        <v>0</v>
      </c>
      <c r="E26" s="1">
        <v>0</v>
      </c>
      <c r="F26" s="1">
        <v>0</v>
      </c>
      <c r="G26" s="9">
        <f>SUM(MD_FINANCIAL)</f>
        <v>0</v>
      </c>
      <c r="I26" s="13" t="s">
        <v>46</v>
      </c>
      <c r="J26" s="16">
        <f>SUM(ADD_FINANCIAL)-SUM(LESS_FINANCIAL)</f>
        <v>37078074.870000005</v>
      </c>
      <c r="L26" s="6"/>
      <c r="V26" s="9"/>
    </row>
    <row r="27" spans="1:22">
      <c r="A27" s="1" t="s">
        <v>47</v>
      </c>
      <c r="B27" s="6">
        <v>0</v>
      </c>
      <c r="C27" s="1">
        <v>0</v>
      </c>
      <c r="D27" s="1">
        <v>0</v>
      </c>
      <c r="E27" s="1">
        <v>0</v>
      </c>
      <c r="F27" s="1">
        <v>0</v>
      </c>
      <c r="G27" s="9">
        <f>SUM(MA_FINANCIAL)</f>
        <v>0</v>
      </c>
      <c r="I27" s="13" t="s">
        <v>48</v>
      </c>
      <c r="J27" s="16">
        <f>SUM(ALL_BLOCKS)</f>
        <v>37078074.870000005</v>
      </c>
      <c r="L27" s="6"/>
      <c r="V27" s="9"/>
    </row>
    <row r="28" spans="1:22">
      <c r="A28" s="1" t="s">
        <v>49</v>
      </c>
      <c r="B28" s="6">
        <v>0</v>
      </c>
      <c r="C28" s="1">
        <v>0</v>
      </c>
      <c r="D28" s="1">
        <v>0</v>
      </c>
      <c r="E28" s="1">
        <v>0</v>
      </c>
      <c r="F28" s="1">
        <v>0</v>
      </c>
      <c r="G28" s="9">
        <f>SUM(MI_FINANCIAL)</f>
        <v>0</v>
      </c>
      <c r="I28" s="14"/>
      <c r="J28" s="17"/>
      <c r="L28" s="6"/>
      <c r="V28" s="9"/>
    </row>
    <row r="29" spans="1:22">
      <c r="A29" s="1" t="s">
        <v>50</v>
      </c>
      <c r="B29" s="6">
        <v>0</v>
      </c>
      <c r="C29" s="1">
        <v>0</v>
      </c>
      <c r="D29" s="1">
        <v>0</v>
      </c>
      <c r="E29" s="1">
        <v>0</v>
      </c>
      <c r="F29" s="1">
        <v>0</v>
      </c>
      <c r="G29" s="9">
        <f>SUM(MN_FINANCIAL)</f>
        <v>0</v>
      </c>
      <c r="L29" s="6"/>
      <c r="V29" s="9"/>
    </row>
    <row r="30" spans="1:22">
      <c r="A30" s="1" t="s">
        <v>51</v>
      </c>
      <c r="B30" s="6">
        <v>0</v>
      </c>
      <c r="C30" s="1">
        <v>0</v>
      </c>
      <c r="D30" s="1">
        <v>0</v>
      </c>
      <c r="E30" s="1">
        <v>0</v>
      </c>
      <c r="F30" s="1">
        <v>0</v>
      </c>
      <c r="G30" s="9">
        <f>SUM(MS_FINANCIAL)</f>
        <v>0</v>
      </c>
      <c r="L30" s="6"/>
      <c r="V30" s="9"/>
    </row>
    <row r="31" spans="1:22">
      <c r="A31" s="1" t="s">
        <v>52</v>
      </c>
      <c r="B31" s="6">
        <v>0</v>
      </c>
      <c r="C31" s="1">
        <v>0</v>
      </c>
      <c r="D31" s="1">
        <v>0</v>
      </c>
      <c r="E31" s="1">
        <v>0</v>
      </c>
      <c r="F31" s="1">
        <v>0</v>
      </c>
      <c r="G31" s="9">
        <f>SUM(MO_FINANCIAL)</f>
        <v>0</v>
      </c>
      <c r="L31" s="6"/>
      <c r="V31" s="9"/>
    </row>
    <row r="32" spans="1:22">
      <c r="A32" s="1" t="s">
        <v>53</v>
      </c>
      <c r="B32" s="6">
        <v>0</v>
      </c>
      <c r="C32" s="1">
        <v>0</v>
      </c>
      <c r="D32" s="1">
        <v>0</v>
      </c>
      <c r="E32" s="1">
        <v>0</v>
      </c>
      <c r="F32" s="1">
        <v>0</v>
      </c>
      <c r="G32" s="9">
        <f>SUM(MT_FINANCIAL)</f>
        <v>0</v>
      </c>
      <c r="L32" s="6"/>
      <c r="V32" s="9"/>
    </row>
    <row r="33" spans="1:22">
      <c r="A33" s="1" t="s">
        <v>54</v>
      </c>
      <c r="B33" s="6">
        <v>0</v>
      </c>
      <c r="C33" s="1">
        <v>0</v>
      </c>
      <c r="D33" s="1">
        <v>0</v>
      </c>
      <c r="E33" s="1">
        <v>0</v>
      </c>
      <c r="F33" s="1">
        <v>0</v>
      </c>
      <c r="G33" s="9">
        <f>SUM(NE_FINANCIAL)</f>
        <v>0</v>
      </c>
      <c r="L33" s="6"/>
      <c r="V33" s="9"/>
    </row>
    <row r="34" spans="1:22">
      <c r="A34" s="1" t="s">
        <v>55</v>
      </c>
      <c r="B34" s="6">
        <v>0</v>
      </c>
      <c r="C34" s="1">
        <v>0</v>
      </c>
      <c r="D34" s="1">
        <v>0</v>
      </c>
      <c r="E34" s="1">
        <v>0</v>
      </c>
      <c r="F34" s="1">
        <v>0</v>
      </c>
      <c r="G34" s="9">
        <f>SUM(NV_FINANCIAL)</f>
        <v>0</v>
      </c>
      <c r="L34" s="6"/>
      <c r="V34" s="9"/>
    </row>
    <row r="35" spans="1:22">
      <c r="A35" s="1" t="s">
        <v>56</v>
      </c>
      <c r="B35" s="6">
        <v>0</v>
      </c>
      <c r="C35" s="1">
        <v>0</v>
      </c>
      <c r="D35" s="1">
        <v>0</v>
      </c>
      <c r="E35" s="1">
        <v>0</v>
      </c>
      <c r="F35" s="1">
        <v>0</v>
      </c>
      <c r="G35" s="9">
        <f>SUM(NH_FINANCIAL)</f>
        <v>0</v>
      </c>
      <c r="L35" s="6"/>
      <c r="V35" s="9"/>
    </row>
    <row r="36" spans="1:22">
      <c r="A36" s="1" t="s">
        <v>57</v>
      </c>
      <c r="B36" s="6">
        <v>0</v>
      </c>
      <c r="C36" s="1">
        <v>0</v>
      </c>
      <c r="D36" s="1">
        <v>0</v>
      </c>
      <c r="E36" s="1">
        <v>0</v>
      </c>
      <c r="F36" s="1">
        <v>0</v>
      </c>
      <c r="G36" s="9">
        <f>SUM(NJ_FINANCIAL)</f>
        <v>0</v>
      </c>
      <c r="L36" s="6"/>
      <c r="V36" s="9"/>
    </row>
    <row r="37" spans="1:22">
      <c r="A37" s="1" t="s">
        <v>58</v>
      </c>
      <c r="B37" s="6">
        <v>0</v>
      </c>
      <c r="C37" s="1">
        <v>0</v>
      </c>
      <c r="D37" s="1">
        <v>0</v>
      </c>
      <c r="E37" s="1">
        <v>0</v>
      </c>
      <c r="F37" s="1">
        <v>0</v>
      </c>
      <c r="G37" s="9">
        <f>SUM(NM_FINANCIAL)</f>
        <v>0</v>
      </c>
      <c r="L37" s="6"/>
      <c r="V37" s="9"/>
    </row>
    <row r="38" spans="1:22">
      <c r="A38" s="1" t="s">
        <v>59</v>
      </c>
      <c r="B38" s="6">
        <v>0</v>
      </c>
      <c r="C38" s="1">
        <v>0</v>
      </c>
      <c r="D38" s="1">
        <v>0</v>
      </c>
      <c r="E38" s="1">
        <v>0</v>
      </c>
      <c r="F38" s="1">
        <v>0</v>
      </c>
      <c r="G38" s="9">
        <f>SUM(NY_FINANCIAL)</f>
        <v>0</v>
      </c>
      <c r="L38" s="6"/>
      <c r="V38" s="9"/>
    </row>
    <row r="39" spans="1:22">
      <c r="A39" s="1" t="s">
        <v>60</v>
      </c>
      <c r="B39" s="6">
        <v>0</v>
      </c>
      <c r="C39" s="1">
        <v>0</v>
      </c>
      <c r="D39" s="1">
        <v>0</v>
      </c>
      <c r="E39" s="1">
        <v>0</v>
      </c>
      <c r="F39" s="1">
        <v>0</v>
      </c>
      <c r="G39" s="9">
        <f>SUM(NC_FINANCIAL)</f>
        <v>0</v>
      </c>
      <c r="L39" s="6"/>
      <c r="V39" s="9"/>
    </row>
    <row r="40" spans="1:22">
      <c r="A40" s="1" t="s">
        <v>61</v>
      </c>
      <c r="B40" s="6">
        <v>0</v>
      </c>
      <c r="C40" s="1">
        <v>0</v>
      </c>
      <c r="D40" s="1">
        <v>0</v>
      </c>
      <c r="E40" s="1">
        <v>0</v>
      </c>
      <c r="F40" s="1">
        <v>0</v>
      </c>
      <c r="G40" s="9">
        <f>SUM(ND_FINANCIAL)</f>
        <v>0</v>
      </c>
      <c r="L40" s="6"/>
      <c r="V40" s="9"/>
    </row>
    <row r="41" spans="1:22">
      <c r="A41" s="1" t="s">
        <v>62</v>
      </c>
      <c r="B41" s="6">
        <v>0</v>
      </c>
      <c r="C41" s="1">
        <v>0</v>
      </c>
      <c r="D41" s="1">
        <v>0</v>
      </c>
      <c r="E41" s="1">
        <v>0</v>
      </c>
      <c r="F41" s="1">
        <v>0</v>
      </c>
      <c r="G41" s="9">
        <f>SUM(OH_FINANCIAL)</f>
        <v>0</v>
      </c>
      <c r="L41" s="6"/>
      <c r="V41" s="9"/>
    </row>
    <row r="42" spans="1:22">
      <c r="A42" s="1" t="s">
        <v>63</v>
      </c>
      <c r="B42" s="6">
        <v>0</v>
      </c>
      <c r="C42" s="1">
        <v>0</v>
      </c>
      <c r="D42" s="1">
        <v>0</v>
      </c>
      <c r="E42" s="1">
        <v>0</v>
      </c>
      <c r="F42" s="1">
        <v>0</v>
      </c>
      <c r="G42" s="9">
        <f>SUM(OK_FINANCIAL)</f>
        <v>0</v>
      </c>
      <c r="L42" s="6"/>
      <c r="V42" s="9"/>
    </row>
    <row r="43" spans="1:22">
      <c r="A43" s="1" t="s">
        <v>64</v>
      </c>
      <c r="B43" s="6">
        <v>0</v>
      </c>
      <c r="C43" s="1">
        <v>0</v>
      </c>
      <c r="D43" s="1">
        <v>0</v>
      </c>
      <c r="E43" s="1">
        <v>0</v>
      </c>
      <c r="F43" s="1">
        <v>0</v>
      </c>
      <c r="G43" s="9">
        <f>SUM(OR_FINANCIAL)</f>
        <v>0</v>
      </c>
      <c r="L43" s="6"/>
      <c r="V43" s="9"/>
    </row>
    <row r="44" spans="1:22">
      <c r="A44" s="1" t="s">
        <v>65</v>
      </c>
      <c r="B44" s="6">
        <v>0</v>
      </c>
      <c r="C44" s="1">
        <v>0</v>
      </c>
      <c r="D44" s="1">
        <v>0</v>
      </c>
      <c r="E44" s="1">
        <v>0</v>
      </c>
      <c r="F44" s="1">
        <v>0</v>
      </c>
      <c r="G44" s="9">
        <f>SUM(PA_FINANCIAL)</f>
        <v>0</v>
      </c>
      <c r="L44" s="6"/>
      <c r="V44" s="9"/>
    </row>
    <row r="45" spans="1:22">
      <c r="A45" s="1" t="s">
        <v>66</v>
      </c>
      <c r="B45" s="6">
        <v>0</v>
      </c>
      <c r="C45" s="1">
        <v>0</v>
      </c>
      <c r="D45" s="1">
        <v>0</v>
      </c>
      <c r="E45" s="1">
        <v>0</v>
      </c>
      <c r="F45" s="1">
        <v>0</v>
      </c>
      <c r="G45" s="9">
        <f>SUM(PR_FINANCIAL)</f>
        <v>0</v>
      </c>
      <c r="L45" s="6"/>
      <c r="V45" s="9"/>
    </row>
    <row r="46" spans="1:22">
      <c r="A46" s="1" t="s">
        <v>67</v>
      </c>
      <c r="B46" s="6">
        <v>0</v>
      </c>
      <c r="C46" s="1">
        <v>0</v>
      </c>
      <c r="D46" s="1">
        <v>0</v>
      </c>
      <c r="E46" s="1">
        <v>0</v>
      </c>
      <c r="F46" s="1">
        <v>0</v>
      </c>
      <c r="G46" s="9">
        <f>SUM(RI_FINANCIAL)</f>
        <v>0</v>
      </c>
      <c r="L46" s="6"/>
      <c r="V46" s="9"/>
    </row>
    <row r="47" spans="1:22">
      <c r="A47" s="1" t="s">
        <v>68</v>
      </c>
      <c r="B47" s="6">
        <v>0</v>
      </c>
      <c r="C47" s="1">
        <v>0</v>
      </c>
      <c r="D47" s="1">
        <v>0</v>
      </c>
      <c r="E47" s="1">
        <v>0</v>
      </c>
      <c r="F47" s="1">
        <v>0</v>
      </c>
      <c r="G47" s="9">
        <f>SUM(SC_FINANCIAL)</f>
        <v>0</v>
      </c>
      <c r="L47" s="6"/>
      <c r="V47" s="9"/>
    </row>
    <row r="48" spans="1:22">
      <c r="A48" s="1" t="s">
        <v>69</v>
      </c>
      <c r="B48" s="6">
        <v>0</v>
      </c>
      <c r="C48" s="1">
        <v>0</v>
      </c>
      <c r="D48" s="1">
        <v>0</v>
      </c>
      <c r="E48" s="1">
        <v>0</v>
      </c>
      <c r="F48" s="1">
        <v>0</v>
      </c>
      <c r="G48" s="9">
        <f>SUM(SD_FINANCIAL)</f>
        <v>0</v>
      </c>
      <c r="L48" s="6"/>
      <c r="V48" s="9"/>
    </row>
    <row r="49" spans="1:22">
      <c r="A49" s="1" t="s">
        <v>70</v>
      </c>
      <c r="B49" s="6">
        <v>0</v>
      </c>
      <c r="C49" s="1">
        <v>0</v>
      </c>
      <c r="D49" s="1">
        <v>0</v>
      </c>
      <c r="E49" s="1">
        <v>0</v>
      </c>
      <c r="F49" s="1">
        <v>0</v>
      </c>
      <c r="G49" s="9">
        <f>SUM(TN_FINANCIAL)</f>
        <v>0</v>
      </c>
      <c r="L49" s="6"/>
      <c r="V49" s="9"/>
    </row>
    <row r="50" spans="1:22">
      <c r="A50" s="1" t="s">
        <v>71</v>
      </c>
      <c r="B50" s="6">
        <v>0</v>
      </c>
      <c r="C50" s="1">
        <v>0</v>
      </c>
      <c r="D50" s="1">
        <v>0</v>
      </c>
      <c r="E50" s="1">
        <v>0</v>
      </c>
      <c r="F50" s="1">
        <v>0</v>
      </c>
      <c r="G50" s="9">
        <f>SUM(TX_FINANCIAL)</f>
        <v>0</v>
      </c>
      <c r="L50" s="6"/>
      <c r="V50" s="9"/>
    </row>
    <row r="51" spans="1:22">
      <c r="A51" s="1" t="s">
        <v>72</v>
      </c>
      <c r="B51" s="6">
        <v>0</v>
      </c>
      <c r="C51" s="1">
        <v>0</v>
      </c>
      <c r="D51" s="1">
        <v>0</v>
      </c>
      <c r="E51" s="1">
        <v>0</v>
      </c>
      <c r="F51" s="1">
        <v>0</v>
      </c>
      <c r="G51" s="9">
        <f>SUM(UT_FINANCIAL)</f>
        <v>0</v>
      </c>
      <c r="L51" s="6"/>
      <c r="V51" s="9"/>
    </row>
    <row r="52" spans="1:22">
      <c r="A52" s="1" t="s">
        <v>73</v>
      </c>
      <c r="B52" s="6">
        <v>0</v>
      </c>
      <c r="C52" s="1">
        <v>0</v>
      </c>
      <c r="D52" s="1">
        <v>0</v>
      </c>
      <c r="E52" s="1">
        <v>0</v>
      </c>
      <c r="F52" s="1">
        <v>0</v>
      </c>
      <c r="G52" s="9">
        <f>SUM(VT_FINANCIAL)</f>
        <v>0</v>
      </c>
      <c r="L52" s="6"/>
      <c r="V52" s="9"/>
    </row>
    <row r="53" spans="1:22">
      <c r="A53" s="1" t="s">
        <v>74</v>
      </c>
      <c r="B53" s="6">
        <v>0</v>
      </c>
      <c r="C53" s="1">
        <v>0</v>
      </c>
      <c r="D53" s="1">
        <v>0</v>
      </c>
      <c r="E53" s="1">
        <v>0</v>
      </c>
      <c r="F53" s="1">
        <v>0</v>
      </c>
      <c r="G53" s="9">
        <f>SUM(VA_FINANCIAL)</f>
        <v>0</v>
      </c>
      <c r="L53" s="6"/>
      <c r="V53" s="9"/>
    </row>
    <row r="54" spans="1:22">
      <c r="A54" s="1" t="s">
        <v>75</v>
      </c>
      <c r="B54" s="6">
        <v>0</v>
      </c>
      <c r="C54" s="1">
        <v>0</v>
      </c>
      <c r="D54" s="1">
        <v>0</v>
      </c>
      <c r="E54" s="1">
        <v>0</v>
      </c>
      <c r="F54" s="1">
        <v>0</v>
      </c>
      <c r="G54" s="9">
        <f>SUM(WA_FINANCIAL)</f>
        <v>0</v>
      </c>
      <c r="L54" s="6"/>
      <c r="V54" s="9"/>
    </row>
    <row r="55" spans="1:22">
      <c r="A55" s="1" t="s">
        <v>76</v>
      </c>
      <c r="B55" s="6">
        <v>0</v>
      </c>
      <c r="C55" s="1">
        <v>0</v>
      </c>
      <c r="D55" s="1">
        <v>0</v>
      </c>
      <c r="E55" s="1">
        <v>0</v>
      </c>
      <c r="F55" s="1">
        <v>0</v>
      </c>
      <c r="G55" s="9">
        <f>SUM(WV_FINANCIAL)</f>
        <v>0</v>
      </c>
      <c r="L55" s="6"/>
      <c r="V55" s="9"/>
    </row>
    <row r="56" spans="1:22">
      <c r="A56" s="1" t="s">
        <v>77</v>
      </c>
      <c r="B56" s="6">
        <v>0</v>
      </c>
      <c r="C56" s="1">
        <v>0</v>
      </c>
      <c r="D56" s="1">
        <v>0</v>
      </c>
      <c r="E56" s="1">
        <v>0</v>
      </c>
      <c r="F56" s="1">
        <v>0</v>
      </c>
      <c r="G56" s="9">
        <f>SUM(WI_FINANCIAL)</f>
        <v>0</v>
      </c>
      <c r="L56" s="6"/>
      <c r="V56" s="9"/>
    </row>
    <row r="57" spans="1:22">
      <c r="A57" s="1" t="s">
        <v>78</v>
      </c>
      <c r="B57" s="6">
        <v>0</v>
      </c>
      <c r="C57" s="1">
        <v>0</v>
      </c>
      <c r="D57" s="1">
        <v>0</v>
      </c>
      <c r="E57" s="1">
        <v>0</v>
      </c>
      <c r="F57" s="1">
        <v>0</v>
      </c>
      <c r="G57" s="9">
        <f>SUM(WY_FINANCIAL)</f>
        <v>0</v>
      </c>
      <c r="L57" s="6"/>
      <c r="V57" s="9"/>
    </row>
    <row r="58" spans="1:22">
      <c r="A58" s="1" t="s">
        <v>79</v>
      </c>
      <c r="B58" s="6">
        <v>0</v>
      </c>
      <c r="C58" s="1">
        <v>0</v>
      </c>
      <c r="D58" s="1">
        <v>0</v>
      </c>
      <c r="E58" s="1">
        <v>0</v>
      </c>
      <c r="F58" s="1">
        <v>0</v>
      </c>
      <c r="G58" s="9">
        <f>SUM(OT_FINANCIAL)</f>
        <v>0</v>
      </c>
      <c r="L58" s="6"/>
      <c r="V58" s="9"/>
    </row>
    <row r="59" spans="1:22">
      <c r="B59" s="6"/>
      <c r="G59" s="9"/>
      <c r="L59" s="6"/>
      <c r="V59" s="9"/>
    </row>
    <row r="60" spans="1:22">
      <c r="A60" s="1" t="s">
        <v>8</v>
      </c>
      <c r="B60" s="6">
        <f>SUM(LIFE)</f>
        <v>0</v>
      </c>
      <c r="C60" s="1">
        <f>SUM(ALLOCATED)</f>
        <v>37078074.870000005</v>
      </c>
      <c r="D60" s="1">
        <f>SUM(HEALTH)</f>
        <v>0</v>
      </c>
      <c r="E60" s="1">
        <f>SUM(UNALLOCATED)</f>
        <v>0</v>
      </c>
      <c r="F60" s="1">
        <f>SUM(LTC)</f>
        <v>0</v>
      </c>
      <c r="G60" s="9">
        <f>SUM(ALL_BLOCKS)</f>
        <v>37078074.870000005</v>
      </c>
      <c r="L60" s="6">
        <f>SUM(LIFE_CALLED)</f>
        <v>27611280</v>
      </c>
      <c r="M60" s="1">
        <f>SUM(LIFE_REFUNDED)</f>
        <v>20999761</v>
      </c>
      <c r="O60" s="1">
        <f>SUM(ALLOC_CALLED)</f>
        <v>22525117</v>
      </c>
      <c r="P60" s="1">
        <f>SUM(ALLOC_REFUNDED)</f>
        <v>11243274</v>
      </c>
      <c r="R60" s="1">
        <f>SUM(HEALTH_CALLED)</f>
        <v>11732231</v>
      </c>
      <c r="S60" s="1">
        <f>SUM(HEALTH_REFUNDED)</f>
        <v>11500000</v>
      </c>
      <c r="U60" s="1">
        <f>SUM(UNALLOC_CALLED)</f>
        <v>0</v>
      </c>
      <c r="V60" s="9">
        <f>SUM(UNALLOC_REFUNDED)</f>
        <v>0</v>
      </c>
    </row>
    <row r="61" spans="1:22" ht="5.0999999999999996" customHeight="1">
      <c r="B61" s="6"/>
      <c r="G61" s="9"/>
      <c r="L61" s="6"/>
      <c r="V61" s="9"/>
    </row>
    <row r="62" spans="1:22">
      <c r="B62" s="6"/>
      <c r="G62" s="9"/>
      <c r="L62" s="78" t="s">
        <v>80</v>
      </c>
      <c r="M62" s="79"/>
      <c r="N62" s="79"/>
      <c r="O62" s="79"/>
      <c r="P62" s="79"/>
      <c r="Q62" s="79"/>
      <c r="R62" s="79"/>
      <c r="S62" s="79"/>
      <c r="T62" s="79"/>
      <c r="U62" s="79"/>
      <c r="V62" s="80"/>
    </row>
    <row r="63" spans="1:22">
      <c r="B63" s="6"/>
      <c r="G63" s="9"/>
      <c r="L63" s="81"/>
      <c r="M63" s="79"/>
      <c r="N63" s="79"/>
      <c r="O63" s="79"/>
      <c r="P63" s="79"/>
      <c r="Q63" s="79"/>
      <c r="R63" s="79"/>
      <c r="S63" s="79"/>
      <c r="T63" s="79"/>
      <c r="U63" s="79"/>
      <c r="V63" s="80"/>
    </row>
    <row r="64" spans="1:22">
      <c r="B64" s="8"/>
      <c r="C64" s="5"/>
      <c r="D64" s="5"/>
      <c r="E64" s="5"/>
      <c r="F64" s="5"/>
      <c r="G64" s="11"/>
      <c r="L64" s="82"/>
      <c r="M64" s="83"/>
      <c r="N64" s="83"/>
      <c r="O64" s="83"/>
      <c r="P64" s="83"/>
      <c r="Q64" s="83"/>
      <c r="R64" s="83"/>
      <c r="S64" s="83"/>
      <c r="T64" s="83"/>
      <c r="U64" s="83"/>
      <c r="V64" s="84"/>
    </row>
  </sheetData>
  <mergeCells count="8">
    <mergeCell ref="L62:V64"/>
    <mergeCell ref="A1:G1"/>
    <mergeCell ref="B3:G3"/>
    <mergeCell ref="L3:V3"/>
    <mergeCell ref="L4:M4"/>
    <mergeCell ref="O4:P4"/>
    <mergeCell ref="R4:S4"/>
    <mergeCell ref="U4:V4"/>
  </mergeCells>
  <pageMargins left="0" right="0" top="0" bottom="0" header="0" footer="0"/>
  <pageSetup scale="48"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V64"/>
  <sheetViews>
    <sheetView zoomScale="75" workbookViewId="0">
      <selection sqref="A1:G1"/>
    </sheetView>
  </sheetViews>
  <sheetFormatPr defaultColWidth="9.109375" defaultRowHeight="14.4"/>
  <cols>
    <col min="1" max="1" width="20" style="1" customWidth="1"/>
    <col min="2" max="7" width="15" style="1" customWidth="1"/>
    <col min="8" max="8" width="1" style="1" customWidth="1"/>
    <col min="9" max="9" width="30" style="1" customWidth="1"/>
    <col min="10" max="10" width="15" style="1" customWidth="1"/>
    <col min="11" max="11" width="1" style="1" customWidth="1"/>
    <col min="12" max="13" width="15" style="1" customWidth="1"/>
    <col min="14" max="14" width="1" style="1" customWidth="1"/>
    <col min="15" max="16" width="15" style="1" customWidth="1"/>
    <col min="17" max="17" width="1" style="1" customWidth="1"/>
    <col min="18" max="19" width="15" style="1" customWidth="1"/>
    <col min="20" max="20" width="1" style="1" customWidth="1"/>
    <col min="21" max="22" width="15" style="1" customWidth="1"/>
    <col min="23" max="23" width="9.109375" style="1" customWidth="1"/>
    <col min="24" max="16384" width="9.109375" style="1"/>
  </cols>
  <sheetData>
    <row r="1" spans="1:22">
      <c r="A1" s="85" t="s">
        <v>134</v>
      </c>
      <c r="B1" s="79"/>
      <c r="C1" s="79"/>
      <c r="D1" s="79"/>
      <c r="E1" s="79"/>
      <c r="F1" s="79"/>
      <c r="G1" s="79"/>
    </row>
    <row r="3" spans="1:22">
      <c r="B3" s="86" t="s">
        <v>1</v>
      </c>
      <c r="C3" s="87"/>
      <c r="D3" s="87"/>
      <c r="E3" s="87"/>
      <c r="F3" s="87"/>
      <c r="G3" s="88"/>
      <c r="L3" s="89" t="s">
        <v>2</v>
      </c>
      <c r="M3" s="90"/>
      <c r="N3" s="90"/>
      <c r="O3" s="90"/>
      <c r="P3" s="90"/>
      <c r="Q3" s="90"/>
      <c r="R3" s="90"/>
      <c r="S3" s="90"/>
      <c r="T3" s="90"/>
      <c r="U3" s="90"/>
      <c r="V3" s="91"/>
    </row>
    <row r="4" spans="1:22">
      <c r="B4" s="6"/>
      <c r="G4" s="9"/>
      <c r="L4" s="92" t="s">
        <v>3</v>
      </c>
      <c r="M4" s="93"/>
      <c r="N4" s="3"/>
      <c r="O4" s="94" t="s">
        <v>4</v>
      </c>
      <c r="P4" s="93"/>
      <c r="Q4" s="3"/>
      <c r="R4" s="94" t="s">
        <v>5</v>
      </c>
      <c r="S4" s="93"/>
      <c r="T4" s="3"/>
      <c r="U4" s="94" t="s">
        <v>6</v>
      </c>
      <c r="V4" s="95"/>
    </row>
    <row r="5" spans="1:22" ht="60" customHeight="1">
      <c r="B5" s="7" t="s">
        <v>3</v>
      </c>
      <c r="C5" s="4" t="s">
        <v>4</v>
      </c>
      <c r="D5" s="4" t="s">
        <v>5</v>
      </c>
      <c r="E5" s="4" t="s">
        <v>6</v>
      </c>
      <c r="F5" s="4" t="s">
        <v>7</v>
      </c>
      <c r="G5" s="10" t="s">
        <v>8</v>
      </c>
      <c r="L5" s="19" t="s">
        <v>9</v>
      </c>
      <c r="M5" s="18" t="s">
        <v>10</v>
      </c>
      <c r="N5" s="18"/>
      <c r="O5" s="18" t="s">
        <v>9</v>
      </c>
      <c r="P5" s="18" t="s">
        <v>10</v>
      </c>
      <c r="Q5" s="18"/>
      <c r="R5" s="18" t="s">
        <v>9</v>
      </c>
      <c r="S5" s="18" t="s">
        <v>10</v>
      </c>
      <c r="T5" s="18"/>
      <c r="U5" s="18" t="s">
        <v>9</v>
      </c>
      <c r="V5" s="20" t="s">
        <v>10</v>
      </c>
    </row>
    <row r="6" spans="1:22">
      <c r="A6" s="1" t="s">
        <v>11</v>
      </c>
      <c r="B6" s="6">
        <v>-207096.39595988253</v>
      </c>
      <c r="C6" s="1">
        <v>-6513.0314943219564</v>
      </c>
      <c r="D6" s="1">
        <v>0</v>
      </c>
      <c r="E6" s="1">
        <v>0</v>
      </c>
      <c r="F6" s="1">
        <v>0</v>
      </c>
      <c r="G6" s="9">
        <f>SUM(AL_FINANCIAL)</f>
        <v>-213609.42745420447</v>
      </c>
      <c r="L6" s="6">
        <v>1900000</v>
      </c>
      <c r="M6" s="1">
        <v>0</v>
      </c>
      <c r="O6" s="1">
        <v>69317</v>
      </c>
      <c r="P6" s="1">
        <v>0</v>
      </c>
      <c r="R6" s="1">
        <v>0</v>
      </c>
      <c r="S6" s="1">
        <v>0</v>
      </c>
      <c r="U6" s="1">
        <v>0</v>
      </c>
      <c r="V6" s="9">
        <v>0</v>
      </c>
    </row>
    <row r="7" spans="1:22">
      <c r="A7" s="1" t="s">
        <v>12</v>
      </c>
      <c r="B7" s="6">
        <v>56606.703095125442</v>
      </c>
      <c r="C7" s="1">
        <v>16955.019246526877</v>
      </c>
      <c r="D7" s="1">
        <v>0</v>
      </c>
      <c r="E7" s="1">
        <v>0</v>
      </c>
      <c r="F7" s="1">
        <v>0</v>
      </c>
      <c r="G7" s="9">
        <f>SUM(AK_FINANCIAL)</f>
        <v>73561.722341652319</v>
      </c>
      <c r="I7" s="12"/>
      <c r="J7" s="15"/>
      <c r="L7" s="6">
        <v>283000</v>
      </c>
      <c r="M7" s="1">
        <v>333000</v>
      </c>
      <c r="O7" s="1">
        <v>94000</v>
      </c>
      <c r="P7" s="1">
        <v>125000</v>
      </c>
      <c r="R7" s="1">
        <v>0</v>
      </c>
      <c r="S7" s="1">
        <v>0</v>
      </c>
      <c r="U7" s="1">
        <v>0</v>
      </c>
      <c r="V7" s="9">
        <v>0</v>
      </c>
    </row>
    <row r="8" spans="1:22">
      <c r="A8" s="1" t="s">
        <v>13</v>
      </c>
      <c r="B8" s="6">
        <v>-269457.22210473241</v>
      </c>
      <c r="C8" s="1">
        <v>1156.7443028827547</v>
      </c>
      <c r="D8" s="1">
        <v>0</v>
      </c>
      <c r="E8" s="1">
        <v>0</v>
      </c>
      <c r="F8" s="1">
        <v>0</v>
      </c>
      <c r="G8" s="9">
        <f>SUM(AZ_FINANCIAL)</f>
        <v>-268300.47780184966</v>
      </c>
      <c r="I8" s="13" t="s">
        <v>14</v>
      </c>
      <c r="J8" s="16"/>
      <c r="L8" s="6">
        <v>953650</v>
      </c>
      <c r="M8" s="1">
        <v>0</v>
      </c>
      <c r="O8" s="1">
        <v>120413</v>
      </c>
      <c r="P8" s="1">
        <v>0</v>
      </c>
      <c r="R8" s="1">
        <v>0</v>
      </c>
      <c r="S8" s="1">
        <v>0</v>
      </c>
      <c r="U8" s="1">
        <v>0</v>
      </c>
      <c r="V8" s="9">
        <v>0</v>
      </c>
    </row>
    <row r="9" spans="1:22">
      <c r="A9" s="1" t="s">
        <v>15</v>
      </c>
      <c r="B9" s="6">
        <v>-44750.02193274349</v>
      </c>
      <c r="C9" s="1">
        <v>3891.0906536078546</v>
      </c>
      <c r="D9" s="1">
        <v>0</v>
      </c>
      <c r="E9" s="1">
        <v>0</v>
      </c>
      <c r="F9" s="1">
        <v>0</v>
      </c>
      <c r="G9" s="9">
        <f>SUM(AR_FINANCIAL)</f>
        <v>-40858.931279135635</v>
      </c>
      <c r="I9" s="13"/>
      <c r="J9" s="16"/>
      <c r="L9" s="6">
        <v>1090241</v>
      </c>
      <c r="M9" s="1">
        <v>0</v>
      </c>
      <c r="O9" s="1">
        <v>0</v>
      </c>
      <c r="P9" s="1">
        <v>0</v>
      </c>
      <c r="R9" s="1">
        <v>0</v>
      </c>
      <c r="S9" s="1">
        <v>0</v>
      </c>
      <c r="U9" s="1">
        <v>0</v>
      </c>
      <c r="V9" s="9">
        <v>0</v>
      </c>
    </row>
    <row r="10" spans="1:22">
      <c r="A10" s="1" t="s">
        <v>16</v>
      </c>
      <c r="B10" s="6">
        <v>-281654.47244563699</v>
      </c>
      <c r="C10" s="1">
        <v>41048.502682899823</v>
      </c>
      <c r="D10" s="1">
        <v>0</v>
      </c>
      <c r="E10" s="1">
        <v>0</v>
      </c>
      <c r="F10" s="1">
        <v>0</v>
      </c>
      <c r="G10" s="9">
        <f>SUM(CA_FINANCIAL)</f>
        <v>-240605.96976273716</v>
      </c>
      <c r="I10" s="13" t="s">
        <v>17</v>
      </c>
      <c r="J10" s="16">
        <v>765438159.46497142</v>
      </c>
      <c r="L10" s="6">
        <v>18173100</v>
      </c>
      <c r="M10" s="1">
        <v>24700000</v>
      </c>
      <c r="O10" s="1">
        <v>573100</v>
      </c>
      <c r="P10" s="1">
        <v>1000000</v>
      </c>
      <c r="R10" s="1">
        <v>0</v>
      </c>
      <c r="S10" s="1">
        <v>0</v>
      </c>
      <c r="U10" s="1">
        <v>0</v>
      </c>
      <c r="V10" s="9">
        <v>0</v>
      </c>
    </row>
    <row r="11" spans="1:22">
      <c r="A11" s="1" t="s">
        <v>18</v>
      </c>
      <c r="B11" s="6">
        <v>-113960.62124390993</v>
      </c>
      <c r="C11" s="1">
        <v>9451.3857717551873</v>
      </c>
      <c r="D11" s="1">
        <v>0</v>
      </c>
      <c r="E11" s="1">
        <v>0</v>
      </c>
      <c r="F11" s="1">
        <v>0</v>
      </c>
      <c r="G11" s="9">
        <f>SUM(CO_FINANCIAL)</f>
        <v>-104509.23547215475</v>
      </c>
      <c r="I11" s="13"/>
      <c r="J11" s="16"/>
      <c r="L11" s="6">
        <v>2150102</v>
      </c>
      <c r="M11" s="1">
        <v>3128840</v>
      </c>
      <c r="O11" s="1">
        <v>149714</v>
      </c>
      <c r="P11" s="1">
        <v>70000</v>
      </c>
      <c r="R11" s="1">
        <v>0</v>
      </c>
      <c r="S11" s="1">
        <v>21787</v>
      </c>
      <c r="U11" s="1">
        <v>0</v>
      </c>
      <c r="V11" s="9">
        <v>0</v>
      </c>
    </row>
    <row r="12" spans="1:22">
      <c r="A12" s="1" t="s">
        <v>19</v>
      </c>
      <c r="B12" s="6">
        <v>-51657.72129287885</v>
      </c>
      <c r="C12" s="1">
        <v>1373.4589875558813</v>
      </c>
      <c r="D12" s="1">
        <v>0</v>
      </c>
      <c r="E12" s="1">
        <v>0</v>
      </c>
      <c r="F12" s="1">
        <v>0</v>
      </c>
      <c r="G12" s="9">
        <f>SUM(CT_FINANCIAL)</f>
        <v>-50284.262305322969</v>
      </c>
      <c r="I12" s="13" t="s">
        <v>20</v>
      </c>
      <c r="J12" s="16"/>
      <c r="L12" s="6">
        <v>785000</v>
      </c>
      <c r="M12" s="1">
        <v>731234</v>
      </c>
      <c r="O12" s="1">
        <v>0</v>
      </c>
      <c r="P12" s="1">
        <v>0</v>
      </c>
      <c r="R12" s="1">
        <v>0</v>
      </c>
      <c r="S12" s="1">
        <v>0</v>
      </c>
      <c r="U12" s="1">
        <v>0</v>
      </c>
      <c r="V12" s="9">
        <v>0</v>
      </c>
    </row>
    <row r="13" spans="1:22">
      <c r="A13" s="1" t="s">
        <v>21</v>
      </c>
      <c r="B13" s="6">
        <v>-95907.257312026835</v>
      </c>
      <c r="C13" s="1">
        <v>-1180.9703788356646</v>
      </c>
      <c r="D13" s="1">
        <v>0</v>
      </c>
      <c r="E13" s="1">
        <v>0</v>
      </c>
      <c r="F13" s="1">
        <v>0</v>
      </c>
      <c r="G13" s="9">
        <f>SUM(DE_FINANCIAL)</f>
        <v>-97088.227690862506</v>
      </c>
      <c r="I13" s="13" t="s">
        <v>22</v>
      </c>
      <c r="J13" s="16">
        <v>0</v>
      </c>
      <c r="L13" s="6">
        <v>87000</v>
      </c>
      <c r="M13" s="1">
        <v>0</v>
      </c>
      <c r="O13" s="1">
        <v>3000</v>
      </c>
      <c r="P13" s="1">
        <v>0</v>
      </c>
      <c r="R13" s="1">
        <v>0</v>
      </c>
      <c r="S13" s="1">
        <v>0</v>
      </c>
      <c r="U13" s="1">
        <v>0</v>
      </c>
      <c r="V13" s="9">
        <v>0</v>
      </c>
    </row>
    <row r="14" spans="1:22">
      <c r="A14" s="1" t="s">
        <v>23</v>
      </c>
      <c r="B14" s="6">
        <v>34200.718097084566</v>
      </c>
      <c r="C14" s="1">
        <v>20857.572853482248</v>
      </c>
      <c r="D14" s="1">
        <v>0</v>
      </c>
      <c r="E14" s="1">
        <v>0</v>
      </c>
      <c r="F14" s="1">
        <v>0</v>
      </c>
      <c r="G14" s="9">
        <f>SUM(DC_FINANCIAL)</f>
        <v>55058.290950566814</v>
      </c>
      <c r="I14" s="13" t="s">
        <v>24</v>
      </c>
      <c r="J14" s="16">
        <v>5116161</v>
      </c>
      <c r="L14" s="6">
        <v>100000</v>
      </c>
      <c r="M14" s="1">
        <v>113572</v>
      </c>
      <c r="O14" s="1">
        <v>5000</v>
      </c>
      <c r="P14" s="1">
        <v>10656</v>
      </c>
      <c r="R14" s="1">
        <v>0</v>
      </c>
      <c r="S14" s="1">
        <v>0</v>
      </c>
      <c r="U14" s="1">
        <v>0</v>
      </c>
      <c r="V14" s="9">
        <v>0</v>
      </c>
    </row>
    <row r="15" spans="1:22">
      <c r="A15" s="1" t="s">
        <v>25</v>
      </c>
      <c r="B15" s="6">
        <v>-996870.64953083545</v>
      </c>
      <c r="C15" s="1">
        <v>-20958.257856983459</v>
      </c>
      <c r="D15" s="1">
        <v>0</v>
      </c>
      <c r="E15" s="1">
        <v>0</v>
      </c>
      <c r="F15" s="1">
        <v>0</v>
      </c>
      <c r="G15" s="9">
        <f>SUM(FL_FINANCIAL)</f>
        <v>-1017828.9073878189</v>
      </c>
      <c r="I15" s="13" t="s">
        <v>26</v>
      </c>
      <c r="J15" s="16">
        <v>7545974.3247330897</v>
      </c>
      <c r="L15" s="6">
        <v>6100000</v>
      </c>
      <c r="M15" s="1">
        <v>0</v>
      </c>
      <c r="O15" s="1">
        <v>500000</v>
      </c>
      <c r="P15" s="1">
        <v>0</v>
      </c>
      <c r="R15" s="1">
        <v>0</v>
      </c>
      <c r="S15" s="1">
        <v>0</v>
      </c>
      <c r="U15" s="1">
        <v>0</v>
      </c>
      <c r="V15" s="9">
        <v>0</v>
      </c>
    </row>
    <row r="16" spans="1:22">
      <c r="A16" s="1" t="s">
        <v>27</v>
      </c>
      <c r="B16" s="6">
        <v>-304470.86750744749</v>
      </c>
      <c r="C16" s="1">
        <v>1696.6286811760801</v>
      </c>
      <c r="D16" s="1">
        <v>0</v>
      </c>
      <c r="E16" s="1">
        <v>0</v>
      </c>
      <c r="F16" s="1">
        <v>0</v>
      </c>
      <c r="G16" s="9">
        <f>SUM(GA_FINANCIAL)</f>
        <v>-302774.23882627138</v>
      </c>
      <c r="I16" s="13" t="s">
        <v>28</v>
      </c>
      <c r="J16" s="16">
        <v>0</v>
      </c>
      <c r="L16" s="6">
        <v>1806365</v>
      </c>
      <c r="M16" s="1">
        <v>0</v>
      </c>
      <c r="O16" s="1">
        <v>93635</v>
      </c>
      <c r="P16" s="1">
        <v>4595.29</v>
      </c>
      <c r="R16" s="1">
        <v>0</v>
      </c>
      <c r="S16" s="1">
        <v>0</v>
      </c>
      <c r="U16" s="1">
        <v>0</v>
      </c>
      <c r="V16" s="9">
        <v>0</v>
      </c>
    </row>
    <row r="17" spans="1:22">
      <c r="A17" s="1" t="s">
        <v>29</v>
      </c>
      <c r="B17" s="6">
        <v>-62469.647166843002</v>
      </c>
      <c r="C17" s="1">
        <v>-7127.6707305558448</v>
      </c>
      <c r="D17" s="1">
        <v>0</v>
      </c>
      <c r="E17" s="1">
        <v>0</v>
      </c>
      <c r="F17" s="1">
        <v>0</v>
      </c>
      <c r="G17" s="9">
        <f>SUM(HI_FINANCIAL)</f>
        <v>-69597.31789739884</v>
      </c>
      <c r="I17" s="13"/>
      <c r="J17" s="16"/>
      <c r="L17" s="6">
        <v>366380</v>
      </c>
      <c r="M17" s="1">
        <v>0</v>
      </c>
      <c r="O17" s="1">
        <v>14880</v>
      </c>
      <c r="P17" s="1">
        <v>0</v>
      </c>
      <c r="R17" s="1">
        <v>30</v>
      </c>
      <c r="S17" s="1">
        <v>0</v>
      </c>
      <c r="U17" s="1">
        <v>0</v>
      </c>
      <c r="V17" s="9">
        <v>0</v>
      </c>
    </row>
    <row r="18" spans="1:22">
      <c r="A18" s="1" t="s">
        <v>30</v>
      </c>
      <c r="B18" s="6">
        <v>-314201.5718496358</v>
      </c>
      <c r="C18" s="1">
        <v>-2670.343774445384</v>
      </c>
      <c r="D18" s="1">
        <v>0</v>
      </c>
      <c r="E18" s="1">
        <v>0</v>
      </c>
      <c r="F18" s="1">
        <v>0</v>
      </c>
      <c r="G18" s="9">
        <f>SUM(ID_FINANCIAL)</f>
        <v>-316871.91562408116</v>
      </c>
      <c r="I18" s="13" t="s">
        <v>31</v>
      </c>
      <c r="J18" s="16"/>
      <c r="L18" s="6">
        <v>2549400</v>
      </c>
      <c r="M18" s="1">
        <v>1180454</v>
      </c>
      <c r="O18" s="1">
        <v>200600</v>
      </c>
      <c r="P18" s="1">
        <v>0</v>
      </c>
      <c r="R18" s="1">
        <v>0</v>
      </c>
      <c r="S18" s="1">
        <v>0</v>
      </c>
      <c r="U18" s="1">
        <v>0</v>
      </c>
      <c r="V18" s="9">
        <v>0</v>
      </c>
    </row>
    <row r="19" spans="1:22">
      <c r="A19" s="1" t="s">
        <v>32</v>
      </c>
      <c r="B19" s="6">
        <v>-398993.10911556799</v>
      </c>
      <c r="C19" s="1">
        <v>-7499.6868572412059</v>
      </c>
      <c r="D19" s="1">
        <v>0</v>
      </c>
      <c r="E19" s="1">
        <v>0</v>
      </c>
      <c r="F19" s="1">
        <v>0</v>
      </c>
      <c r="G19" s="9">
        <f>SUM(IL_FINANCIAL)</f>
        <v>-406492.7959728092</v>
      </c>
      <c r="I19" s="13" t="s">
        <v>33</v>
      </c>
      <c r="J19" s="16">
        <v>714278169.00000012</v>
      </c>
      <c r="L19" s="6">
        <v>5500000</v>
      </c>
      <c r="M19" s="1">
        <v>6070000</v>
      </c>
      <c r="O19" s="1">
        <v>500000</v>
      </c>
      <c r="P19" s="1">
        <v>1635000</v>
      </c>
      <c r="R19" s="1">
        <v>0</v>
      </c>
      <c r="S19" s="1">
        <v>0</v>
      </c>
      <c r="U19" s="1">
        <v>0</v>
      </c>
      <c r="V19" s="9">
        <v>0</v>
      </c>
    </row>
    <row r="20" spans="1:22">
      <c r="A20" s="1" t="s">
        <v>34</v>
      </c>
      <c r="B20" s="6">
        <v>-459742.23171269335</v>
      </c>
      <c r="C20" s="1">
        <v>81350.585759641486</v>
      </c>
      <c r="D20" s="1">
        <v>0</v>
      </c>
      <c r="E20" s="1">
        <v>0</v>
      </c>
      <c r="F20" s="1">
        <v>0</v>
      </c>
      <c r="G20" s="9">
        <f>SUM(IN_FINANCIAL)</f>
        <v>-378391.64595305186</v>
      </c>
      <c r="I20" s="13" t="s">
        <v>35</v>
      </c>
      <c r="J20" s="16">
        <v>-357884520.69994879</v>
      </c>
      <c r="L20" s="6">
        <v>1098547</v>
      </c>
      <c r="M20" s="1">
        <v>0</v>
      </c>
      <c r="O20" s="1">
        <v>299899</v>
      </c>
      <c r="P20" s="1">
        <v>0</v>
      </c>
      <c r="R20" s="1">
        <v>0</v>
      </c>
      <c r="S20" s="1">
        <v>0</v>
      </c>
      <c r="U20" s="1">
        <v>0</v>
      </c>
      <c r="V20" s="9">
        <v>0</v>
      </c>
    </row>
    <row r="21" spans="1:22">
      <c r="A21" s="1" t="s">
        <v>36</v>
      </c>
      <c r="B21" s="6">
        <v>-10355.523389932234</v>
      </c>
      <c r="C21" s="1">
        <v>12473.081780121487</v>
      </c>
      <c r="D21" s="1">
        <v>0</v>
      </c>
      <c r="E21" s="1">
        <v>0</v>
      </c>
      <c r="F21" s="1">
        <v>0</v>
      </c>
      <c r="G21" s="9">
        <f>SUM(IA_FINANCIAL)</f>
        <v>2117.5583901892533</v>
      </c>
      <c r="I21" s="13" t="s">
        <v>37</v>
      </c>
      <c r="J21" s="16"/>
      <c r="L21" s="6">
        <v>1000000</v>
      </c>
      <c r="M21" s="1">
        <v>0</v>
      </c>
      <c r="O21" s="1">
        <v>0</v>
      </c>
      <c r="P21" s="1">
        <v>0</v>
      </c>
      <c r="R21" s="1">
        <v>0</v>
      </c>
      <c r="S21" s="1">
        <v>0</v>
      </c>
      <c r="U21" s="1">
        <v>0</v>
      </c>
      <c r="V21" s="9">
        <v>0</v>
      </c>
    </row>
    <row r="22" spans="1:22">
      <c r="A22" s="1" t="s">
        <v>38</v>
      </c>
      <c r="B22" s="6">
        <v>-187839.32022754755</v>
      </c>
      <c r="C22" s="1">
        <v>8024.695749464212</v>
      </c>
      <c r="D22" s="1">
        <v>0</v>
      </c>
      <c r="E22" s="1">
        <v>0</v>
      </c>
      <c r="F22" s="1">
        <v>0</v>
      </c>
      <c r="G22" s="9">
        <f>SUM(KS_FINANCIAL)</f>
        <v>-179814.62447808334</v>
      </c>
      <c r="I22" s="13" t="s">
        <v>39</v>
      </c>
      <c r="J22" s="16">
        <v>233590142.16492066</v>
      </c>
      <c r="L22" s="6"/>
      <c r="V22" s="9"/>
    </row>
    <row r="23" spans="1:22">
      <c r="A23" s="1" t="s">
        <v>40</v>
      </c>
      <c r="B23" s="6">
        <v>-1036563.2918700427</v>
      </c>
      <c r="C23" s="1">
        <v>-188026.08388958359</v>
      </c>
      <c r="D23" s="1">
        <v>0</v>
      </c>
      <c r="E23" s="1">
        <v>0</v>
      </c>
      <c r="F23" s="1">
        <v>0</v>
      </c>
      <c r="G23" s="9">
        <f>SUM(KY_FINANCIAL)</f>
        <v>-1224589.3757596263</v>
      </c>
      <c r="I23" s="13" t="s">
        <v>41</v>
      </c>
      <c r="J23" s="16"/>
      <c r="L23" s="6">
        <v>10331657</v>
      </c>
      <c r="M23" s="1">
        <v>10251563</v>
      </c>
      <c r="O23" s="1">
        <v>2835989</v>
      </c>
      <c r="P23" s="1">
        <v>2840382</v>
      </c>
      <c r="R23" s="1">
        <v>99323</v>
      </c>
      <c r="S23" s="1">
        <v>98105</v>
      </c>
      <c r="U23" s="1">
        <v>0</v>
      </c>
      <c r="V23" s="9">
        <v>0</v>
      </c>
    </row>
    <row r="24" spans="1:22">
      <c r="A24" s="1" t="s">
        <v>42</v>
      </c>
      <c r="B24" s="6">
        <v>-193823.58191817836</v>
      </c>
      <c r="C24" s="1">
        <v>-1215.5452336535891</v>
      </c>
      <c r="D24" s="1">
        <v>0</v>
      </c>
      <c r="E24" s="1">
        <v>0</v>
      </c>
      <c r="F24" s="1">
        <v>0</v>
      </c>
      <c r="G24" s="9">
        <f>SUM(LA_FINANCIAL)</f>
        <v>-195039.12715183196</v>
      </c>
      <c r="I24" s="13" t="s">
        <v>43</v>
      </c>
      <c r="J24" s="16">
        <v>200617794</v>
      </c>
      <c r="L24" s="6">
        <v>1368000</v>
      </c>
      <c r="M24" s="1">
        <v>0</v>
      </c>
      <c r="O24" s="1">
        <v>57000</v>
      </c>
      <c r="P24" s="1">
        <v>0</v>
      </c>
      <c r="R24" s="1">
        <v>0</v>
      </c>
      <c r="S24" s="1">
        <v>0</v>
      </c>
      <c r="U24" s="1">
        <v>0</v>
      </c>
      <c r="V24" s="9">
        <v>0</v>
      </c>
    </row>
    <row r="25" spans="1:22">
      <c r="A25" s="1" t="s">
        <v>44</v>
      </c>
      <c r="B25" s="6">
        <v>-33865.727432224085</v>
      </c>
      <c r="C25" s="1">
        <v>488.46561012767779</v>
      </c>
      <c r="D25" s="1">
        <v>0</v>
      </c>
      <c r="E25" s="1">
        <v>0</v>
      </c>
      <c r="F25" s="1">
        <v>0</v>
      </c>
      <c r="G25" s="9">
        <f>SUM(ME_FINANCIAL)</f>
        <v>-33377.261822096407</v>
      </c>
      <c r="I25" s="13"/>
      <c r="J25" s="16"/>
      <c r="L25" s="6">
        <v>791200</v>
      </c>
      <c r="M25" s="1">
        <v>0</v>
      </c>
      <c r="O25" s="1">
        <v>800</v>
      </c>
      <c r="P25" s="1">
        <v>0</v>
      </c>
      <c r="R25" s="1">
        <v>0</v>
      </c>
      <c r="S25" s="1">
        <v>0</v>
      </c>
      <c r="U25" s="1">
        <v>0</v>
      </c>
      <c r="V25" s="9">
        <v>0</v>
      </c>
    </row>
    <row r="26" spans="1:22">
      <c r="A26" s="1" t="s">
        <v>45</v>
      </c>
      <c r="B26" s="6">
        <v>-185615.13351368532</v>
      </c>
      <c r="C26" s="1">
        <v>-3771.3360271783167</v>
      </c>
      <c r="D26" s="1">
        <v>0</v>
      </c>
      <c r="E26" s="1">
        <v>0</v>
      </c>
      <c r="F26" s="1">
        <v>0</v>
      </c>
      <c r="G26" s="9">
        <f>SUM(MD_FINANCIAL)</f>
        <v>-189386.46954086365</v>
      </c>
      <c r="I26" s="13" t="s">
        <v>46</v>
      </c>
      <c r="J26" s="16">
        <f>SUM(ADD_FINANCIAL)-SUM(LESS_FINANCIAL)</f>
        <v>-12501289.675267458</v>
      </c>
      <c r="L26" s="6">
        <v>148500</v>
      </c>
      <c r="M26" s="1">
        <v>0</v>
      </c>
      <c r="O26" s="1">
        <v>2326500</v>
      </c>
      <c r="P26" s="1">
        <v>0</v>
      </c>
      <c r="R26" s="1">
        <v>0</v>
      </c>
      <c r="S26" s="1">
        <v>0</v>
      </c>
      <c r="U26" s="1">
        <v>0</v>
      </c>
      <c r="V26" s="9">
        <v>0</v>
      </c>
    </row>
    <row r="27" spans="1:22">
      <c r="A27" s="1" t="s">
        <v>47</v>
      </c>
      <c r="B27" s="6">
        <v>-141844.3640095219</v>
      </c>
      <c r="C27" s="1">
        <v>498.11574614090205</v>
      </c>
      <c r="D27" s="1">
        <v>0</v>
      </c>
      <c r="E27" s="1">
        <v>0</v>
      </c>
      <c r="F27" s="1">
        <v>0</v>
      </c>
      <c r="G27" s="9">
        <f>SUM(MA_FINANCIAL)</f>
        <v>-141346.24826338101</v>
      </c>
      <c r="I27" s="13" t="s">
        <v>48</v>
      </c>
      <c r="J27" s="16">
        <f>SUM(ALL_BLOCKS)</f>
        <v>-12501289.675266903</v>
      </c>
      <c r="L27" s="6">
        <v>1670000</v>
      </c>
      <c r="M27" s="1">
        <v>2125000</v>
      </c>
      <c r="O27" s="1">
        <v>106000</v>
      </c>
      <c r="P27" s="1">
        <v>200000</v>
      </c>
      <c r="R27" s="1">
        <v>0</v>
      </c>
      <c r="S27" s="1">
        <v>0</v>
      </c>
      <c r="U27" s="1">
        <v>0</v>
      </c>
      <c r="V27" s="9">
        <v>0</v>
      </c>
    </row>
    <row r="28" spans="1:22">
      <c r="A28" s="1" t="s">
        <v>49</v>
      </c>
      <c r="B28" s="6">
        <v>-481741.15976397879</v>
      </c>
      <c r="C28" s="1">
        <v>13873.268784365966</v>
      </c>
      <c r="D28" s="1">
        <v>0</v>
      </c>
      <c r="E28" s="1">
        <v>0</v>
      </c>
      <c r="F28" s="1">
        <v>0</v>
      </c>
      <c r="G28" s="9">
        <f>SUM(MI_FINANCIAL)</f>
        <v>-467867.89097961283</v>
      </c>
      <c r="I28" s="14"/>
      <c r="J28" s="17"/>
      <c r="L28" s="6">
        <v>5200000</v>
      </c>
      <c r="M28" s="1">
        <v>6695134</v>
      </c>
      <c r="O28" s="1">
        <v>750000</v>
      </c>
      <c r="P28" s="1">
        <v>0</v>
      </c>
      <c r="R28" s="1">
        <v>0</v>
      </c>
      <c r="S28" s="1">
        <v>0</v>
      </c>
      <c r="U28" s="1">
        <v>0</v>
      </c>
      <c r="V28" s="9">
        <v>0</v>
      </c>
    </row>
    <row r="29" spans="1:22">
      <c r="A29" s="1" t="s">
        <v>50</v>
      </c>
      <c r="B29" s="6">
        <v>-90129.178333875258</v>
      </c>
      <c r="C29" s="1">
        <v>-9130.1389559307427</v>
      </c>
      <c r="D29" s="1">
        <v>0</v>
      </c>
      <c r="E29" s="1">
        <v>0</v>
      </c>
      <c r="F29" s="1">
        <v>0</v>
      </c>
      <c r="G29" s="9">
        <f>SUM(MN_FINANCIAL)</f>
        <v>-99259.317289806</v>
      </c>
      <c r="L29" s="6">
        <v>752000</v>
      </c>
      <c r="M29" s="1">
        <v>0</v>
      </c>
      <c r="O29" s="1">
        <v>48000</v>
      </c>
      <c r="P29" s="1">
        <v>0</v>
      </c>
      <c r="R29" s="1">
        <v>0</v>
      </c>
      <c r="S29" s="1">
        <v>0</v>
      </c>
      <c r="U29" s="1">
        <v>0</v>
      </c>
      <c r="V29" s="9">
        <v>0</v>
      </c>
    </row>
    <row r="30" spans="1:22">
      <c r="A30" s="1" t="s">
        <v>51</v>
      </c>
      <c r="B30" s="6">
        <v>17918.798505570507</v>
      </c>
      <c r="C30" s="1">
        <v>5664.645193513963</v>
      </c>
      <c r="D30" s="1">
        <v>0</v>
      </c>
      <c r="E30" s="1">
        <v>0</v>
      </c>
      <c r="F30" s="1">
        <v>0</v>
      </c>
      <c r="G30" s="9">
        <f>SUM(MS_FINANCIAL)</f>
        <v>23583.44369908447</v>
      </c>
      <c r="L30" s="6"/>
      <c r="V30" s="9"/>
    </row>
    <row r="31" spans="1:22">
      <c r="A31" s="1" t="s">
        <v>52</v>
      </c>
      <c r="B31" s="6">
        <v>-324971.63720611483</v>
      </c>
      <c r="C31" s="1">
        <v>-17325.868423723383</v>
      </c>
      <c r="D31" s="1">
        <v>0</v>
      </c>
      <c r="E31" s="1">
        <v>0</v>
      </c>
      <c r="F31" s="1">
        <v>0</v>
      </c>
      <c r="G31" s="9">
        <f>SUM(MO_FINANCIAL)</f>
        <v>-342297.50562983821</v>
      </c>
      <c r="L31" s="6">
        <v>3236920</v>
      </c>
      <c r="M31" s="1">
        <v>0</v>
      </c>
      <c r="O31" s="1">
        <v>263260</v>
      </c>
      <c r="P31" s="1">
        <v>0</v>
      </c>
      <c r="R31" s="1">
        <v>0</v>
      </c>
      <c r="S31" s="1">
        <v>0</v>
      </c>
      <c r="U31" s="1">
        <v>0</v>
      </c>
      <c r="V31" s="9">
        <v>0</v>
      </c>
    </row>
    <row r="32" spans="1:22">
      <c r="A32" s="1" t="s">
        <v>53</v>
      </c>
      <c r="B32" s="6">
        <v>-183416.1281502326</v>
      </c>
      <c r="C32" s="1">
        <v>7309.435001052625</v>
      </c>
      <c r="D32" s="1">
        <v>0</v>
      </c>
      <c r="E32" s="1">
        <v>0</v>
      </c>
      <c r="F32" s="1">
        <v>0</v>
      </c>
      <c r="G32" s="9">
        <f>SUM(MT_FINANCIAL)</f>
        <v>-176106.69314917998</v>
      </c>
      <c r="L32" s="6">
        <v>1931899</v>
      </c>
      <c r="M32" s="1">
        <v>0</v>
      </c>
      <c r="O32" s="1">
        <v>167986</v>
      </c>
      <c r="P32" s="1">
        <v>0</v>
      </c>
      <c r="R32" s="1">
        <v>0</v>
      </c>
      <c r="S32" s="1">
        <v>0</v>
      </c>
      <c r="U32" s="1">
        <v>0</v>
      </c>
      <c r="V32" s="9">
        <v>0</v>
      </c>
    </row>
    <row r="33" spans="1:22">
      <c r="A33" s="1" t="s">
        <v>54</v>
      </c>
      <c r="B33" s="6">
        <v>-46234.028032442089</v>
      </c>
      <c r="C33" s="1">
        <v>22703.312743762843</v>
      </c>
      <c r="D33" s="1">
        <v>0</v>
      </c>
      <c r="E33" s="1">
        <v>0</v>
      </c>
      <c r="F33" s="1">
        <v>0</v>
      </c>
      <c r="G33" s="9">
        <f>SUM(NE_FINANCIAL)</f>
        <v>-23530.715288679246</v>
      </c>
      <c r="L33" s="6">
        <v>983250</v>
      </c>
      <c r="M33" s="1">
        <v>0</v>
      </c>
      <c r="O33" s="1">
        <v>51557</v>
      </c>
      <c r="P33" s="1">
        <v>0</v>
      </c>
      <c r="R33" s="1">
        <v>0</v>
      </c>
      <c r="S33" s="1">
        <v>0</v>
      </c>
      <c r="U33" s="1">
        <v>0</v>
      </c>
      <c r="V33" s="9">
        <v>0</v>
      </c>
    </row>
    <row r="34" spans="1:22">
      <c r="A34" s="1" t="s">
        <v>55</v>
      </c>
      <c r="B34" s="6">
        <v>-64324.451040999265</v>
      </c>
      <c r="C34" s="1">
        <v>4369.1022918878443</v>
      </c>
      <c r="D34" s="1">
        <v>0</v>
      </c>
      <c r="E34" s="1">
        <v>0</v>
      </c>
      <c r="F34" s="1">
        <v>0</v>
      </c>
      <c r="G34" s="9">
        <f>SUM(NV_FINANCIAL)</f>
        <v>-59955.348749111421</v>
      </c>
      <c r="L34" s="6">
        <v>874200</v>
      </c>
      <c r="M34" s="1">
        <v>0</v>
      </c>
      <c r="O34" s="1">
        <v>28400</v>
      </c>
      <c r="P34" s="1">
        <v>0</v>
      </c>
      <c r="R34" s="1">
        <v>0</v>
      </c>
      <c r="S34" s="1">
        <v>0</v>
      </c>
      <c r="U34" s="1">
        <v>0</v>
      </c>
      <c r="V34" s="9">
        <v>0</v>
      </c>
    </row>
    <row r="35" spans="1:22">
      <c r="A35" s="1" t="s">
        <v>56</v>
      </c>
      <c r="B35" s="6">
        <v>5783.7780156658264</v>
      </c>
      <c r="C35" s="1">
        <v>-761.43566569951781</v>
      </c>
      <c r="D35" s="1">
        <v>0</v>
      </c>
      <c r="E35" s="1">
        <v>0</v>
      </c>
      <c r="F35" s="1">
        <v>0</v>
      </c>
      <c r="G35" s="9">
        <f>SUM(NH_FINANCIAL)</f>
        <v>5022.3423499663086</v>
      </c>
      <c r="L35" s="6">
        <v>200000</v>
      </c>
      <c r="M35" s="1">
        <v>0</v>
      </c>
      <c r="O35" s="1">
        <v>5000</v>
      </c>
      <c r="P35" s="1">
        <v>0</v>
      </c>
      <c r="R35" s="1">
        <v>0</v>
      </c>
      <c r="S35" s="1">
        <v>0</v>
      </c>
      <c r="U35" s="1">
        <v>0</v>
      </c>
      <c r="V35" s="9">
        <v>0</v>
      </c>
    </row>
    <row r="36" spans="1:22">
      <c r="A36" s="1" t="s">
        <v>57</v>
      </c>
      <c r="B36" s="6">
        <v>-90157.853803112172</v>
      </c>
      <c r="C36" s="1">
        <v>589.87264885606965</v>
      </c>
      <c r="D36" s="1">
        <v>0</v>
      </c>
      <c r="E36" s="1">
        <v>0</v>
      </c>
      <c r="F36" s="1">
        <v>0</v>
      </c>
      <c r="G36" s="9">
        <f>SUM(NJ_FINANCIAL)</f>
        <v>-89567.981154256107</v>
      </c>
      <c r="L36" s="6">
        <v>500000</v>
      </c>
      <c r="M36" s="1">
        <v>500000</v>
      </c>
      <c r="O36" s="1">
        <v>0</v>
      </c>
      <c r="P36" s="1">
        <v>0</v>
      </c>
      <c r="R36" s="1">
        <v>0</v>
      </c>
      <c r="S36" s="1">
        <v>0</v>
      </c>
      <c r="U36" s="1">
        <v>0</v>
      </c>
      <c r="V36" s="9">
        <v>0</v>
      </c>
    </row>
    <row r="37" spans="1:22">
      <c r="A37" s="1" t="s">
        <v>58</v>
      </c>
      <c r="B37" s="6">
        <v>-116638.41123380954</v>
      </c>
      <c r="C37" s="1">
        <v>-16085.727131669846</v>
      </c>
      <c r="D37" s="1">
        <v>0</v>
      </c>
      <c r="E37" s="1">
        <v>0</v>
      </c>
      <c r="F37" s="1">
        <v>0</v>
      </c>
      <c r="G37" s="9">
        <f>SUM(NM_FINANCIAL)</f>
        <v>-132724.13836547939</v>
      </c>
      <c r="L37" s="6"/>
      <c r="V37" s="9"/>
    </row>
    <row r="38" spans="1:22">
      <c r="A38" s="1" t="s">
        <v>59</v>
      </c>
      <c r="B38" s="6">
        <v>62422</v>
      </c>
      <c r="C38" s="1">
        <v>0</v>
      </c>
      <c r="D38" s="1">
        <v>0</v>
      </c>
      <c r="E38" s="1">
        <v>0</v>
      </c>
      <c r="F38" s="1">
        <v>0</v>
      </c>
      <c r="G38" s="9">
        <f>SUM(NY_FINANCIAL)</f>
        <v>62422</v>
      </c>
      <c r="L38" s="6"/>
      <c r="V38" s="9"/>
    </row>
    <row r="39" spans="1:22">
      <c r="A39" s="1" t="s">
        <v>60</v>
      </c>
      <c r="B39" s="6">
        <v>-652005.81365525071</v>
      </c>
      <c r="C39" s="1">
        <v>-28286.74026495422</v>
      </c>
      <c r="D39" s="1">
        <v>0</v>
      </c>
      <c r="E39" s="1">
        <v>0</v>
      </c>
      <c r="F39" s="1">
        <v>0</v>
      </c>
      <c r="G39" s="9">
        <f>SUM(NC_FINANCIAL)</f>
        <v>-680292.55392020498</v>
      </c>
      <c r="L39" s="6">
        <v>3800000</v>
      </c>
      <c r="M39" s="1">
        <v>5462500</v>
      </c>
      <c r="O39" s="1">
        <v>200000</v>
      </c>
      <c r="P39" s="1">
        <v>287500</v>
      </c>
      <c r="R39" s="1">
        <v>0</v>
      </c>
      <c r="S39" s="1">
        <v>0</v>
      </c>
      <c r="U39" s="1">
        <v>0</v>
      </c>
      <c r="V39" s="9">
        <v>0</v>
      </c>
    </row>
    <row r="40" spans="1:22">
      <c r="A40" s="1" t="s">
        <v>61</v>
      </c>
      <c r="B40" s="6">
        <v>-228562.94307544595</v>
      </c>
      <c r="C40" s="1">
        <v>-683.43780092513771</v>
      </c>
      <c r="D40" s="1">
        <v>0</v>
      </c>
      <c r="E40" s="1">
        <v>0</v>
      </c>
      <c r="F40" s="1">
        <v>0</v>
      </c>
      <c r="G40" s="9">
        <f>SUM(ND_FINANCIAL)</f>
        <v>-229246.38087637108</v>
      </c>
      <c r="L40" s="6">
        <v>1365200</v>
      </c>
      <c r="M40" s="1">
        <v>0</v>
      </c>
      <c r="O40" s="1">
        <v>268100</v>
      </c>
      <c r="P40" s="1">
        <v>0</v>
      </c>
      <c r="R40" s="1">
        <v>0</v>
      </c>
      <c r="S40" s="1">
        <v>0</v>
      </c>
      <c r="U40" s="1">
        <v>0</v>
      </c>
      <c r="V40" s="9">
        <v>0</v>
      </c>
    </row>
    <row r="41" spans="1:22">
      <c r="A41" s="1" t="s">
        <v>62</v>
      </c>
      <c r="B41" s="6">
        <v>-728285.99016516469</v>
      </c>
      <c r="C41" s="1">
        <v>8773.4078769197222</v>
      </c>
      <c r="D41" s="1">
        <v>0</v>
      </c>
      <c r="E41" s="1">
        <v>0</v>
      </c>
      <c r="F41" s="1">
        <v>0</v>
      </c>
      <c r="G41" s="9">
        <f>SUM(OH_FINANCIAL)</f>
        <v>-719512.58228824497</v>
      </c>
      <c r="L41" s="6">
        <v>4940000</v>
      </c>
      <c r="M41" s="1">
        <v>0</v>
      </c>
      <c r="O41" s="1">
        <v>760000</v>
      </c>
      <c r="P41" s="1">
        <v>0</v>
      </c>
      <c r="R41" s="1">
        <v>0</v>
      </c>
      <c r="S41" s="1">
        <v>0</v>
      </c>
      <c r="U41" s="1">
        <v>0</v>
      </c>
      <c r="V41" s="9">
        <v>0</v>
      </c>
    </row>
    <row r="42" spans="1:22">
      <c r="A42" s="1" t="s">
        <v>63</v>
      </c>
      <c r="B42" s="6">
        <v>-96067.261007062858</v>
      </c>
      <c r="C42" s="1">
        <v>5687.3950484368106</v>
      </c>
      <c r="D42" s="1">
        <v>0</v>
      </c>
      <c r="E42" s="1">
        <v>0</v>
      </c>
      <c r="F42" s="1">
        <v>0</v>
      </c>
      <c r="G42" s="9">
        <f>SUM(OK_FINANCIAL)</f>
        <v>-90379.865958626047</v>
      </c>
      <c r="L42" s="6">
        <v>841750</v>
      </c>
      <c r="M42" s="1">
        <v>987350</v>
      </c>
      <c r="O42" s="1">
        <v>83230</v>
      </c>
      <c r="P42" s="1">
        <v>97650</v>
      </c>
      <c r="R42" s="1">
        <v>0</v>
      </c>
      <c r="S42" s="1">
        <v>0</v>
      </c>
      <c r="U42" s="1">
        <v>0</v>
      </c>
      <c r="V42" s="9">
        <v>0</v>
      </c>
    </row>
    <row r="43" spans="1:22">
      <c r="A43" s="1" t="s">
        <v>64</v>
      </c>
      <c r="B43" s="6">
        <v>-303052.18365320005</v>
      </c>
      <c r="C43" s="1">
        <v>8780.3098564501124</v>
      </c>
      <c r="D43" s="1">
        <v>0</v>
      </c>
      <c r="E43" s="1">
        <v>0</v>
      </c>
      <c r="F43" s="1">
        <v>0</v>
      </c>
      <c r="G43" s="9">
        <f>SUM(OR_FINANCIAL)</f>
        <v>-294271.87379674992</v>
      </c>
      <c r="L43" s="6">
        <v>2658420</v>
      </c>
      <c r="M43" s="1">
        <v>0</v>
      </c>
      <c r="O43" s="1">
        <v>51801</v>
      </c>
      <c r="P43" s="1">
        <v>0</v>
      </c>
      <c r="R43" s="1">
        <v>0</v>
      </c>
      <c r="S43" s="1">
        <v>0</v>
      </c>
      <c r="U43" s="1">
        <v>0</v>
      </c>
      <c r="V43" s="9">
        <v>0</v>
      </c>
    </row>
    <row r="44" spans="1:22">
      <c r="A44" s="1" t="s">
        <v>65</v>
      </c>
      <c r="B44" s="6">
        <v>-347245.88233376853</v>
      </c>
      <c r="C44" s="1">
        <v>-15168.078016897838</v>
      </c>
      <c r="D44" s="1">
        <v>0</v>
      </c>
      <c r="E44" s="1">
        <v>0</v>
      </c>
      <c r="F44" s="1">
        <v>0</v>
      </c>
      <c r="G44" s="9">
        <f>SUM(PA_FINANCIAL)</f>
        <v>-362413.96035066637</v>
      </c>
      <c r="L44" s="6">
        <v>3500000</v>
      </c>
      <c r="M44" s="1">
        <v>0</v>
      </c>
      <c r="O44" s="1">
        <v>0</v>
      </c>
      <c r="P44" s="1">
        <v>0</v>
      </c>
      <c r="R44" s="1">
        <v>0</v>
      </c>
      <c r="S44" s="1">
        <v>0</v>
      </c>
      <c r="U44" s="1">
        <v>0</v>
      </c>
      <c r="V44" s="9">
        <v>0</v>
      </c>
    </row>
    <row r="45" spans="1:22">
      <c r="A45" s="1" t="s">
        <v>66</v>
      </c>
      <c r="B45" s="6">
        <v>0</v>
      </c>
      <c r="C45" s="1">
        <v>0</v>
      </c>
      <c r="D45" s="1">
        <v>0</v>
      </c>
      <c r="E45" s="1">
        <v>0</v>
      </c>
      <c r="F45" s="1">
        <v>0</v>
      </c>
      <c r="G45" s="9">
        <f>SUM(PR_FINANCIAL)</f>
        <v>0</v>
      </c>
      <c r="L45" s="6"/>
      <c r="V45" s="9"/>
    </row>
    <row r="46" spans="1:22">
      <c r="A46" s="1" t="s">
        <v>67</v>
      </c>
      <c r="B46" s="6">
        <v>-14568.94694204806</v>
      </c>
      <c r="C46" s="1">
        <v>29.091216381508275</v>
      </c>
      <c r="D46" s="1">
        <v>0</v>
      </c>
      <c r="E46" s="1">
        <v>0</v>
      </c>
      <c r="F46" s="1">
        <v>0</v>
      </c>
      <c r="G46" s="9">
        <f>SUM(RI_FINANCIAL)</f>
        <v>-14539.855725666552</v>
      </c>
      <c r="L46" s="6">
        <v>115320</v>
      </c>
      <c r="M46" s="1">
        <v>0</v>
      </c>
      <c r="O46" s="1">
        <v>8680</v>
      </c>
      <c r="P46" s="1">
        <v>0</v>
      </c>
      <c r="R46" s="1">
        <v>0</v>
      </c>
      <c r="S46" s="1">
        <v>0</v>
      </c>
      <c r="U46" s="1">
        <v>0</v>
      </c>
      <c r="V46" s="9">
        <v>0</v>
      </c>
    </row>
    <row r="47" spans="1:22">
      <c r="A47" s="1" t="s">
        <v>68</v>
      </c>
      <c r="B47" s="6">
        <v>-106038.31795691652</v>
      </c>
      <c r="C47" s="1">
        <v>12605.419355802122</v>
      </c>
      <c r="D47" s="1">
        <v>0</v>
      </c>
      <c r="E47" s="1">
        <v>0</v>
      </c>
      <c r="F47" s="1">
        <v>0</v>
      </c>
      <c r="G47" s="9">
        <f>SUM(SC_FINANCIAL)</f>
        <v>-93432.898601114401</v>
      </c>
      <c r="L47" s="6">
        <v>900000</v>
      </c>
      <c r="M47" s="1">
        <v>0</v>
      </c>
      <c r="O47" s="1">
        <v>100000</v>
      </c>
      <c r="P47" s="1">
        <v>0</v>
      </c>
      <c r="R47" s="1">
        <v>0</v>
      </c>
      <c r="S47" s="1">
        <v>0</v>
      </c>
      <c r="U47" s="1">
        <v>0</v>
      </c>
      <c r="V47" s="9">
        <v>0</v>
      </c>
    </row>
    <row r="48" spans="1:22">
      <c r="A48" s="1" t="s">
        <v>69</v>
      </c>
      <c r="B48" s="6">
        <v>-169667.88829636946</v>
      </c>
      <c r="C48" s="1">
        <v>8916.6965879873023</v>
      </c>
      <c r="D48" s="1">
        <v>0</v>
      </c>
      <c r="E48" s="1">
        <v>0</v>
      </c>
      <c r="F48" s="1">
        <v>0</v>
      </c>
      <c r="G48" s="9">
        <f>SUM(SD_FINANCIAL)</f>
        <v>-160751.19170838216</v>
      </c>
      <c r="L48" s="6">
        <v>1995000</v>
      </c>
      <c r="M48" s="1">
        <v>400000</v>
      </c>
      <c r="O48" s="1">
        <v>289000</v>
      </c>
      <c r="P48" s="1">
        <v>0</v>
      </c>
      <c r="R48" s="1">
        <v>0</v>
      </c>
      <c r="S48" s="1">
        <v>0</v>
      </c>
      <c r="U48" s="1">
        <v>0</v>
      </c>
      <c r="V48" s="9">
        <v>0</v>
      </c>
    </row>
    <row r="49" spans="1:22">
      <c r="A49" s="1" t="s">
        <v>70</v>
      </c>
      <c r="B49" s="6">
        <v>-293325.26457501296</v>
      </c>
      <c r="C49" s="1">
        <v>-29796.613791040203</v>
      </c>
      <c r="D49" s="1">
        <v>0</v>
      </c>
      <c r="E49" s="1">
        <v>0</v>
      </c>
      <c r="F49" s="1">
        <v>0</v>
      </c>
      <c r="G49" s="9">
        <f>SUM(TN_FINANCIAL)</f>
        <v>-323121.87836605316</v>
      </c>
      <c r="L49" s="6">
        <v>4640000</v>
      </c>
      <c r="M49" s="1">
        <v>0</v>
      </c>
      <c r="O49" s="1">
        <v>610000</v>
      </c>
      <c r="P49" s="1">
        <v>0</v>
      </c>
      <c r="R49" s="1">
        <v>0</v>
      </c>
      <c r="S49" s="1">
        <v>0</v>
      </c>
      <c r="U49" s="1">
        <v>0</v>
      </c>
      <c r="V49" s="9">
        <v>0</v>
      </c>
    </row>
    <row r="50" spans="1:22">
      <c r="A50" s="1" t="s">
        <v>71</v>
      </c>
      <c r="B50" s="6">
        <v>-1245550.5806587078</v>
      </c>
      <c r="C50" s="1">
        <v>54179.409100298304</v>
      </c>
      <c r="D50" s="1">
        <v>0</v>
      </c>
      <c r="E50" s="1">
        <v>0</v>
      </c>
      <c r="F50" s="1">
        <v>0</v>
      </c>
      <c r="G50" s="9">
        <f>SUM(TX_FINANCIAL)</f>
        <v>-1191371.1715584095</v>
      </c>
      <c r="L50" s="6">
        <v>11695474</v>
      </c>
      <c r="M50" s="1">
        <v>15038085.418199999</v>
      </c>
      <c r="O50" s="1">
        <v>369492</v>
      </c>
      <c r="P50" s="1">
        <v>470126.74119999999</v>
      </c>
      <c r="R50" s="1">
        <v>3471</v>
      </c>
      <c r="S50" s="1">
        <v>4589.8405999999995</v>
      </c>
      <c r="U50" s="1">
        <v>0</v>
      </c>
      <c r="V50" s="9">
        <v>0</v>
      </c>
    </row>
    <row r="51" spans="1:22">
      <c r="A51" s="1" t="s">
        <v>72</v>
      </c>
      <c r="B51" s="6">
        <v>-282973.81025946094</v>
      </c>
      <c r="C51" s="1">
        <v>1836.4414601246972</v>
      </c>
      <c r="D51" s="1">
        <v>0</v>
      </c>
      <c r="E51" s="1">
        <v>0</v>
      </c>
      <c r="F51" s="1">
        <v>0</v>
      </c>
      <c r="G51" s="9">
        <f>SUM(UT_FINANCIAL)</f>
        <v>-281137.36879933625</v>
      </c>
      <c r="L51" s="6">
        <v>1305629</v>
      </c>
      <c r="M51" s="1">
        <v>1917485</v>
      </c>
      <c r="O51" s="1">
        <v>49370</v>
      </c>
      <c r="P51" s="1">
        <v>72515</v>
      </c>
      <c r="R51" s="1">
        <v>0</v>
      </c>
      <c r="S51" s="1">
        <v>0</v>
      </c>
      <c r="U51" s="1">
        <v>0</v>
      </c>
      <c r="V51" s="9">
        <v>0</v>
      </c>
    </row>
    <row r="52" spans="1:22">
      <c r="A52" s="1" t="s">
        <v>73</v>
      </c>
      <c r="B52" s="6">
        <v>92489.585907939065</v>
      </c>
      <c r="C52" s="1">
        <v>2928.0316096422603</v>
      </c>
      <c r="D52" s="1">
        <v>0</v>
      </c>
      <c r="E52" s="1">
        <v>0</v>
      </c>
      <c r="F52" s="1">
        <v>0</v>
      </c>
      <c r="G52" s="9">
        <f>SUM(VT_FINANCIAL)</f>
        <v>95417.617517581326</v>
      </c>
      <c r="L52" s="6">
        <v>67000</v>
      </c>
      <c r="M52" s="1">
        <v>0</v>
      </c>
      <c r="O52" s="1">
        <v>3000</v>
      </c>
      <c r="P52" s="1">
        <v>0</v>
      </c>
      <c r="R52" s="1">
        <v>0</v>
      </c>
      <c r="S52" s="1">
        <v>0</v>
      </c>
      <c r="U52" s="1">
        <v>0</v>
      </c>
      <c r="V52" s="9">
        <v>0</v>
      </c>
    </row>
    <row r="53" spans="1:22">
      <c r="A53" s="1" t="s">
        <v>74</v>
      </c>
      <c r="B53" s="6">
        <v>-393138.44037015084</v>
      </c>
      <c r="C53" s="1">
        <v>-78227.805050697643</v>
      </c>
      <c r="D53" s="1">
        <v>0</v>
      </c>
      <c r="E53" s="1">
        <v>0</v>
      </c>
      <c r="F53" s="1">
        <v>0</v>
      </c>
      <c r="G53" s="9">
        <f>SUM(VA_FINANCIAL)</f>
        <v>-471366.24542084849</v>
      </c>
      <c r="L53" s="6">
        <v>2275289</v>
      </c>
      <c r="M53" s="1">
        <v>2486497</v>
      </c>
      <c r="O53" s="1">
        <v>225549</v>
      </c>
      <c r="P53" s="1">
        <v>26203</v>
      </c>
      <c r="R53" s="1">
        <v>38720</v>
      </c>
      <c r="S53" s="1">
        <v>37000</v>
      </c>
      <c r="U53" s="1">
        <v>0</v>
      </c>
      <c r="V53" s="9">
        <v>0</v>
      </c>
    </row>
    <row r="54" spans="1:22">
      <c r="A54" s="1" t="s">
        <v>75</v>
      </c>
      <c r="B54" s="6">
        <v>-661140.03586302139</v>
      </c>
      <c r="C54" s="1">
        <v>23751.959375209932</v>
      </c>
      <c r="D54" s="1">
        <v>0</v>
      </c>
      <c r="E54" s="1">
        <v>0</v>
      </c>
      <c r="F54" s="1">
        <v>0</v>
      </c>
      <c r="G54" s="9">
        <f>SUM(WA_FINANCIAL)</f>
        <v>-637388.07648781152</v>
      </c>
      <c r="L54" s="6">
        <v>8284000</v>
      </c>
      <c r="M54" s="1">
        <v>8100000</v>
      </c>
      <c r="O54" s="1">
        <v>385000</v>
      </c>
      <c r="P54" s="1">
        <v>0</v>
      </c>
      <c r="R54" s="1">
        <v>0</v>
      </c>
      <c r="S54" s="1">
        <v>0</v>
      </c>
      <c r="U54" s="1">
        <v>0</v>
      </c>
      <c r="V54" s="9">
        <v>0</v>
      </c>
    </row>
    <row r="55" spans="1:22">
      <c r="A55" s="1" t="s">
        <v>76</v>
      </c>
      <c r="B55" s="6">
        <v>-166976.67762263305</v>
      </c>
      <c r="C55" s="1">
        <v>5488.4104744430515</v>
      </c>
      <c r="D55" s="1">
        <v>0</v>
      </c>
      <c r="E55" s="1">
        <v>0</v>
      </c>
      <c r="F55" s="1">
        <v>0</v>
      </c>
      <c r="G55" s="9">
        <f>SUM(WV_FINANCIAL)</f>
        <v>-161488.26714819</v>
      </c>
      <c r="L55" s="6">
        <v>1941321</v>
      </c>
      <c r="M55" s="1">
        <v>2453052</v>
      </c>
      <c r="O55" s="1">
        <v>293679</v>
      </c>
      <c r="P55" s="1">
        <v>342842</v>
      </c>
      <c r="R55" s="1">
        <v>0</v>
      </c>
      <c r="S55" s="1">
        <v>26</v>
      </c>
      <c r="U55" s="1">
        <v>0</v>
      </c>
      <c r="V55" s="9">
        <v>0</v>
      </c>
    </row>
    <row r="56" spans="1:22">
      <c r="A56" s="1" t="s">
        <v>77</v>
      </c>
      <c r="B56" s="6">
        <v>-214135.48902724078</v>
      </c>
      <c r="C56" s="1">
        <v>-2508.1168325306571</v>
      </c>
      <c r="D56" s="1">
        <v>0</v>
      </c>
      <c r="E56" s="1">
        <v>0</v>
      </c>
      <c r="F56" s="1">
        <v>0</v>
      </c>
      <c r="G56" s="9">
        <f>SUM(WI_FINANCIAL)</f>
        <v>-216643.60585977143</v>
      </c>
      <c r="L56" s="6"/>
      <c r="V56" s="9"/>
    </row>
    <row r="57" spans="1:22">
      <c r="A57" s="1" t="s">
        <v>78</v>
      </c>
      <c r="B57" s="6">
        <v>-19653.392962780898</v>
      </c>
      <c r="C57" s="1">
        <v>-9385.4296371706732</v>
      </c>
      <c r="D57" s="1">
        <v>0</v>
      </c>
      <c r="E57" s="1">
        <v>0</v>
      </c>
      <c r="F57" s="1">
        <v>0</v>
      </c>
      <c r="G57" s="9">
        <f>SUM(WY_FINANCIAL)</f>
        <v>-29038.822599951571</v>
      </c>
      <c r="L57" s="6">
        <v>182226</v>
      </c>
      <c r="M57" s="1">
        <v>282636</v>
      </c>
      <c r="O57" s="1">
        <v>67454</v>
      </c>
      <c r="P57" s="1">
        <v>104537</v>
      </c>
      <c r="R57" s="1">
        <v>0</v>
      </c>
      <c r="S57" s="1">
        <v>0</v>
      </c>
      <c r="U57" s="1">
        <v>0</v>
      </c>
      <c r="V57" s="9">
        <v>0</v>
      </c>
    </row>
    <row r="58" spans="1:22">
      <c r="A58" s="1" t="s">
        <v>79</v>
      </c>
      <c r="B58" s="6">
        <v>0</v>
      </c>
      <c r="C58" s="1">
        <v>0</v>
      </c>
      <c r="D58" s="1">
        <v>0</v>
      </c>
      <c r="E58" s="1">
        <v>0</v>
      </c>
      <c r="F58" s="1">
        <v>0</v>
      </c>
      <c r="G58" s="9">
        <f>SUM(OT_FINANCIAL)</f>
        <v>0</v>
      </c>
      <c r="L58" s="6"/>
      <c r="V58" s="9"/>
    </row>
    <row r="59" spans="1:22">
      <c r="B59" s="6"/>
      <c r="G59" s="9"/>
      <c r="L59" s="6"/>
      <c r="V59" s="9"/>
    </row>
    <row r="60" spans="1:22">
      <c r="A60" s="1" t="s">
        <v>8</v>
      </c>
      <c r="B60" s="6">
        <f>SUM(LIFE)</f>
        <v>-12441718.913903382</v>
      </c>
      <c r="C60" s="1">
        <f>SUM(ALLOCATED)</f>
        <v>-59570.761363521255</v>
      </c>
      <c r="D60" s="1">
        <f>SUM(HEALTH)</f>
        <v>0</v>
      </c>
      <c r="E60" s="1">
        <f>SUM(UNALLOCATED)</f>
        <v>0</v>
      </c>
      <c r="F60" s="1">
        <f>SUM(LTC)</f>
        <v>0</v>
      </c>
      <c r="G60" s="9">
        <f>SUM(ALL_BLOCKS)</f>
        <v>-12501289.675266903</v>
      </c>
      <c r="L60" s="6">
        <f>SUM(LIFE_CALLED)</f>
        <v>122437040</v>
      </c>
      <c r="M60" s="1">
        <f>SUM(LIFE_REFUNDED)</f>
        <v>92956402.418200001</v>
      </c>
      <c r="O60" s="1">
        <f>SUM(ALLOC_CALLED)</f>
        <v>13028405</v>
      </c>
      <c r="P60" s="1">
        <f>SUM(ALLOC_REFUNDED)</f>
        <v>7287007.0312000001</v>
      </c>
      <c r="R60" s="1">
        <f>SUM(HEALTH_CALLED)</f>
        <v>141544</v>
      </c>
      <c r="S60" s="1">
        <f>SUM(HEALTH_REFUNDED)</f>
        <v>161507.8406</v>
      </c>
      <c r="U60" s="1">
        <f>SUM(UNALLOC_CALLED)</f>
        <v>0</v>
      </c>
      <c r="V60" s="9">
        <f>SUM(UNALLOC_REFUNDED)</f>
        <v>0</v>
      </c>
    </row>
    <row r="61" spans="1:22" ht="5.0999999999999996" customHeight="1">
      <c r="B61" s="6"/>
      <c r="G61" s="9"/>
      <c r="L61" s="6"/>
      <c r="V61" s="9"/>
    </row>
    <row r="62" spans="1:22">
      <c r="B62" s="6"/>
      <c r="G62" s="9"/>
      <c r="L62" s="78" t="s">
        <v>80</v>
      </c>
      <c r="M62" s="79"/>
      <c r="N62" s="79"/>
      <c r="O62" s="79"/>
      <c r="P62" s="79"/>
      <c r="Q62" s="79"/>
      <c r="R62" s="79"/>
      <c r="S62" s="79"/>
      <c r="T62" s="79"/>
      <c r="U62" s="79"/>
      <c r="V62" s="80"/>
    </row>
    <row r="63" spans="1:22">
      <c r="B63" s="6"/>
      <c r="G63" s="9"/>
      <c r="L63" s="81"/>
      <c r="M63" s="79"/>
      <c r="N63" s="79"/>
      <c r="O63" s="79"/>
      <c r="P63" s="79"/>
      <c r="Q63" s="79"/>
      <c r="R63" s="79"/>
      <c r="S63" s="79"/>
      <c r="T63" s="79"/>
      <c r="U63" s="79"/>
      <c r="V63" s="80"/>
    </row>
    <row r="64" spans="1:22">
      <c r="B64" s="8"/>
      <c r="C64" s="5"/>
      <c r="D64" s="5"/>
      <c r="E64" s="5"/>
      <c r="F64" s="5"/>
      <c r="G64" s="11"/>
      <c r="L64" s="82"/>
      <c r="M64" s="83"/>
      <c r="N64" s="83"/>
      <c r="O64" s="83"/>
      <c r="P64" s="83"/>
      <c r="Q64" s="83"/>
      <c r="R64" s="83"/>
      <c r="S64" s="83"/>
      <c r="T64" s="83"/>
      <c r="U64" s="83"/>
      <c r="V64" s="84"/>
    </row>
  </sheetData>
  <mergeCells count="8">
    <mergeCell ref="L62:V64"/>
    <mergeCell ref="A1:G1"/>
    <mergeCell ref="B3:G3"/>
    <mergeCell ref="L3:V3"/>
    <mergeCell ref="L4:M4"/>
    <mergeCell ref="O4:P4"/>
    <mergeCell ref="R4:S4"/>
    <mergeCell ref="U4:V4"/>
  </mergeCells>
  <pageMargins left="0" right="0" top="0" bottom="0" header="0" footer="0"/>
  <pageSetup scale="48"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pageSetUpPr fitToPage="1"/>
  </sheetPr>
  <dimension ref="A1:V64"/>
  <sheetViews>
    <sheetView zoomScale="75" workbookViewId="0">
      <selection sqref="A1:G1"/>
    </sheetView>
  </sheetViews>
  <sheetFormatPr defaultColWidth="9.109375" defaultRowHeight="14.4"/>
  <cols>
    <col min="1" max="1" width="20" style="1" customWidth="1"/>
    <col min="2" max="7" width="15" style="1" customWidth="1"/>
    <col min="8" max="8" width="1" style="1" customWidth="1"/>
    <col min="9" max="9" width="30" style="1" customWidth="1"/>
    <col min="10" max="10" width="15" style="1" customWidth="1"/>
    <col min="11" max="11" width="1" style="1" customWidth="1"/>
    <col min="12" max="13" width="15" style="1" customWidth="1"/>
    <col min="14" max="14" width="1" style="1" customWidth="1"/>
    <col min="15" max="16" width="15" style="1" customWidth="1"/>
    <col min="17" max="17" width="1" style="1" customWidth="1"/>
    <col min="18" max="19" width="15" style="1" customWidth="1"/>
    <col min="20" max="20" width="1" style="1" customWidth="1"/>
    <col min="21" max="22" width="15" style="1" customWidth="1"/>
    <col min="23" max="23" width="9.109375" style="1" customWidth="1"/>
    <col min="24" max="16384" width="9.109375" style="1"/>
  </cols>
  <sheetData>
    <row r="1" spans="1:22">
      <c r="A1" s="85" t="s">
        <v>135</v>
      </c>
      <c r="B1" s="79"/>
      <c r="C1" s="79"/>
      <c r="D1" s="79"/>
      <c r="E1" s="79"/>
      <c r="F1" s="79"/>
      <c r="G1" s="79"/>
    </row>
    <row r="3" spans="1:22">
      <c r="B3" s="86" t="s">
        <v>1</v>
      </c>
      <c r="C3" s="87"/>
      <c r="D3" s="87"/>
      <c r="E3" s="87"/>
      <c r="F3" s="87"/>
      <c r="G3" s="88"/>
      <c r="L3" s="89" t="s">
        <v>2</v>
      </c>
      <c r="M3" s="90"/>
      <c r="N3" s="90"/>
      <c r="O3" s="90"/>
      <c r="P3" s="90"/>
      <c r="Q3" s="90"/>
      <c r="R3" s="90"/>
      <c r="S3" s="90"/>
      <c r="T3" s="90"/>
      <c r="U3" s="90"/>
      <c r="V3" s="91"/>
    </row>
    <row r="4" spans="1:22">
      <c r="B4" s="6"/>
      <c r="G4" s="9"/>
      <c r="L4" s="92" t="s">
        <v>3</v>
      </c>
      <c r="M4" s="93"/>
      <c r="N4" s="3"/>
      <c r="O4" s="94" t="s">
        <v>4</v>
      </c>
      <c r="P4" s="93"/>
      <c r="Q4" s="3"/>
      <c r="R4" s="94" t="s">
        <v>5</v>
      </c>
      <c r="S4" s="93"/>
      <c r="T4" s="3"/>
      <c r="U4" s="94" t="s">
        <v>6</v>
      </c>
      <c r="V4" s="95"/>
    </row>
    <row r="5" spans="1:22" ht="60" customHeight="1">
      <c r="B5" s="7" t="s">
        <v>3</v>
      </c>
      <c r="C5" s="4" t="s">
        <v>4</v>
      </c>
      <c r="D5" s="4" t="s">
        <v>5</v>
      </c>
      <c r="E5" s="4" t="s">
        <v>6</v>
      </c>
      <c r="F5" s="4" t="s">
        <v>7</v>
      </c>
      <c r="G5" s="10" t="s">
        <v>8</v>
      </c>
      <c r="L5" s="19" t="s">
        <v>9</v>
      </c>
      <c r="M5" s="18" t="s">
        <v>10</v>
      </c>
      <c r="N5" s="18"/>
      <c r="O5" s="18" t="s">
        <v>9</v>
      </c>
      <c r="P5" s="18" t="s">
        <v>10</v>
      </c>
      <c r="Q5" s="18"/>
      <c r="R5" s="18" t="s">
        <v>9</v>
      </c>
      <c r="S5" s="18" t="s">
        <v>10</v>
      </c>
      <c r="T5" s="18"/>
      <c r="U5" s="18" t="s">
        <v>9</v>
      </c>
      <c r="V5" s="20" t="s">
        <v>10</v>
      </c>
    </row>
    <row r="6" spans="1:22">
      <c r="A6" s="1" t="s">
        <v>11</v>
      </c>
      <c r="B6" s="6">
        <v>0</v>
      </c>
      <c r="C6" s="1">
        <v>0</v>
      </c>
      <c r="D6" s="1">
        <v>0</v>
      </c>
      <c r="E6" s="1">
        <v>0</v>
      </c>
      <c r="F6" s="1">
        <v>0</v>
      </c>
      <c r="G6" s="9">
        <f>SUM(AL_FINANCIAL)</f>
        <v>0</v>
      </c>
      <c r="L6" s="6"/>
      <c r="V6" s="9"/>
    </row>
    <row r="7" spans="1:22">
      <c r="A7" s="1" t="s">
        <v>12</v>
      </c>
      <c r="B7" s="6">
        <v>0</v>
      </c>
      <c r="C7" s="1">
        <v>0</v>
      </c>
      <c r="D7" s="1">
        <v>0</v>
      </c>
      <c r="E7" s="1">
        <v>0</v>
      </c>
      <c r="F7" s="1">
        <v>0</v>
      </c>
      <c r="G7" s="9">
        <f>SUM(AK_FINANCIAL)</f>
        <v>0</v>
      </c>
      <c r="I7" s="12"/>
      <c r="J7" s="15"/>
      <c r="L7" s="6"/>
      <c r="V7" s="9"/>
    </row>
    <row r="8" spans="1:22">
      <c r="A8" s="1" t="s">
        <v>13</v>
      </c>
      <c r="B8" s="6">
        <v>0</v>
      </c>
      <c r="C8" s="1">
        <v>0</v>
      </c>
      <c r="D8" s="1">
        <v>0</v>
      </c>
      <c r="E8" s="1">
        <v>0</v>
      </c>
      <c r="F8" s="1">
        <v>0</v>
      </c>
      <c r="G8" s="9">
        <f>SUM(AZ_FINANCIAL)</f>
        <v>0</v>
      </c>
      <c r="I8" s="13" t="s">
        <v>14</v>
      </c>
      <c r="J8" s="16"/>
      <c r="L8" s="6"/>
      <c r="V8" s="9"/>
    </row>
    <row r="9" spans="1:22">
      <c r="A9" s="1" t="s">
        <v>15</v>
      </c>
      <c r="B9" s="6">
        <v>0</v>
      </c>
      <c r="C9" s="1">
        <v>0</v>
      </c>
      <c r="D9" s="1">
        <v>0</v>
      </c>
      <c r="E9" s="1">
        <v>0</v>
      </c>
      <c r="F9" s="1">
        <v>0</v>
      </c>
      <c r="G9" s="9">
        <f>SUM(AR_FINANCIAL)</f>
        <v>0</v>
      </c>
      <c r="I9" s="13"/>
      <c r="J9" s="16"/>
      <c r="L9" s="6"/>
      <c r="V9" s="9"/>
    </row>
    <row r="10" spans="1:22">
      <c r="A10" s="1" t="s">
        <v>16</v>
      </c>
      <c r="B10" s="6">
        <v>0</v>
      </c>
      <c r="C10" s="1">
        <v>0</v>
      </c>
      <c r="D10" s="1">
        <v>0</v>
      </c>
      <c r="E10" s="1">
        <v>0</v>
      </c>
      <c r="F10" s="1">
        <v>0</v>
      </c>
      <c r="G10" s="9">
        <f>SUM(CA_FINANCIAL)</f>
        <v>0</v>
      </c>
      <c r="I10" s="13" t="s">
        <v>17</v>
      </c>
      <c r="J10" s="16">
        <v>46062952</v>
      </c>
      <c r="L10" s="6"/>
      <c r="V10" s="9"/>
    </row>
    <row r="11" spans="1:22">
      <c r="A11" s="1" t="s">
        <v>18</v>
      </c>
      <c r="B11" s="6">
        <v>0</v>
      </c>
      <c r="C11" s="1">
        <v>0</v>
      </c>
      <c r="D11" s="1">
        <v>0</v>
      </c>
      <c r="E11" s="1">
        <v>0</v>
      </c>
      <c r="F11" s="1">
        <v>0</v>
      </c>
      <c r="G11" s="9">
        <f>SUM(CO_FINANCIAL)</f>
        <v>0</v>
      </c>
      <c r="I11" s="13"/>
      <c r="J11" s="16"/>
      <c r="L11" s="6"/>
      <c r="V11" s="9"/>
    </row>
    <row r="12" spans="1:22">
      <c r="A12" s="1" t="s">
        <v>19</v>
      </c>
      <c r="B12" s="6">
        <v>0</v>
      </c>
      <c r="C12" s="1">
        <v>0</v>
      </c>
      <c r="D12" s="1">
        <v>0</v>
      </c>
      <c r="E12" s="1">
        <v>0</v>
      </c>
      <c r="F12" s="1">
        <v>0</v>
      </c>
      <c r="G12" s="9">
        <f>SUM(CT_FINANCIAL)</f>
        <v>0</v>
      </c>
      <c r="I12" s="13" t="s">
        <v>20</v>
      </c>
      <c r="J12" s="16"/>
      <c r="L12" s="6"/>
      <c r="V12" s="9"/>
    </row>
    <row r="13" spans="1:22">
      <c r="A13" s="1" t="s">
        <v>21</v>
      </c>
      <c r="B13" s="6">
        <v>0</v>
      </c>
      <c r="C13" s="1">
        <v>0</v>
      </c>
      <c r="D13" s="1">
        <v>0</v>
      </c>
      <c r="E13" s="1">
        <v>0</v>
      </c>
      <c r="F13" s="1">
        <v>0</v>
      </c>
      <c r="G13" s="9">
        <f>SUM(DE_FINANCIAL)</f>
        <v>0</v>
      </c>
      <c r="I13" s="13" t="s">
        <v>22</v>
      </c>
      <c r="J13" s="16">
        <v>48632182</v>
      </c>
      <c r="L13" s="6"/>
      <c r="V13" s="9"/>
    </row>
    <row r="14" spans="1:22">
      <c r="A14" s="1" t="s">
        <v>23</v>
      </c>
      <c r="B14" s="6">
        <v>0</v>
      </c>
      <c r="C14" s="1">
        <v>0</v>
      </c>
      <c r="D14" s="1">
        <v>0</v>
      </c>
      <c r="E14" s="1">
        <v>0</v>
      </c>
      <c r="F14" s="1">
        <v>0</v>
      </c>
      <c r="G14" s="9">
        <f>SUM(DC_FINANCIAL)</f>
        <v>0</v>
      </c>
      <c r="I14" s="13" t="s">
        <v>24</v>
      </c>
      <c r="J14" s="16">
        <v>6829875</v>
      </c>
      <c r="L14" s="6"/>
      <c r="V14" s="9"/>
    </row>
    <row r="15" spans="1:22">
      <c r="A15" s="1" t="s">
        <v>25</v>
      </c>
      <c r="B15" s="6">
        <v>0</v>
      </c>
      <c r="C15" s="1">
        <v>0</v>
      </c>
      <c r="D15" s="1">
        <v>0</v>
      </c>
      <c r="E15" s="1">
        <v>0</v>
      </c>
      <c r="F15" s="1">
        <v>0</v>
      </c>
      <c r="G15" s="9">
        <f>SUM(FL_FINANCIAL)</f>
        <v>0</v>
      </c>
      <c r="I15" s="13" t="s">
        <v>26</v>
      </c>
      <c r="J15" s="16">
        <v>0</v>
      </c>
      <c r="L15" s="6"/>
      <c r="V15" s="9"/>
    </row>
    <row r="16" spans="1:22">
      <c r="A16" s="1" t="s">
        <v>27</v>
      </c>
      <c r="B16" s="6">
        <v>0</v>
      </c>
      <c r="C16" s="1">
        <v>0</v>
      </c>
      <c r="D16" s="1">
        <v>0</v>
      </c>
      <c r="E16" s="1">
        <v>0</v>
      </c>
      <c r="F16" s="1">
        <v>0</v>
      </c>
      <c r="G16" s="9">
        <f>SUM(GA_FINANCIAL)</f>
        <v>0</v>
      </c>
      <c r="I16" s="13" t="s">
        <v>28</v>
      </c>
      <c r="J16" s="16">
        <v>0</v>
      </c>
      <c r="L16" s="6"/>
      <c r="V16" s="9"/>
    </row>
    <row r="17" spans="1:22">
      <c r="A17" s="1" t="s">
        <v>29</v>
      </c>
      <c r="B17" s="6">
        <v>0</v>
      </c>
      <c r="C17" s="1">
        <v>0</v>
      </c>
      <c r="D17" s="1">
        <v>0</v>
      </c>
      <c r="E17" s="1">
        <v>0</v>
      </c>
      <c r="F17" s="1">
        <v>0</v>
      </c>
      <c r="G17" s="9">
        <f>SUM(HI_FINANCIAL)</f>
        <v>0</v>
      </c>
      <c r="I17" s="13"/>
      <c r="J17" s="16"/>
      <c r="L17" s="6"/>
      <c r="V17" s="9"/>
    </row>
    <row r="18" spans="1:22">
      <c r="A18" s="1" t="s">
        <v>30</v>
      </c>
      <c r="B18" s="6">
        <v>0</v>
      </c>
      <c r="C18" s="1">
        <v>0</v>
      </c>
      <c r="D18" s="1">
        <v>0</v>
      </c>
      <c r="E18" s="1">
        <v>0</v>
      </c>
      <c r="F18" s="1">
        <v>0</v>
      </c>
      <c r="G18" s="9">
        <f>SUM(ID_FINANCIAL)</f>
        <v>0</v>
      </c>
      <c r="I18" s="13" t="s">
        <v>31</v>
      </c>
      <c r="J18" s="16"/>
      <c r="L18" s="6"/>
      <c r="V18" s="9"/>
    </row>
    <row r="19" spans="1:22">
      <c r="A19" s="1" t="s">
        <v>32</v>
      </c>
      <c r="B19" s="6">
        <v>0</v>
      </c>
      <c r="C19" s="1">
        <v>0</v>
      </c>
      <c r="D19" s="1">
        <v>9776890</v>
      </c>
      <c r="E19" s="1">
        <v>0</v>
      </c>
      <c r="F19" s="1">
        <v>0</v>
      </c>
      <c r="G19" s="9">
        <f>SUM(IL_FINANCIAL)</f>
        <v>9776890</v>
      </c>
      <c r="I19" s="13" t="s">
        <v>33</v>
      </c>
      <c r="J19" s="16">
        <v>0</v>
      </c>
      <c r="L19" s="6">
        <v>0</v>
      </c>
      <c r="M19" s="1">
        <v>0</v>
      </c>
      <c r="O19" s="1">
        <v>0</v>
      </c>
      <c r="P19" s="1">
        <v>0</v>
      </c>
      <c r="R19" s="1">
        <v>40000000</v>
      </c>
      <c r="S19" s="1">
        <v>0</v>
      </c>
      <c r="U19" s="1">
        <v>0</v>
      </c>
      <c r="V19" s="9">
        <v>0</v>
      </c>
    </row>
    <row r="20" spans="1:22">
      <c r="A20" s="1" t="s">
        <v>34</v>
      </c>
      <c r="B20" s="6">
        <v>0</v>
      </c>
      <c r="C20" s="1">
        <v>0</v>
      </c>
      <c r="D20" s="1">
        <v>0</v>
      </c>
      <c r="E20" s="1">
        <v>0</v>
      </c>
      <c r="F20" s="1">
        <v>0</v>
      </c>
      <c r="G20" s="9">
        <f>SUM(IN_FINANCIAL)</f>
        <v>0</v>
      </c>
      <c r="I20" s="13" t="s">
        <v>35</v>
      </c>
      <c r="J20" s="16">
        <v>46062952</v>
      </c>
      <c r="L20" s="6"/>
      <c r="V20" s="9"/>
    </row>
    <row r="21" spans="1:22">
      <c r="A21" s="1" t="s">
        <v>36</v>
      </c>
      <c r="B21" s="6">
        <v>0</v>
      </c>
      <c r="C21" s="1">
        <v>0</v>
      </c>
      <c r="D21" s="1">
        <v>0</v>
      </c>
      <c r="E21" s="1">
        <v>0</v>
      </c>
      <c r="F21" s="1">
        <v>0</v>
      </c>
      <c r="G21" s="9">
        <f>SUM(IA_FINANCIAL)</f>
        <v>0</v>
      </c>
      <c r="I21" s="13" t="s">
        <v>37</v>
      </c>
      <c r="J21" s="16"/>
      <c r="L21" s="6"/>
      <c r="V21" s="9"/>
    </row>
    <row r="22" spans="1:22">
      <c r="A22" s="1" t="s">
        <v>38</v>
      </c>
      <c r="B22" s="6">
        <v>0</v>
      </c>
      <c r="C22" s="1">
        <v>0</v>
      </c>
      <c r="D22" s="1">
        <v>0</v>
      </c>
      <c r="E22" s="1">
        <v>0</v>
      </c>
      <c r="F22" s="1">
        <v>0</v>
      </c>
      <c r="G22" s="9">
        <f>SUM(KS_FINANCIAL)</f>
        <v>0</v>
      </c>
      <c r="I22" s="13" t="s">
        <v>39</v>
      </c>
      <c r="J22" s="16">
        <v>0</v>
      </c>
      <c r="L22" s="6"/>
      <c r="V22" s="9"/>
    </row>
    <row r="23" spans="1:22">
      <c r="A23" s="1" t="s">
        <v>40</v>
      </c>
      <c r="B23" s="6">
        <v>0</v>
      </c>
      <c r="C23" s="1">
        <v>0</v>
      </c>
      <c r="D23" s="1">
        <v>0</v>
      </c>
      <c r="E23" s="1">
        <v>0</v>
      </c>
      <c r="F23" s="1">
        <v>0</v>
      </c>
      <c r="G23" s="9">
        <f>SUM(KY_FINANCIAL)</f>
        <v>0</v>
      </c>
      <c r="I23" s="13" t="s">
        <v>41</v>
      </c>
      <c r="J23" s="16"/>
      <c r="L23" s="6"/>
      <c r="V23" s="9"/>
    </row>
    <row r="24" spans="1:22">
      <c r="A24" s="1" t="s">
        <v>42</v>
      </c>
      <c r="B24" s="6">
        <v>0</v>
      </c>
      <c r="C24" s="1">
        <v>0</v>
      </c>
      <c r="D24" s="1">
        <v>0</v>
      </c>
      <c r="E24" s="1">
        <v>0</v>
      </c>
      <c r="F24" s="1">
        <v>0</v>
      </c>
      <c r="G24" s="9">
        <f>SUM(LA_FINANCIAL)</f>
        <v>0</v>
      </c>
      <c r="I24" s="13" t="s">
        <v>43</v>
      </c>
      <c r="J24" s="16">
        <v>45685167</v>
      </c>
      <c r="L24" s="6"/>
      <c r="V24" s="9"/>
    </row>
    <row r="25" spans="1:22">
      <c r="A25" s="1" t="s">
        <v>44</v>
      </c>
      <c r="B25" s="6">
        <v>0</v>
      </c>
      <c r="C25" s="1">
        <v>0</v>
      </c>
      <c r="D25" s="1">
        <v>0</v>
      </c>
      <c r="E25" s="1">
        <v>0</v>
      </c>
      <c r="F25" s="1">
        <v>0</v>
      </c>
      <c r="G25" s="9">
        <f>SUM(ME_FINANCIAL)</f>
        <v>0</v>
      </c>
      <c r="I25" s="13"/>
      <c r="J25" s="16"/>
      <c r="L25" s="6"/>
      <c r="V25" s="9"/>
    </row>
    <row r="26" spans="1:22">
      <c r="A26" s="1" t="s">
        <v>45</v>
      </c>
      <c r="B26" s="6">
        <v>0</v>
      </c>
      <c r="C26" s="1">
        <v>0</v>
      </c>
      <c r="D26" s="1">
        <v>0</v>
      </c>
      <c r="E26" s="1">
        <v>0</v>
      </c>
      <c r="F26" s="1">
        <v>0</v>
      </c>
      <c r="G26" s="9">
        <f>SUM(MD_FINANCIAL)</f>
        <v>0</v>
      </c>
      <c r="I26" s="13" t="s">
        <v>46</v>
      </c>
      <c r="J26" s="16">
        <f>SUM(ADD_FINANCIAL)-SUM(LESS_FINANCIAL)</f>
        <v>9776890</v>
      </c>
      <c r="L26" s="6"/>
      <c r="V26" s="9"/>
    </row>
    <row r="27" spans="1:22">
      <c r="A27" s="1" t="s">
        <v>47</v>
      </c>
      <c r="B27" s="6">
        <v>0</v>
      </c>
      <c r="C27" s="1">
        <v>0</v>
      </c>
      <c r="D27" s="1">
        <v>0</v>
      </c>
      <c r="E27" s="1">
        <v>0</v>
      </c>
      <c r="F27" s="1">
        <v>0</v>
      </c>
      <c r="G27" s="9">
        <f>SUM(MA_FINANCIAL)</f>
        <v>0</v>
      </c>
      <c r="I27" s="13" t="s">
        <v>48</v>
      </c>
      <c r="J27" s="16">
        <f>SUM(ALL_BLOCKS)</f>
        <v>9776890</v>
      </c>
      <c r="L27" s="6"/>
      <c r="V27" s="9"/>
    </row>
    <row r="28" spans="1:22">
      <c r="A28" s="1" t="s">
        <v>49</v>
      </c>
      <c r="B28" s="6">
        <v>0</v>
      </c>
      <c r="C28" s="1">
        <v>0</v>
      </c>
      <c r="D28" s="1">
        <v>0</v>
      </c>
      <c r="E28" s="1">
        <v>0</v>
      </c>
      <c r="F28" s="1">
        <v>0</v>
      </c>
      <c r="G28" s="9">
        <f>SUM(MI_FINANCIAL)</f>
        <v>0</v>
      </c>
      <c r="I28" s="14"/>
      <c r="J28" s="17"/>
      <c r="L28" s="6"/>
      <c r="V28" s="9"/>
    </row>
    <row r="29" spans="1:22">
      <c r="A29" s="1" t="s">
        <v>50</v>
      </c>
      <c r="B29" s="6">
        <v>0</v>
      </c>
      <c r="C29" s="1">
        <v>0</v>
      </c>
      <c r="D29" s="1">
        <v>0</v>
      </c>
      <c r="E29" s="1">
        <v>0</v>
      </c>
      <c r="F29" s="1">
        <v>0</v>
      </c>
      <c r="G29" s="9">
        <f>SUM(MN_FINANCIAL)</f>
        <v>0</v>
      </c>
      <c r="L29" s="6"/>
      <c r="V29" s="9"/>
    </row>
    <row r="30" spans="1:22">
      <c r="A30" s="1" t="s">
        <v>51</v>
      </c>
      <c r="B30" s="6">
        <v>0</v>
      </c>
      <c r="C30" s="1">
        <v>0</v>
      </c>
      <c r="D30" s="1">
        <v>0</v>
      </c>
      <c r="E30" s="1">
        <v>0</v>
      </c>
      <c r="F30" s="1">
        <v>0</v>
      </c>
      <c r="G30" s="9">
        <f>SUM(MS_FINANCIAL)</f>
        <v>0</v>
      </c>
      <c r="L30" s="6"/>
      <c r="V30" s="9"/>
    </row>
    <row r="31" spans="1:22">
      <c r="A31" s="1" t="s">
        <v>52</v>
      </c>
      <c r="B31" s="6">
        <v>0</v>
      </c>
      <c r="C31" s="1">
        <v>0</v>
      </c>
      <c r="D31" s="1">
        <v>0</v>
      </c>
      <c r="E31" s="1">
        <v>0</v>
      </c>
      <c r="F31" s="1">
        <v>0</v>
      </c>
      <c r="G31" s="9">
        <f>SUM(MO_FINANCIAL)</f>
        <v>0</v>
      </c>
      <c r="L31" s="6"/>
      <c r="V31" s="9"/>
    </row>
    <row r="32" spans="1:22">
      <c r="A32" s="1" t="s">
        <v>53</v>
      </c>
      <c r="B32" s="6">
        <v>0</v>
      </c>
      <c r="C32" s="1">
        <v>0</v>
      </c>
      <c r="D32" s="1">
        <v>0</v>
      </c>
      <c r="E32" s="1">
        <v>0</v>
      </c>
      <c r="F32" s="1">
        <v>0</v>
      </c>
      <c r="G32" s="9">
        <f>SUM(MT_FINANCIAL)</f>
        <v>0</v>
      </c>
      <c r="L32" s="6"/>
      <c r="V32" s="9"/>
    </row>
    <row r="33" spans="1:22">
      <c r="A33" s="1" t="s">
        <v>54</v>
      </c>
      <c r="B33" s="6">
        <v>0</v>
      </c>
      <c r="C33" s="1">
        <v>0</v>
      </c>
      <c r="D33" s="1">
        <v>0</v>
      </c>
      <c r="E33" s="1">
        <v>0</v>
      </c>
      <c r="F33" s="1">
        <v>0</v>
      </c>
      <c r="G33" s="9">
        <f>SUM(NE_FINANCIAL)</f>
        <v>0</v>
      </c>
      <c r="L33" s="6"/>
      <c r="V33" s="9"/>
    </row>
    <row r="34" spans="1:22">
      <c r="A34" s="1" t="s">
        <v>55</v>
      </c>
      <c r="B34" s="6">
        <v>0</v>
      </c>
      <c r="C34" s="1">
        <v>0</v>
      </c>
      <c r="D34" s="1">
        <v>0</v>
      </c>
      <c r="E34" s="1">
        <v>0</v>
      </c>
      <c r="F34" s="1">
        <v>0</v>
      </c>
      <c r="G34" s="9">
        <f>SUM(NV_FINANCIAL)</f>
        <v>0</v>
      </c>
      <c r="L34" s="6"/>
      <c r="V34" s="9"/>
    </row>
    <row r="35" spans="1:22">
      <c r="A35" s="1" t="s">
        <v>56</v>
      </c>
      <c r="B35" s="6">
        <v>0</v>
      </c>
      <c r="C35" s="1">
        <v>0</v>
      </c>
      <c r="D35" s="1">
        <v>0</v>
      </c>
      <c r="E35" s="1">
        <v>0</v>
      </c>
      <c r="F35" s="1">
        <v>0</v>
      </c>
      <c r="G35" s="9">
        <f>SUM(NH_FINANCIAL)</f>
        <v>0</v>
      </c>
      <c r="L35" s="6"/>
      <c r="V35" s="9"/>
    </row>
    <row r="36" spans="1:22">
      <c r="A36" s="1" t="s">
        <v>57</v>
      </c>
      <c r="B36" s="6">
        <v>0</v>
      </c>
      <c r="C36" s="1">
        <v>0</v>
      </c>
      <c r="D36" s="1">
        <v>0</v>
      </c>
      <c r="E36" s="1">
        <v>0</v>
      </c>
      <c r="F36" s="1">
        <v>0</v>
      </c>
      <c r="G36" s="9">
        <f>SUM(NJ_FINANCIAL)</f>
        <v>0</v>
      </c>
      <c r="L36" s="6"/>
      <c r="V36" s="9"/>
    </row>
    <row r="37" spans="1:22">
      <c r="A37" s="1" t="s">
        <v>58</v>
      </c>
      <c r="B37" s="6">
        <v>0</v>
      </c>
      <c r="C37" s="1">
        <v>0</v>
      </c>
      <c r="D37" s="1">
        <v>0</v>
      </c>
      <c r="E37" s="1">
        <v>0</v>
      </c>
      <c r="F37" s="1">
        <v>0</v>
      </c>
      <c r="G37" s="9">
        <f>SUM(NM_FINANCIAL)</f>
        <v>0</v>
      </c>
      <c r="L37" s="6"/>
      <c r="V37" s="9"/>
    </row>
    <row r="38" spans="1:22">
      <c r="A38" s="1" t="s">
        <v>59</v>
      </c>
      <c r="B38" s="6">
        <v>0</v>
      </c>
      <c r="C38" s="1">
        <v>0</v>
      </c>
      <c r="D38" s="1">
        <v>0</v>
      </c>
      <c r="E38" s="1">
        <v>0</v>
      </c>
      <c r="F38" s="1">
        <v>0</v>
      </c>
      <c r="G38" s="9">
        <f>SUM(NY_FINANCIAL)</f>
        <v>0</v>
      </c>
      <c r="L38" s="6"/>
      <c r="V38" s="9"/>
    </row>
    <row r="39" spans="1:22">
      <c r="A39" s="1" t="s">
        <v>60</v>
      </c>
      <c r="B39" s="6">
        <v>0</v>
      </c>
      <c r="C39" s="1">
        <v>0</v>
      </c>
      <c r="D39" s="1">
        <v>0</v>
      </c>
      <c r="E39" s="1">
        <v>0</v>
      </c>
      <c r="F39" s="1">
        <v>0</v>
      </c>
      <c r="G39" s="9">
        <f>SUM(NC_FINANCIAL)</f>
        <v>0</v>
      </c>
      <c r="L39" s="6"/>
      <c r="V39" s="9"/>
    </row>
    <row r="40" spans="1:22">
      <c r="A40" s="1" t="s">
        <v>61</v>
      </c>
      <c r="B40" s="6">
        <v>0</v>
      </c>
      <c r="C40" s="1">
        <v>0</v>
      </c>
      <c r="D40" s="1">
        <v>0</v>
      </c>
      <c r="E40" s="1">
        <v>0</v>
      </c>
      <c r="F40" s="1">
        <v>0</v>
      </c>
      <c r="G40" s="9">
        <f>SUM(ND_FINANCIAL)</f>
        <v>0</v>
      </c>
      <c r="L40" s="6"/>
      <c r="V40" s="9"/>
    </row>
    <row r="41" spans="1:22">
      <c r="A41" s="1" t="s">
        <v>62</v>
      </c>
      <c r="B41" s="6">
        <v>0</v>
      </c>
      <c r="C41" s="1">
        <v>0</v>
      </c>
      <c r="D41" s="1">
        <v>0</v>
      </c>
      <c r="E41" s="1">
        <v>0</v>
      </c>
      <c r="F41" s="1">
        <v>0</v>
      </c>
      <c r="G41" s="9">
        <f>SUM(OH_FINANCIAL)</f>
        <v>0</v>
      </c>
      <c r="L41" s="6"/>
      <c r="V41" s="9"/>
    </row>
    <row r="42" spans="1:22">
      <c r="A42" s="1" t="s">
        <v>63</v>
      </c>
      <c r="B42" s="6">
        <v>0</v>
      </c>
      <c r="C42" s="1">
        <v>0</v>
      </c>
      <c r="D42" s="1">
        <v>0</v>
      </c>
      <c r="E42" s="1">
        <v>0</v>
      </c>
      <c r="F42" s="1">
        <v>0</v>
      </c>
      <c r="G42" s="9">
        <f>SUM(OK_FINANCIAL)</f>
        <v>0</v>
      </c>
      <c r="L42" s="6"/>
      <c r="V42" s="9"/>
    </row>
    <row r="43" spans="1:22">
      <c r="A43" s="1" t="s">
        <v>64</v>
      </c>
      <c r="B43" s="6">
        <v>0</v>
      </c>
      <c r="C43" s="1">
        <v>0</v>
      </c>
      <c r="D43" s="1">
        <v>0</v>
      </c>
      <c r="E43" s="1">
        <v>0</v>
      </c>
      <c r="F43" s="1">
        <v>0</v>
      </c>
      <c r="G43" s="9">
        <f>SUM(OR_FINANCIAL)</f>
        <v>0</v>
      </c>
      <c r="L43" s="6"/>
      <c r="V43" s="9"/>
    </row>
    <row r="44" spans="1:22">
      <c r="A44" s="1" t="s">
        <v>65</v>
      </c>
      <c r="B44" s="6">
        <v>0</v>
      </c>
      <c r="C44" s="1">
        <v>0</v>
      </c>
      <c r="D44" s="1">
        <v>0</v>
      </c>
      <c r="E44" s="1">
        <v>0</v>
      </c>
      <c r="F44" s="1">
        <v>0</v>
      </c>
      <c r="G44" s="9">
        <f>SUM(PA_FINANCIAL)</f>
        <v>0</v>
      </c>
      <c r="L44" s="6"/>
      <c r="V44" s="9"/>
    </row>
    <row r="45" spans="1:22">
      <c r="A45" s="1" t="s">
        <v>66</v>
      </c>
      <c r="B45" s="6">
        <v>0</v>
      </c>
      <c r="C45" s="1">
        <v>0</v>
      </c>
      <c r="D45" s="1">
        <v>0</v>
      </c>
      <c r="E45" s="1">
        <v>0</v>
      </c>
      <c r="F45" s="1">
        <v>0</v>
      </c>
      <c r="G45" s="9">
        <f>SUM(PR_FINANCIAL)</f>
        <v>0</v>
      </c>
      <c r="L45" s="6"/>
      <c r="V45" s="9"/>
    </row>
    <row r="46" spans="1:22">
      <c r="A46" s="1" t="s">
        <v>67</v>
      </c>
      <c r="B46" s="6">
        <v>0</v>
      </c>
      <c r="C46" s="1">
        <v>0</v>
      </c>
      <c r="D46" s="1">
        <v>0</v>
      </c>
      <c r="E46" s="1">
        <v>0</v>
      </c>
      <c r="F46" s="1">
        <v>0</v>
      </c>
      <c r="G46" s="9">
        <f>SUM(RI_FINANCIAL)</f>
        <v>0</v>
      </c>
      <c r="L46" s="6"/>
      <c r="V46" s="9"/>
    </row>
    <row r="47" spans="1:22">
      <c r="A47" s="1" t="s">
        <v>68</v>
      </c>
      <c r="B47" s="6">
        <v>0</v>
      </c>
      <c r="C47" s="1">
        <v>0</v>
      </c>
      <c r="D47" s="1">
        <v>0</v>
      </c>
      <c r="E47" s="1">
        <v>0</v>
      </c>
      <c r="F47" s="1">
        <v>0</v>
      </c>
      <c r="G47" s="9">
        <f>SUM(SC_FINANCIAL)</f>
        <v>0</v>
      </c>
      <c r="L47" s="6"/>
      <c r="V47" s="9"/>
    </row>
    <row r="48" spans="1:22">
      <c r="A48" s="1" t="s">
        <v>69</v>
      </c>
      <c r="B48" s="6">
        <v>0</v>
      </c>
      <c r="C48" s="1">
        <v>0</v>
      </c>
      <c r="D48" s="1">
        <v>0</v>
      </c>
      <c r="E48" s="1">
        <v>0</v>
      </c>
      <c r="F48" s="1">
        <v>0</v>
      </c>
      <c r="G48" s="9">
        <f>SUM(SD_FINANCIAL)</f>
        <v>0</v>
      </c>
      <c r="L48" s="6"/>
      <c r="V48" s="9"/>
    </row>
    <row r="49" spans="1:22">
      <c r="A49" s="1" t="s">
        <v>70</v>
      </c>
      <c r="B49" s="6">
        <v>0</v>
      </c>
      <c r="C49" s="1">
        <v>0</v>
      </c>
      <c r="D49" s="1">
        <v>0</v>
      </c>
      <c r="E49" s="1">
        <v>0</v>
      </c>
      <c r="F49" s="1">
        <v>0</v>
      </c>
      <c r="G49" s="9">
        <f>SUM(TN_FINANCIAL)</f>
        <v>0</v>
      </c>
      <c r="L49" s="6"/>
      <c r="V49" s="9"/>
    </row>
    <row r="50" spans="1:22">
      <c r="A50" s="1" t="s">
        <v>71</v>
      </c>
      <c r="B50" s="6">
        <v>0</v>
      </c>
      <c r="C50" s="1">
        <v>0</v>
      </c>
      <c r="D50" s="1">
        <v>0</v>
      </c>
      <c r="E50" s="1">
        <v>0</v>
      </c>
      <c r="F50" s="1">
        <v>0</v>
      </c>
      <c r="G50" s="9">
        <f>SUM(TX_FINANCIAL)</f>
        <v>0</v>
      </c>
      <c r="L50" s="6"/>
      <c r="V50" s="9"/>
    </row>
    <row r="51" spans="1:22">
      <c r="A51" s="1" t="s">
        <v>72</v>
      </c>
      <c r="B51" s="6">
        <v>0</v>
      </c>
      <c r="C51" s="1">
        <v>0</v>
      </c>
      <c r="D51" s="1">
        <v>0</v>
      </c>
      <c r="E51" s="1">
        <v>0</v>
      </c>
      <c r="F51" s="1">
        <v>0</v>
      </c>
      <c r="G51" s="9">
        <f>SUM(UT_FINANCIAL)</f>
        <v>0</v>
      </c>
      <c r="L51" s="6"/>
      <c r="V51" s="9"/>
    </row>
    <row r="52" spans="1:22">
      <c r="A52" s="1" t="s">
        <v>73</v>
      </c>
      <c r="B52" s="6">
        <v>0</v>
      </c>
      <c r="C52" s="1">
        <v>0</v>
      </c>
      <c r="D52" s="1">
        <v>0</v>
      </c>
      <c r="E52" s="1">
        <v>0</v>
      </c>
      <c r="F52" s="1">
        <v>0</v>
      </c>
      <c r="G52" s="9">
        <f>SUM(VT_FINANCIAL)</f>
        <v>0</v>
      </c>
      <c r="L52" s="6"/>
      <c r="V52" s="9"/>
    </row>
    <row r="53" spans="1:22">
      <c r="A53" s="1" t="s">
        <v>74</v>
      </c>
      <c r="B53" s="6">
        <v>0</v>
      </c>
      <c r="C53" s="1">
        <v>0</v>
      </c>
      <c r="D53" s="1">
        <v>0</v>
      </c>
      <c r="E53" s="1">
        <v>0</v>
      </c>
      <c r="F53" s="1">
        <v>0</v>
      </c>
      <c r="G53" s="9">
        <f>SUM(VA_FINANCIAL)</f>
        <v>0</v>
      </c>
      <c r="L53" s="6"/>
      <c r="V53" s="9"/>
    </row>
    <row r="54" spans="1:22">
      <c r="A54" s="1" t="s">
        <v>75</v>
      </c>
      <c r="B54" s="6">
        <v>0</v>
      </c>
      <c r="C54" s="1">
        <v>0</v>
      </c>
      <c r="D54" s="1">
        <v>0</v>
      </c>
      <c r="E54" s="1">
        <v>0</v>
      </c>
      <c r="F54" s="1">
        <v>0</v>
      </c>
      <c r="G54" s="9">
        <f>SUM(WA_FINANCIAL)</f>
        <v>0</v>
      </c>
      <c r="L54" s="6"/>
      <c r="V54" s="9"/>
    </row>
    <row r="55" spans="1:22">
      <c r="A55" s="1" t="s">
        <v>76</v>
      </c>
      <c r="B55" s="6">
        <v>0</v>
      </c>
      <c r="C55" s="1">
        <v>0</v>
      </c>
      <c r="D55" s="1">
        <v>0</v>
      </c>
      <c r="E55" s="1">
        <v>0</v>
      </c>
      <c r="F55" s="1">
        <v>0</v>
      </c>
      <c r="G55" s="9">
        <f>SUM(WV_FINANCIAL)</f>
        <v>0</v>
      </c>
      <c r="L55" s="6"/>
      <c r="V55" s="9"/>
    </row>
    <row r="56" spans="1:22">
      <c r="A56" s="1" t="s">
        <v>77</v>
      </c>
      <c r="B56" s="6">
        <v>0</v>
      </c>
      <c r="C56" s="1">
        <v>0</v>
      </c>
      <c r="D56" s="1">
        <v>0</v>
      </c>
      <c r="E56" s="1">
        <v>0</v>
      </c>
      <c r="F56" s="1">
        <v>0</v>
      </c>
      <c r="G56" s="9">
        <f>SUM(WI_FINANCIAL)</f>
        <v>0</v>
      </c>
      <c r="L56" s="6"/>
      <c r="V56" s="9"/>
    </row>
    <row r="57" spans="1:22">
      <c r="A57" s="1" t="s">
        <v>78</v>
      </c>
      <c r="B57" s="6">
        <v>0</v>
      </c>
      <c r="C57" s="1">
        <v>0</v>
      </c>
      <c r="D57" s="1">
        <v>0</v>
      </c>
      <c r="E57" s="1">
        <v>0</v>
      </c>
      <c r="F57" s="1">
        <v>0</v>
      </c>
      <c r="G57" s="9">
        <f>SUM(WY_FINANCIAL)</f>
        <v>0</v>
      </c>
      <c r="L57" s="6"/>
      <c r="V57" s="9"/>
    </row>
    <row r="58" spans="1:22">
      <c r="A58" s="1" t="s">
        <v>79</v>
      </c>
      <c r="B58" s="6">
        <v>0</v>
      </c>
      <c r="C58" s="1">
        <v>0</v>
      </c>
      <c r="D58" s="1">
        <v>0</v>
      </c>
      <c r="E58" s="1">
        <v>0</v>
      </c>
      <c r="F58" s="1">
        <v>0</v>
      </c>
      <c r="G58" s="9">
        <f>SUM(OT_FINANCIAL)</f>
        <v>0</v>
      </c>
      <c r="L58" s="6"/>
      <c r="V58" s="9"/>
    </row>
    <row r="59" spans="1:22">
      <c r="B59" s="6"/>
      <c r="G59" s="9"/>
      <c r="L59" s="6"/>
      <c r="V59" s="9"/>
    </row>
    <row r="60" spans="1:22">
      <c r="A60" s="1" t="s">
        <v>8</v>
      </c>
      <c r="B60" s="6">
        <f>SUM(LIFE)</f>
        <v>0</v>
      </c>
      <c r="C60" s="1">
        <f>SUM(ALLOCATED)</f>
        <v>0</v>
      </c>
      <c r="D60" s="1">
        <f>SUM(HEALTH)</f>
        <v>9776890</v>
      </c>
      <c r="E60" s="1">
        <f>SUM(UNALLOCATED)</f>
        <v>0</v>
      </c>
      <c r="F60" s="1">
        <f>SUM(LTC)</f>
        <v>0</v>
      </c>
      <c r="G60" s="9">
        <f>SUM(ALL_BLOCKS)</f>
        <v>9776890</v>
      </c>
      <c r="L60" s="6">
        <f>SUM(LIFE_CALLED)</f>
        <v>0</v>
      </c>
      <c r="M60" s="1">
        <f>SUM(LIFE_REFUNDED)</f>
        <v>0</v>
      </c>
      <c r="O60" s="1">
        <f>SUM(ALLOC_CALLED)</f>
        <v>0</v>
      </c>
      <c r="P60" s="1">
        <f>SUM(ALLOC_REFUNDED)</f>
        <v>0</v>
      </c>
      <c r="R60" s="1">
        <f>SUM(HEALTH_CALLED)</f>
        <v>40000000</v>
      </c>
      <c r="S60" s="1">
        <f>SUM(HEALTH_REFUNDED)</f>
        <v>0</v>
      </c>
      <c r="U60" s="1">
        <f>SUM(UNALLOC_CALLED)</f>
        <v>0</v>
      </c>
      <c r="V60" s="9">
        <f>SUM(UNALLOC_REFUNDED)</f>
        <v>0</v>
      </c>
    </row>
    <row r="61" spans="1:22" ht="5.0999999999999996" customHeight="1">
      <c r="B61" s="6"/>
      <c r="G61" s="9"/>
      <c r="L61" s="6"/>
      <c r="V61" s="9"/>
    </row>
    <row r="62" spans="1:22">
      <c r="B62" s="6"/>
      <c r="G62" s="9"/>
      <c r="L62" s="78" t="s">
        <v>80</v>
      </c>
      <c r="M62" s="79"/>
      <c r="N62" s="79"/>
      <c r="O62" s="79"/>
      <c r="P62" s="79"/>
      <c r="Q62" s="79"/>
      <c r="R62" s="79"/>
      <c r="S62" s="79"/>
      <c r="T62" s="79"/>
      <c r="U62" s="79"/>
      <c r="V62" s="80"/>
    </row>
    <row r="63" spans="1:22">
      <c r="B63" s="6"/>
      <c r="G63" s="9"/>
      <c r="L63" s="81"/>
      <c r="M63" s="79"/>
      <c r="N63" s="79"/>
      <c r="O63" s="79"/>
      <c r="P63" s="79"/>
      <c r="Q63" s="79"/>
      <c r="R63" s="79"/>
      <c r="S63" s="79"/>
      <c r="T63" s="79"/>
      <c r="U63" s="79"/>
      <c r="V63" s="80"/>
    </row>
    <row r="64" spans="1:22">
      <c r="B64" s="8"/>
      <c r="C64" s="5"/>
      <c r="D64" s="5"/>
      <c r="E64" s="5"/>
      <c r="F64" s="5"/>
      <c r="G64" s="11"/>
      <c r="L64" s="82"/>
      <c r="M64" s="83"/>
      <c r="N64" s="83"/>
      <c r="O64" s="83"/>
      <c r="P64" s="83"/>
      <c r="Q64" s="83"/>
      <c r="R64" s="83"/>
      <c r="S64" s="83"/>
      <c r="T64" s="83"/>
      <c r="U64" s="83"/>
      <c r="V64" s="84"/>
    </row>
  </sheetData>
  <mergeCells count="8">
    <mergeCell ref="L62:V64"/>
    <mergeCell ref="A1:G1"/>
    <mergeCell ref="B3:G3"/>
    <mergeCell ref="L3:V3"/>
    <mergeCell ref="L4:M4"/>
    <mergeCell ref="O4:P4"/>
    <mergeCell ref="R4:S4"/>
    <mergeCell ref="U4:V4"/>
  </mergeCells>
  <pageMargins left="0" right="0" top="0" bottom="0" header="0" footer="0"/>
  <pageSetup scale="48"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pageSetUpPr fitToPage="1"/>
  </sheetPr>
  <dimension ref="A1:V64"/>
  <sheetViews>
    <sheetView zoomScale="75" workbookViewId="0">
      <selection sqref="A1:G1"/>
    </sheetView>
  </sheetViews>
  <sheetFormatPr defaultColWidth="9.109375" defaultRowHeight="14.4"/>
  <cols>
    <col min="1" max="1" width="20" style="1" customWidth="1"/>
    <col min="2" max="7" width="15" style="1" customWidth="1"/>
    <col min="8" max="8" width="1" style="1" customWidth="1"/>
    <col min="9" max="9" width="30" style="1" customWidth="1"/>
    <col min="10" max="10" width="15" style="1" customWidth="1"/>
    <col min="11" max="11" width="1" style="1" customWidth="1"/>
    <col min="12" max="13" width="15" style="1" customWidth="1"/>
    <col min="14" max="14" width="1" style="1" customWidth="1"/>
    <col min="15" max="16" width="15" style="1" customWidth="1"/>
    <col min="17" max="17" width="1" style="1" customWidth="1"/>
    <col min="18" max="19" width="15" style="1" customWidth="1"/>
    <col min="20" max="20" width="1" style="1" customWidth="1"/>
    <col min="21" max="22" width="15" style="1" customWidth="1"/>
    <col min="23" max="23" width="9.109375" style="1" customWidth="1"/>
    <col min="24" max="16384" width="9.109375" style="1"/>
  </cols>
  <sheetData>
    <row r="1" spans="1:22">
      <c r="A1" s="85" t="s">
        <v>136</v>
      </c>
      <c r="B1" s="79"/>
      <c r="C1" s="79"/>
      <c r="D1" s="79"/>
      <c r="E1" s="79"/>
      <c r="F1" s="79"/>
      <c r="G1" s="79"/>
    </row>
    <row r="3" spans="1:22">
      <c r="B3" s="86" t="s">
        <v>1</v>
      </c>
      <c r="C3" s="87"/>
      <c r="D3" s="87"/>
      <c r="E3" s="87"/>
      <c r="F3" s="87"/>
      <c r="G3" s="88"/>
      <c r="L3" s="89" t="s">
        <v>2</v>
      </c>
      <c r="M3" s="90"/>
      <c r="N3" s="90"/>
      <c r="O3" s="90"/>
      <c r="P3" s="90"/>
      <c r="Q3" s="90"/>
      <c r="R3" s="90"/>
      <c r="S3" s="90"/>
      <c r="T3" s="90"/>
      <c r="U3" s="90"/>
      <c r="V3" s="91"/>
    </row>
    <row r="4" spans="1:22">
      <c r="B4" s="6"/>
      <c r="G4" s="9"/>
      <c r="L4" s="92" t="s">
        <v>3</v>
      </c>
      <c r="M4" s="93"/>
      <c r="N4" s="3"/>
      <c r="O4" s="94" t="s">
        <v>4</v>
      </c>
      <c r="P4" s="93"/>
      <c r="Q4" s="3"/>
      <c r="R4" s="94" t="s">
        <v>5</v>
      </c>
      <c r="S4" s="93"/>
      <c r="T4" s="3"/>
      <c r="U4" s="94" t="s">
        <v>6</v>
      </c>
      <c r="V4" s="95"/>
    </row>
    <row r="5" spans="1:22" ht="60" customHeight="1">
      <c r="B5" s="7" t="s">
        <v>3</v>
      </c>
      <c r="C5" s="4" t="s">
        <v>4</v>
      </c>
      <c r="D5" s="4" t="s">
        <v>5</v>
      </c>
      <c r="E5" s="4" t="s">
        <v>6</v>
      </c>
      <c r="F5" s="4" t="s">
        <v>7</v>
      </c>
      <c r="G5" s="10" t="s">
        <v>8</v>
      </c>
      <c r="L5" s="19" t="s">
        <v>9</v>
      </c>
      <c r="M5" s="18" t="s">
        <v>10</v>
      </c>
      <c r="N5" s="18"/>
      <c r="O5" s="18" t="s">
        <v>9</v>
      </c>
      <c r="P5" s="18" t="s">
        <v>10</v>
      </c>
      <c r="Q5" s="18"/>
      <c r="R5" s="18" t="s">
        <v>9</v>
      </c>
      <c r="S5" s="18" t="s">
        <v>10</v>
      </c>
      <c r="T5" s="18"/>
      <c r="U5" s="18" t="s">
        <v>9</v>
      </c>
      <c r="V5" s="20" t="s">
        <v>10</v>
      </c>
    </row>
    <row r="6" spans="1:22">
      <c r="A6" s="1" t="s">
        <v>11</v>
      </c>
      <c r="B6" s="6">
        <v>0</v>
      </c>
      <c r="C6" s="1">
        <v>0</v>
      </c>
      <c r="D6" s="1">
        <v>856.71483357993566</v>
      </c>
      <c r="E6" s="1">
        <v>0</v>
      </c>
      <c r="F6" s="1">
        <v>0</v>
      </c>
      <c r="G6" s="9">
        <f>SUM(AL_FINANCIAL)</f>
        <v>856.71483357993566</v>
      </c>
      <c r="L6" s="6"/>
      <c r="V6" s="9"/>
    </row>
    <row r="7" spans="1:22">
      <c r="A7" s="1" t="s">
        <v>12</v>
      </c>
      <c r="B7" s="6">
        <v>0</v>
      </c>
      <c r="C7" s="1">
        <v>0</v>
      </c>
      <c r="D7" s="1">
        <v>20.860000000000014</v>
      </c>
      <c r="E7" s="1">
        <v>0</v>
      </c>
      <c r="F7" s="1">
        <v>0</v>
      </c>
      <c r="G7" s="9">
        <f>SUM(AK_FINANCIAL)</f>
        <v>20.860000000000014</v>
      </c>
      <c r="I7" s="12"/>
      <c r="J7" s="15"/>
      <c r="L7" s="6"/>
      <c r="V7" s="9"/>
    </row>
    <row r="8" spans="1:22">
      <c r="A8" s="1" t="s">
        <v>13</v>
      </c>
      <c r="B8" s="6">
        <v>0</v>
      </c>
      <c r="C8" s="1">
        <v>0</v>
      </c>
      <c r="D8" s="1">
        <v>88311.61309055821</v>
      </c>
      <c r="E8" s="1">
        <v>0</v>
      </c>
      <c r="F8" s="1">
        <v>0</v>
      </c>
      <c r="G8" s="9">
        <f>SUM(AZ_FINANCIAL)</f>
        <v>88311.61309055821</v>
      </c>
      <c r="I8" s="13" t="s">
        <v>14</v>
      </c>
      <c r="J8" s="16"/>
      <c r="L8" s="6"/>
      <c r="V8" s="9"/>
    </row>
    <row r="9" spans="1:22">
      <c r="A9" s="1" t="s">
        <v>15</v>
      </c>
      <c r="B9" s="6">
        <v>0</v>
      </c>
      <c r="C9" s="1">
        <v>0</v>
      </c>
      <c r="D9" s="1">
        <v>413.68608711907655</v>
      </c>
      <c r="E9" s="1">
        <v>0</v>
      </c>
      <c r="F9" s="1">
        <v>0</v>
      </c>
      <c r="G9" s="9">
        <f>SUM(AR_FINANCIAL)</f>
        <v>413.68608711907655</v>
      </c>
      <c r="I9" s="13"/>
      <c r="J9" s="16"/>
      <c r="L9" s="6"/>
      <c r="V9" s="9"/>
    </row>
    <row r="10" spans="1:22">
      <c r="A10" s="1" t="s">
        <v>16</v>
      </c>
      <c r="B10" s="6">
        <v>0</v>
      </c>
      <c r="C10" s="1">
        <v>0</v>
      </c>
      <c r="D10" s="1">
        <v>6982.6016947443131</v>
      </c>
      <c r="E10" s="1">
        <v>0</v>
      </c>
      <c r="F10" s="1">
        <v>0</v>
      </c>
      <c r="G10" s="9">
        <f>SUM(CA_FINANCIAL)</f>
        <v>6982.6016947443131</v>
      </c>
      <c r="I10" s="13" t="s">
        <v>17</v>
      </c>
      <c r="J10" s="16">
        <v>2633693.4740727684</v>
      </c>
      <c r="L10" s="6">
        <v>0</v>
      </c>
      <c r="M10" s="1">
        <v>0</v>
      </c>
      <c r="O10" s="1">
        <v>0</v>
      </c>
      <c r="P10" s="1">
        <v>0</v>
      </c>
      <c r="R10" s="1">
        <v>150000</v>
      </c>
      <c r="S10" s="1">
        <v>0</v>
      </c>
      <c r="U10" s="1">
        <v>0</v>
      </c>
      <c r="V10" s="9">
        <v>0</v>
      </c>
    </row>
    <row r="11" spans="1:22">
      <c r="A11" s="1" t="s">
        <v>18</v>
      </c>
      <c r="B11" s="6">
        <v>0</v>
      </c>
      <c r="C11" s="1">
        <v>0</v>
      </c>
      <c r="D11" s="1">
        <v>8637.2477088680025</v>
      </c>
      <c r="E11" s="1">
        <v>0</v>
      </c>
      <c r="F11" s="1">
        <v>0</v>
      </c>
      <c r="G11" s="9">
        <f>SUM(CO_FINANCIAL)</f>
        <v>8637.2477088680025</v>
      </c>
      <c r="I11" s="13"/>
      <c r="J11" s="16"/>
      <c r="L11" s="6">
        <v>0</v>
      </c>
      <c r="M11" s="1">
        <v>0</v>
      </c>
      <c r="O11" s="1">
        <v>0</v>
      </c>
      <c r="P11" s="1">
        <v>0</v>
      </c>
      <c r="R11" s="1">
        <v>84325</v>
      </c>
      <c r="S11" s="1">
        <v>0</v>
      </c>
      <c r="U11" s="1">
        <v>0</v>
      </c>
      <c r="V11" s="9">
        <v>0</v>
      </c>
    </row>
    <row r="12" spans="1:22">
      <c r="A12" s="1" t="s">
        <v>19</v>
      </c>
      <c r="B12" s="6">
        <v>0</v>
      </c>
      <c r="C12" s="1">
        <v>0</v>
      </c>
      <c r="D12" s="1">
        <v>28719.732587284438</v>
      </c>
      <c r="E12" s="1">
        <v>0</v>
      </c>
      <c r="F12" s="1">
        <v>0</v>
      </c>
      <c r="G12" s="9">
        <f>SUM(CT_FINANCIAL)</f>
        <v>28719.732587284438</v>
      </c>
      <c r="I12" s="13" t="s">
        <v>20</v>
      </c>
      <c r="J12" s="16"/>
      <c r="L12" s="6"/>
      <c r="V12" s="9"/>
    </row>
    <row r="13" spans="1:22">
      <c r="A13" s="1" t="s">
        <v>21</v>
      </c>
      <c r="B13" s="6">
        <v>0</v>
      </c>
      <c r="C13" s="1">
        <v>0</v>
      </c>
      <c r="D13" s="1">
        <v>-0.22000000000116415</v>
      </c>
      <c r="E13" s="1">
        <v>0</v>
      </c>
      <c r="F13" s="1">
        <v>0</v>
      </c>
      <c r="G13" s="9">
        <f>SUM(DE_FINANCIAL)</f>
        <v>-0.22000000000116415</v>
      </c>
      <c r="I13" s="13" t="s">
        <v>22</v>
      </c>
      <c r="J13" s="16">
        <v>2633693.4740727684</v>
      </c>
      <c r="L13" s="6"/>
      <c r="V13" s="9"/>
    </row>
    <row r="14" spans="1:22">
      <c r="A14" s="1" t="s">
        <v>23</v>
      </c>
      <c r="B14" s="6">
        <v>0</v>
      </c>
      <c r="C14" s="1">
        <v>0</v>
      </c>
      <c r="D14" s="1">
        <v>45.511601004182239</v>
      </c>
      <c r="E14" s="1">
        <v>0</v>
      </c>
      <c r="F14" s="1">
        <v>0</v>
      </c>
      <c r="G14" s="9">
        <f>SUM(DC_FINANCIAL)</f>
        <v>45.511601004182239</v>
      </c>
      <c r="I14" s="13" t="s">
        <v>24</v>
      </c>
      <c r="J14" s="16">
        <v>1250118.9409999999</v>
      </c>
      <c r="L14" s="6"/>
      <c r="V14" s="9"/>
    </row>
    <row r="15" spans="1:22">
      <c r="A15" s="1" t="s">
        <v>25</v>
      </c>
      <c r="B15" s="6">
        <v>0</v>
      </c>
      <c r="C15" s="1">
        <v>0</v>
      </c>
      <c r="D15" s="1">
        <v>20424.381565688789</v>
      </c>
      <c r="E15" s="1">
        <v>0</v>
      </c>
      <c r="F15" s="1">
        <v>0</v>
      </c>
      <c r="G15" s="9">
        <f>SUM(FL_FINANCIAL)</f>
        <v>20424.381565688789</v>
      </c>
      <c r="I15" s="13" t="s">
        <v>26</v>
      </c>
      <c r="J15" s="16">
        <v>809341.54661038483</v>
      </c>
      <c r="L15" s="6"/>
      <c r="V15" s="9"/>
    </row>
    <row r="16" spans="1:22">
      <c r="A16" s="1" t="s">
        <v>27</v>
      </c>
      <c r="B16" s="6">
        <v>0</v>
      </c>
      <c r="C16" s="1">
        <v>0</v>
      </c>
      <c r="D16" s="1">
        <v>42946.74624899507</v>
      </c>
      <c r="E16" s="1">
        <v>0</v>
      </c>
      <c r="F16" s="1">
        <v>0</v>
      </c>
      <c r="G16" s="9">
        <f>SUM(GA_FINANCIAL)</f>
        <v>42946.74624899507</v>
      </c>
      <c r="I16" s="13" t="s">
        <v>28</v>
      </c>
      <c r="J16" s="16">
        <v>0</v>
      </c>
      <c r="L16" s="6"/>
      <c r="V16" s="9"/>
    </row>
    <row r="17" spans="1:22">
      <c r="A17" s="1" t="s">
        <v>29</v>
      </c>
      <c r="B17" s="6">
        <v>0</v>
      </c>
      <c r="C17" s="1">
        <v>0</v>
      </c>
      <c r="D17" s="1">
        <v>6477.8515839003958</v>
      </c>
      <c r="E17" s="1">
        <v>0</v>
      </c>
      <c r="F17" s="1">
        <v>0</v>
      </c>
      <c r="G17" s="9">
        <f>SUM(HI_FINANCIAL)</f>
        <v>6477.8515839003958</v>
      </c>
      <c r="I17" s="13"/>
      <c r="J17" s="16"/>
      <c r="L17" s="6"/>
      <c r="V17" s="9"/>
    </row>
    <row r="18" spans="1:22">
      <c r="A18" s="1" t="s">
        <v>30</v>
      </c>
      <c r="B18" s="6">
        <v>0</v>
      </c>
      <c r="C18" s="1">
        <v>0</v>
      </c>
      <c r="D18" s="1">
        <v>-69145.544477746706</v>
      </c>
      <c r="E18" s="1">
        <v>0</v>
      </c>
      <c r="F18" s="1">
        <v>0</v>
      </c>
      <c r="G18" s="9">
        <f>SUM(ID_FINANCIAL)</f>
        <v>-69145.544477746706</v>
      </c>
      <c r="I18" s="13" t="s">
        <v>31</v>
      </c>
      <c r="J18" s="16"/>
      <c r="L18" s="6"/>
      <c r="V18" s="9"/>
    </row>
    <row r="19" spans="1:22">
      <c r="A19" s="1" t="s">
        <v>32</v>
      </c>
      <c r="B19" s="6">
        <v>0</v>
      </c>
      <c r="C19" s="1">
        <v>0</v>
      </c>
      <c r="D19" s="1">
        <v>3568.5423792631191</v>
      </c>
      <c r="E19" s="1">
        <v>0</v>
      </c>
      <c r="F19" s="1">
        <v>0</v>
      </c>
      <c r="G19" s="9">
        <f>SUM(IL_FINANCIAL)</f>
        <v>3568.5423792631191</v>
      </c>
      <c r="I19" s="13" t="s">
        <v>33</v>
      </c>
      <c r="J19" s="16">
        <v>0</v>
      </c>
      <c r="L19" s="6"/>
      <c r="V19" s="9"/>
    </row>
    <row r="20" spans="1:22">
      <c r="A20" s="1" t="s">
        <v>34</v>
      </c>
      <c r="B20" s="6">
        <v>0</v>
      </c>
      <c r="C20" s="1">
        <v>0</v>
      </c>
      <c r="D20" s="1">
        <v>1465.035867672681</v>
      </c>
      <c r="E20" s="1">
        <v>0</v>
      </c>
      <c r="F20" s="1">
        <v>0</v>
      </c>
      <c r="G20" s="9">
        <f>SUM(IN_FINANCIAL)</f>
        <v>1465.035867672681</v>
      </c>
      <c r="I20" s="13" t="s">
        <v>35</v>
      </c>
      <c r="J20" s="16">
        <v>2633693.4740727684</v>
      </c>
      <c r="L20" s="6"/>
      <c r="V20" s="9"/>
    </row>
    <row r="21" spans="1:22">
      <c r="A21" s="1" t="s">
        <v>36</v>
      </c>
      <c r="B21" s="6">
        <v>0</v>
      </c>
      <c r="C21" s="1">
        <v>0</v>
      </c>
      <c r="D21" s="1">
        <v>39.110017103784458</v>
      </c>
      <c r="E21" s="1">
        <v>0</v>
      </c>
      <c r="F21" s="1">
        <v>0</v>
      </c>
      <c r="G21" s="9">
        <f>SUM(IA_FINANCIAL)</f>
        <v>39.110017103784458</v>
      </c>
      <c r="I21" s="13" t="s">
        <v>37</v>
      </c>
      <c r="J21" s="16"/>
      <c r="L21" s="6"/>
      <c r="V21" s="9"/>
    </row>
    <row r="22" spans="1:22">
      <c r="A22" s="1" t="s">
        <v>38</v>
      </c>
      <c r="B22" s="6">
        <v>0</v>
      </c>
      <c r="C22" s="1">
        <v>0</v>
      </c>
      <c r="D22" s="1">
        <v>3950.6337616327946</v>
      </c>
      <c r="E22" s="1">
        <v>0</v>
      </c>
      <c r="F22" s="1">
        <v>0</v>
      </c>
      <c r="G22" s="9">
        <f>SUM(KS_FINANCIAL)</f>
        <v>3950.6337616327946</v>
      </c>
      <c r="I22" s="13" t="s">
        <v>39</v>
      </c>
      <c r="J22" s="16">
        <v>0</v>
      </c>
      <c r="L22" s="6"/>
      <c r="V22" s="9"/>
    </row>
    <row r="23" spans="1:22">
      <c r="A23" s="1" t="s">
        <v>40</v>
      </c>
      <c r="B23" s="6">
        <v>0</v>
      </c>
      <c r="C23" s="1">
        <v>0</v>
      </c>
      <c r="D23" s="1">
        <v>0</v>
      </c>
      <c r="E23" s="1">
        <v>0</v>
      </c>
      <c r="F23" s="1">
        <v>0</v>
      </c>
      <c r="G23" s="9">
        <f>SUM(KY_FINANCIAL)</f>
        <v>0</v>
      </c>
      <c r="I23" s="13" t="s">
        <v>41</v>
      </c>
      <c r="J23" s="16"/>
      <c r="L23" s="6"/>
      <c r="V23" s="9"/>
    </row>
    <row r="24" spans="1:22">
      <c r="A24" s="1" t="s">
        <v>42</v>
      </c>
      <c r="B24" s="6">
        <v>0</v>
      </c>
      <c r="C24" s="1">
        <v>0</v>
      </c>
      <c r="D24" s="1">
        <v>7994.3628219039965</v>
      </c>
      <c r="E24" s="1">
        <v>0</v>
      </c>
      <c r="F24" s="1">
        <v>0</v>
      </c>
      <c r="G24" s="9">
        <f>SUM(LA_FINANCIAL)</f>
        <v>7994.3628219039965</v>
      </c>
      <c r="I24" s="13" t="s">
        <v>43</v>
      </c>
      <c r="J24" s="16">
        <v>4282186.4452284491</v>
      </c>
      <c r="L24" s="6"/>
      <c r="V24" s="9"/>
    </row>
    <row r="25" spans="1:22">
      <c r="A25" s="1" t="s">
        <v>44</v>
      </c>
      <c r="B25" s="6">
        <v>0</v>
      </c>
      <c r="C25" s="1">
        <v>0</v>
      </c>
      <c r="D25" s="1">
        <v>1.0544520542907776</v>
      </c>
      <c r="E25" s="1">
        <v>0</v>
      </c>
      <c r="F25" s="1">
        <v>0</v>
      </c>
      <c r="G25" s="9">
        <f>SUM(ME_FINANCIAL)</f>
        <v>1.0544520542907776</v>
      </c>
      <c r="I25" s="13"/>
      <c r="J25" s="16"/>
      <c r="L25" s="6"/>
      <c r="V25" s="9"/>
    </row>
    <row r="26" spans="1:22">
      <c r="A26" s="1" t="s">
        <v>45</v>
      </c>
      <c r="B26" s="6">
        <v>0</v>
      </c>
      <c r="C26" s="1">
        <v>0</v>
      </c>
      <c r="D26" s="1">
        <v>1785.7890830002325</v>
      </c>
      <c r="E26" s="1">
        <v>0</v>
      </c>
      <c r="F26" s="1">
        <v>0</v>
      </c>
      <c r="G26" s="9">
        <f>SUM(MD_FINANCIAL)</f>
        <v>1785.7890830002325</v>
      </c>
      <c r="I26" s="13" t="s">
        <v>46</v>
      </c>
      <c r="J26" s="16">
        <f>SUM(ADD_FINANCIAL)-SUM(LESS_FINANCIAL)</f>
        <v>410967.51645470411</v>
      </c>
      <c r="L26" s="6"/>
      <c r="V26" s="9"/>
    </row>
    <row r="27" spans="1:22">
      <c r="A27" s="1" t="s">
        <v>47</v>
      </c>
      <c r="B27" s="6">
        <v>0</v>
      </c>
      <c r="C27" s="1">
        <v>0</v>
      </c>
      <c r="D27" s="1">
        <v>27997.620158274367</v>
      </c>
      <c r="E27" s="1">
        <v>0</v>
      </c>
      <c r="F27" s="1">
        <v>0</v>
      </c>
      <c r="G27" s="9">
        <f>SUM(MA_FINANCIAL)</f>
        <v>27997.620158274367</v>
      </c>
      <c r="I27" s="13" t="s">
        <v>48</v>
      </c>
      <c r="J27" s="16">
        <f>SUM(ALL_BLOCKS)</f>
        <v>410967.5164547048</v>
      </c>
      <c r="L27" s="6"/>
      <c r="V27" s="9"/>
    </row>
    <row r="28" spans="1:22">
      <c r="A28" s="1" t="s">
        <v>49</v>
      </c>
      <c r="B28" s="6">
        <v>0</v>
      </c>
      <c r="C28" s="1">
        <v>0</v>
      </c>
      <c r="D28" s="1">
        <v>7253.9965041472751</v>
      </c>
      <c r="E28" s="1">
        <v>0</v>
      </c>
      <c r="F28" s="1">
        <v>0</v>
      </c>
      <c r="G28" s="9">
        <f>SUM(MI_FINANCIAL)</f>
        <v>7253.9965041472751</v>
      </c>
      <c r="I28" s="14"/>
      <c r="J28" s="17"/>
      <c r="L28" s="6"/>
      <c r="V28" s="9"/>
    </row>
    <row r="29" spans="1:22">
      <c r="A29" s="1" t="s">
        <v>50</v>
      </c>
      <c r="B29" s="6">
        <v>0</v>
      </c>
      <c r="C29" s="1">
        <v>0</v>
      </c>
      <c r="D29" s="1">
        <v>203.14225160933984</v>
      </c>
      <c r="E29" s="1">
        <v>0</v>
      </c>
      <c r="F29" s="1">
        <v>0</v>
      </c>
      <c r="G29" s="9">
        <f>SUM(MN_FINANCIAL)</f>
        <v>203.14225160933984</v>
      </c>
      <c r="L29" s="6"/>
      <c r="V29" s="9"/>
    </row>
    <row r="30" spans="1:22">
      <c r="A30" s="1" t="s">
        <v>51</v>
      </c>
      <c r="B30" s="6">
        <v>0</v>
      </c>
      <c r="C30" s="1">
        <v>0</v>
      </c>
      <c r="D30" s="1">
        <v>9480.009755476698</v>
      </c>
      <c r="E30" s="1">
        <v>0</v>
      </c>
      <c r="F30" s="1">
        <v>0</v>
      </c>
      <c r="G30" s="9">
        <f>SUM(MS_FINANCIAL)</f>
        <v>9480.009755476698</v>
      </c>
      <c r="L30" s="6"/>
      <c r="V30" s="9"/>
    </row>
    <row r="31" spans="1:22">
      <c r="A31" s="1" t="s">
        <v>52</v>
      </c>
      <c r="B31" s="6">
        <v>0</v>
      </c>
      <c r="C31" s="1">
        <v>0</v>
      </c>
      <c r="D31" s="1">
        <v>8641.6924702854958</v>
      </c>
      <c r="E31" s="1">
        <v>0</v>
      </c>
      <c r="F31" s="1">
        <v>0</v>
      </c>
      <c r="G31" s="9">
        <f>SUM(MO_FINANCIAL)</f>
        <v>8641.6924702854958</v>
      </c>
      <c r="L31" s="6"/>
      <c r="V31" s="9"/>
    </row>
    <row r="32" spans="1:22">
      <c r="A32" s="1" t="s">
        <v>53</v>
      </c>
      <c r="B32" s="6">
        <v>0</v>
      </c>
      <c r="C32" s="1">
        <v>0</v>
      </c>
      <c r="D32" s="1">
        <v>23630.333346471998</v>
      </c>
      <c r="E32" s="1">
        <v>0</v>
      </c>
      <c r="F32" s="1">
        <v>0</v>
      </c>
      <c r="G32" s="9">
        <f>SUM(MT_FINANCIAL)</f>
        <v>23630.333346471998</v>
      </c>
      <c r="L32" s="6"/>
      <c r="V32" s="9"/>
    </row>
    <row r="33" spans="1:22">
      <c r="A33" s="1" t="s">
        <v>54</v>
      </c>
      <c r="B33" s="6">
        <v>0</v>
      </c>
      <c r="C33" s="1">
        <v>0</v>
      </c>
      <c r="D33" s="1">
        <v>0</v>
      </c>
      <c r="E33" s="1">
        <v>0</v>
      </c>
      <c r="F33" s="1">
        <v>0</v>
      </c>
      <c r="G33" s="9">
        <f>SUM(NE_FINANCIAL)</f>
        <v>0</v>
      </c>
      <c r="L33" s="6"/>
      <c r="V33" s="9"/>
    </row>
    <row r="34" spans="1:22">
      <c r="A34" s="1" t="s">
        <v>55</v>
      </c>
      <c r="B34" s="6">
        <v>0</v>
      </c>
      <c r="C34" s="1">
        <v>0</v>
      </c>
      <c r="D34" s="1">
        <v>468.56105302173</v>
      </c>
      <c r="E34" s="1">
        <v>0</v>
      </c>
      <c r="F34" s="1">
        <v>0</v>
      </c>
      <c r="G34" s="9">
        <f>SUM(NV_FINANCIAL)</f>
        <v>468.56105302173</v>
      </c>
      <c r="L34" s="6"/>
      <c r="V34" s="9"/>
    </row>
    <row r="35" spans="1:22">
      <c r="A35" s="1" t="s">
        <v>56</v>
      </c>
      <c r="B35" s="6">
        <v>0</v>
      </c>
      <c r="C35" s="1">
        <v>0</v>
      </c>
      <c r="D35" s="1">
        <v>40132.869999999995</v>
      </c>
      <c r="E35" s="1">
        <v>0</v>
      </c>
      <c r="F35" s="1">
        <v>0</v>
      </c>
      <c r="G35" s="9">
        <f>SUM(NH_FINANCIAL)</f>
        <v>40132.869999999995</v>
      </c>
      <c r="L35" s="6"/>
      <c r="V35" s="9"/>
    </row>
    <row r="36" spans="1:22">
      <c r="A36" s="1" t="s">
        <v>57</v>
      </c>
      <c r="B36" s="6">
        <v>0</v>
      </c>
      <c r="C36" s="1">
        <v>0</v>
      </c>
      <c r="D36" s="1">
        <v>769.08855270943059</v>
      </c>
      <c r="E36" s="1">
        <v>0</v>
      </c>
      <c r="F36" s="1">
        <v>0</v>
      </c>
      <c r="G36" s="9">
        <f>SUM(NJ_FINANCIAL)</f>
        <v>769.08855270943059</v>
      </c>
      <c r="L36" s="6"/>
      <c r="V36" s="9"/>
    </row>
    <row r="37" spans="1:22">
      <c r="A37" s="1" t="s">
        <v>58</v>
      </c>
      <c r="B37" s="6">
        <v>0</v>
      </c>
      <c r="C37" s="1">
        <v>0</v>
      </c>
      <c r="D37" s="1">
        <v>5175.3278253209501</v>
      </c>
      <c r="E37" s="1">
        <v>0</v>
      </c>
      <c r="F37" s="1">
        <v>0</v>
      </c>
      <c r="G37" s="9">
        <f>SUM(NM_FINANCIAL)</f>
        <v>5175.3278253209501</v>
      </c>
      <c r="L37" s="6"/>
      <c r="V37" s="9"/>
    </row>
    <row r="38" spans="1:22">
      <c r="A38" s="1" t="s">
        <v>59</v>
      </c>
      <c r="B38" s="6">
        <v>0</v>
      </c>
      <c r="C38" s="1">
        <v>0</v>
      </c>
      <c r="D38" s="1">
        <v>0</v>
      </c>
      <c r="E38" s="1">
        <v>0</v>
      </c>
      <c r="F38" s="1">
        <v>0</v>
      </c>
      <c r="G38" s="9">
        <f>SUM(NY_FINANCIAL)</f>
        <v>0</v>
      </c>
      <c r="L38" s="6"/>
      <c r="V38" s="9"/>
    </row>
    <row r="39" spans="1:22">
      <c r="A39" s="1" t="s">
        <v>60</v>
      </c>
      <c r="B39" s="6">
        <v>0</v>
      </c>
      <c r="C39" s="1">
        <v>0</v>
      </c>
      <c r="D39" s="1">
        <v>0</v>
      </c>
      <c r="E39" s="1">
        <v>0</v>
      </c>
      <c r="F39" s="1">
        <v>0</v>
      </c>
      <c r="G39" s="9">
        <f>SUM(NC_FINANCIAL)</f>
        <v>0</v>
      </c>
      <c r="L39" s="6"/>
      <c r="V39" s="9"/>
    </row>
    <row r="40" spans="1:22">
      <c r="A40" s="1" t="s">
        <v>61</v>
      </c>
      <c r="B40" s="6">
        <v>0</v>
      </c>
      <c r="C40" s="1">
        <v>0</v>
      </c>
      <c r="D40" s="1">
        <v>-0.5</v>
      </c>
      <c r="E40" s="1">
        <v>0</v>
      </c>
      <c r="F40" s="1">
        <v>0</v>
      </c>
      <c r="G40" s="9">
        <f>SUM(ND_FINANCIAL)</f>
        <v>-0.5</v>
      </c>
      <c r="L40" s="6"/>
      <c r="V40" s="9"/>
    </row>
    <row r="41" spans="1:22">
      <c r="A41" s="1" t="s">
        <v>62</v>
      </c>
      <c r="B41" s="6">
        <v>0</v>
      </c>
      <c r="C41" s="1">
        <v>0</v>
      </c>
      <c r="D41" s="1">
        <v>1007.5539719394683</v>
      </c>
      <c r="E41" s="1">
        <v>0</v>
      </c>
      <c r="F41" s="1">
        <v>0</v>
      </c>
      <c r="G41" s="9">
        <f>SUM(OH_FINANCIAL)</f>
        <v>1007.5539719394683</v>
      </c>
      <c r="L41" s="6"/>
      <c r="V41" s="9"/>
    </row>
    <row r="42" spans="1:22">
      <c r="A42" s="1" t="s">
        <v>63</v>
      </c>
      <c r="B42" s="6">
        <v>0</v>
      </c>
      <c r="C42" s="1">
        <v>0</v>
      </c>
      <c r="D42" s="1">
        <v>279.79762361031317</v>
      </c>
      <c r="E42" s="1">
        <v>0</v>
      </c>
      <c r="F42" s="1">
        <v>0</v>
      </c>
      <c r="G42" s="9">
        <f>SUM(OK_FINANCIAL)</f>
        <v>279.79762361031317</v>
      </c>
      <c r="L42" s="6"/>
      <c r="V42" s="9"/>
    </row>
    <row r="43" spans="1:22">
      <c r="A43" s="1" t="s">
        <v>64</v>
      </c>
      <c r="B43" s="6">
        <v>0</v>
      </c>
      <c r="C43" s="1">
        <v>0</v>
      </c>
      <c r="D43" s="1">
        <v>10056.980478759</v>
      </c>
      <c r="E43" s="1">
        <v>0</v>
      </c>
      <c r="F43" s="1">
        <v>0</v>
      </c>
      <c r="G43" s="9">
        <f>SUM(OR_FINANCIAL)</f>
        <v>10056.980478759</v>
      </c>
      <c r="L43" s="6"/>
      <c r="V43" s="9"/>
    </row>
    <row r="44" spans="1:22">
      <c r="A44" s="1" t="s">
        <v>65</v>
      </c>
      <c r="B44" s="6">
        <v>0</v>
      </c>
      <c r="C44" s="1">
        <v>0</v>
      </c>
      <c r="D44" s="1">
        <v>1374.563721814935</v>
      </c>
      <c r="E44" s="1">
        <v>0</v>
      </c>
      <c r="F44" s="1">
        <v>0</v>
      </c>
      <c r="G44" s="9">
        <f>SUM(PA_FINANCIAL)</f>
        <v>1374.563721814935</v>
      </c>
      <c r="L44" s="6"/>
      <c r="V44" s="9"/>
    </row>
    <row r="45" spans="1:22">
      <c r="A45" s="1" t="s">
        <v>66</v>
      </c>
      <c r="B45" s="6">
        <v>0</v>
      </c>
      <c r="C45" s="1">
        <v>0</v>
      </c>
      <c r="D45" s="1">
        <v>0</v>
      </c>
      <c r="E45" s="1">
        <v>0</v>
      </c>
      <c r="F45" s="1">
        <v>0</v>
      </c>
      <c r="G45" s="9">
        <f>SUM(PR_FINANCIAL)</f>
        <v>0</v>
      </c>
      <c r="L45" s="6"/>
      <c r="V45" s="9"/>
    </row>
    <row r="46" spans="1:22">
      <c r="A46" s="1" t="s">
        <v>67</v>
      </c>
      <c r="B46" s="6">
        <v>0</v>
      </c>
      <c r="C46" s="1">
        <v>0</v>
      </c>
      <c r="D46" s="1">
        <v>120.64315062352807</v>
      </c>
      <c r="E46" s="1">
        <v>0</v>
      </c>
      <c r="F46" s="1">
        <v>0</v>
      </c>
      <c r="G46" s="9">
        <f>SUM(RI_FINANCIAL)</f>
        <v>120.64315062352807</v>
      </c>
      <c r="L46" s="6"/>
      <c r="V46" s="9"/>
    </row>
    <row r="47" spans="1:22">
      <c r="A47" s="1" t="s">
        <v>68</v>
      </c>
      <c r="B47" s="6">
        <v>0</v>
      </c>
      <c r="C47" s="1">
        <v>0</v>
      </c>
      <c r="D47" s="1">
        <v>7206.4948457720066</v>
      </c>
      <c r="E47" s="1">
        <v>0</v>
      </c>
      <c r="F47" s="1">
        <v>0</v>
      </c>
      <c r="G47" s="9">
        <f>SUM(SC_FINANCIAL)</f>
        <v>7206.4948457720066</v>
      </c>
      <c r="L47" s="6"/>
      <c r="V47" s="9"/>
    </row>
    <row r="48" spans="1:22">
      <c r="A48" s="1" t="s">
        <v>69</v>
      </c>
      <c r="B48" s="6">
        <v>0</v>
      </c>
      <c r="C48" s="1">
        <v>0</v>
      </c>
      <c r="D48" s="1">
        <v>13.241909239717643</v>
      </c>
      <c r="E48" s="1">
        <v>0</v>
      </c>
      <c r="F48" s="1">
        <v>0</v>
      </c>
      <c r="G48" s="9">
        <f>SUM(SD_FINANCIAL)</f>
        <v>13.241909239717643</v>
      </c>
      <c r="L48" s="6"/>
      <c r="V48" s="9"/>
    </row>
    <row r="49" spans="1:22">
      <c r="A49" s="1" t="s">
        <v>70</v>
      </c>
      <c r="B49" s="6">
        <v>0</v>
      </c>
      <c r="C49" s="1">
        <v>0</v>
      </c>
      <c r="D49" s="1">
        <v>1866.134117391508</v>
      </c>
      <c r="E49" s="1">
        <v>0</v>
      </c>
      <c r="F49" s="1">
        <v>0</v>
      </c>
      <c r="G49" s="9">
        <f>SUM(TN_FINANCIAL)</f>
        <v>1866.134117391508</v>
      </c>
      <c r="L49" s="6"/>
      <c r="V49" s="9"/>
    </row>
    <row r="50" spans="1:22">
      <c r="A50" s="1" t="s">
        <v>71</v>
      </c>
      <c r="B50" s="6">
        <v>0</v>
      </c>
      <c r="C50" s="1">
        <v>0</v>
      </c>
      <c r="D50" s="1">
        <v>-44795.091520482092</v>
      </c>
      <c r="E50" s="1">
        <v>0</v>
      </c>
      <c r="F50" s="1">
        <v>0</v>
      </c>
      <c r="G50" s="9">
        <f>SUM(TX_FINANCIAL)</f>
        <v>-44795.091520482092</v>
      </c>
      <c r="L50" s="6">
        <v>0</v>
      </c>
      <c r="M50" s="1">
        <v>0</v>
      </c>
      <c r="O50" s="1">
        <v>0</v>
      </c>
      <c r="P50" s="1">
        <v>0</v>
      </c>
      <c r="R50" s="1">
        <v>250000</v>
      </c>
      <c r="S50" s="1">
        <v>0</v>
      </c>
      <c r="U50" s="1">
        <v>0</v>
      </c>
      <c r="V50" s="9">
        <v>0</v>
      </c>
    </row>
    <row r="51" spans="1:22">
      <c r="A51" s="1" t="s">
        <v>72</v>
      </c>
      <c r="B51" s="6">
        <v>0</v>
      </c>
      <c r="C51" s="1">
        <v>0</v>
      </c>
      <c r="D51" s="1">
        <v>2139.1719344912381</v>
      </c>
      <c r="E51" s="1">
        <v>0</v>
      </c>
      <c r="F51" s="1">
        <v>0</v>
      </c>
      <c r="G51" s="9">
        <f>SUM(UT_FINANCIAL)</f>
        <v>2139.1719344912381</v>
      </c>
      <c r="L51" s="6"/>
      <c r="V51" s="9"/>
    </row>
    <row r="52" spans="1:22">
      <c r="A52" s="1" t="s">
        <v>73</v>
      </c>
      <c r="B52" s="6">
        <v>0</v>
      </c>
      <c r="C52" s="1">
        <v>0</v>
      </c>
      <c r="D52" s="1">
        <v>5.2790667782424521</v>
      </c>
      <c r="E52" s="1">
        <v>0</v>
      </c>
      <c r="F52" s="1">
        <v>0</v>
      </c>
      <c r="G52" s="9">
        <f>SUM(VT_FINANCIAL)</f>
        <v>5.2790667782424521</v>
      </c>
      <c r="L52" s="6"/>
      <c r="V52" s="9"/>
    </row>
    <row r="53" spans="1:22">
      <c r="A53" s="1" t="s">
        <v>74</v>
      </c>
      <c r="B53" s="6">
        <v>0</v>
      </c>
      <c r="C53" s="1">
        <v>0</v>
      </c>
      <c r="D53" s="1">
        <v>21458.533058939793</v>
      </c>
      <c r="E53" s="1">
        <v>0</v>
      </c>
      <c r="F53" s="1">
        <v>0</v>
      </c>
      <c r="G53" s="9">
        <f>SUM(VA_FINANCIAL)</f>
        <v>21458.533058939793</v>
      </c>
      <c r="L53" s="6"/>
      <c r="V53" s="9"/>
    </row>
    <row r="54" spans="1:22">
      <c r="A54" s="1" t="s">
        <v>75</v>
      </c>
      <c r="B54" s="6">
        <v>0</v>
      </c>
      <c r="C54" s="1">
        <v>0</v>
      </c>
      <c r="D54" s="1">
        <v>2195.7136992921878</v>
      </c>
      <c r="E54" s="1">
        <v>0</v>
      </c>
      <c r="F54" s="1">
        <v>0</v>
      </c>
      <c r="G54" s="9">
        <f>SUM(WA_FINANCIAL)</f>
        <v>2195.7136992921878</v>
      </c>
      <c r="L54" s="6"/>
      <c r="V54" s="9"/>
    </row>
    <row r="55" spans="1:22">
      <c r="A55" s="1" t="s">
        <v>76</v>
      </c>
      <c r="B55" s="6">
        <v>0</v>
      </c>
      <c r="C55" s="1">
        <v>0</v>
      </c>
      <c r="D55" s="1">
        <v>3323.1834244310448</v>
      </c>
      <c r="E55" s="1">
        <v>0</v>
      </c>
      <c r="F55" s="1">
        <v>0</v>
      </c>
      <c r="G55" s="9">
        <f>SUM(WV_FINANCIAL)</f>
        <v>3323.1834244310448</v>
      </c>
      <c r="L55" s="6">
        <v>0</v>
      </c>
      <c r="M55" s="1">
        <v>0</v>
      </c>
      <c r="O55" s="1">
        <v>0</v>
      </c>
      <c r="P55" s="1">
        <v>0</v>
      </c>
      <c r="R55" s="1">
        <v>100000</v>
      </c>
      <c r="S55" s="1">
        <v>0</v>
      </c>
      <c r="U55" s="1">
        <v>0</v>
      </c>
      <c r="V55" s="9">
        <v>0</v>
      </c>
    </row>
    <row r="56" spans="1:22">
      <c r="A56" s="1" t="s">
        <v>77</v>
      </c>
      <c r="B56" s="6">
        <v>0</v>
      </c>
      <c r="C56" s="1">
        <v>0</v>
      </c>
      <c r="D56" s="1">
        <v>126604.58872038173</v>
      </c>
      <c r="E56" s="1">
        <v>0</v>
      </c>
      <c r="F56" s="1">
        <v>0</v>
      </c>
      <c r="G56" s="9">
        <f>SUM(WI_FINANCIAL)</f>
        <v>126604.58872038173</v>
      </c>
      <c r="L56" s="6"/>
      <c r="V56" s="9"/>
    </row>
    <row r="57" spans="1:22">
      <c r="A57" s="1" t="s">
        <v>78</v>
      </c>
      <c r="B57" s="6">
        <v>0</v>
      </c>
      <c r="C57" s="1">
        <v>0</v>
      </c>
      <c r="D57" s="1">
        <v>862.87542777831914</v>
      </c>
      <c r="E57" s="1">
        <v>0</v>
      </c>
      <c r="F57" s="1">
        <v>0</v>
      </c>
      <c r="G57" s="9">
        <f>SUM(WY_FINANCIAL)</f>
        <v>862.87542777831914</v>
      </c>
      <c r="L57" s="6"/>
      <c r="V57" s="9"/>
    </row>
    <row r="58" spans="1:22">
      <c r="A58" s="1" t="s">
        <v>79</v>
      </c>
      <c r="B58" s="6">
        <v>0</v>
      </c>
      <c r="C58" s="1">
        <v>0</v>
      </c>
      <c r="D58" s="1">
        <v>0</v>
      </c>
      <c r="E58" s="1">
        <v>0</v>
      </c>
      <c r="F58" s="1">
        <v>0</v>
      </c>
      <c r="G58" s="9">
        <f>SUM(OT_FINANCIAL)</f>
        <v>0</v>
      </c>
      <c r="L58" s="6"/>
      <c r="V58" s="9"/>
    </row>
    <row r="59" spans="1:22">
      <c r="B59" s="6"/>
      <c r="G59" s="9"/>
      <c r="L59" s="6"/>
      <c r="V59" s="9"/>
    </row>
    <row r="60" spans="1:22">
      <c r="A60" s="1" t="s">
        <v>8</v>
      </c>
      <c r="B60" s="6">
        <f>SUM(LIFE)</f>
        <v>0</v>
      </c>
      <c r="C60" s="1">
        <f>SUM(ALLOCATED)</f>
        <v>0</v>
      </c>
      <c r="D60" s="1">
        <f>SUM(HEALTH)</f>
        <v>410967.5164547048</v>
      </c>
      <c r="E60" s="1">
        <f>SUM(UNALLOCATED)</f>
        <v>0</v>
      </c>
      <c r="F60" s="1">
        <f>SUM(LTC)</f>
        <v>0</v>
      </c>
      <c r="G60" s="9">
        <f>SUM(ALL_BLOCKS)</f>
        <v>410967.5164547048</v>
      </c>
      <c r="L60" s="6">
        <f>SUM(LIFE_CALLED)</f>
        <v>0</v>
      </c>
      <c r="M60" s="1">
        <f>SUM(LIFE_REFUNDED)</f>
        <v>0</v>
      </c>
      <c r="O60" s="1">
        <f>SUM(ALLOC_CALLED)</f>
        <v>0</v>
      </c>
      <c r="P60" s="1">
        <f>SUM(ALLOC_REFUNDED)</f>
        <v>0</v>
      </c>
      <c r="R60" s="1">
        <f>SUM(HEALTH_CALLED)</f>
        <v>584325</v>
      </c>
      <c r="S60" s="1">
        <f>SUM(HEALTH_REFUNDED)</f>
        <v>0</v>
      </c>
      <c r="U60" s="1">
        <f>SUM(UNALLOC_CALLED)</f>
        <v>0</v>
      </c>
      <c r="V60" s="9">
        <f>SUM(UNALLOC_REFUNDED)</f>
        <v>0</v>
      </c>
    </row>
    <row r="61" spans="1:22" ht="5.0999999999999996" customHeight="1">
      <c r="B61" s="6"/>
      <c r="G61" s="9"/>
      <c r="L61" s="6"/>
      <c r="V61" s="9"/>
    </row>
    <row r="62" spans="1:22">
      <c r="B62" s="6"/>
      <c r="G62" s="9"/>
      <c r="L62" s="78" t="s">
        <v>80</v>
      </c>
      <c r="M62" s="79"/>
      <c r="N62" s="79"/>
      <c r="O62" s="79"/>
      <c r="P62" s="79"/>
      <c r="Q62" s="79"/>
      <c r="R62" s="79"/>
      <c r="S62" s="79"/>
      <c r="T62" s="79"/>
      <c r="U62" s="79"/>
      <c r="V62" s="80"/>
    </row>
    <row r="63" spans="1:22">
      <c r="B63" s="6"/>
      <c r="G63" s="9"/>
      <c r="L63" s="81"/>
      <c r="M63" s="79"/>
      <c r="N63" s="79"/>
      <c r="O63" s="79"/>
      <c r="P63" s="79"/>
      <c r="Q63" s="79"/>
      <c r="R63" s="79"/>
      <c r="S63" s="79"/>
      <c r="T63" s="79"/>
      <c r="U63" s="79"/>
      <c r="V63" s="80"/>
    </row>
    <row r="64" spans="1:22">
      <c r="B64" s="8"/>
      <c r="C64" s="5"/>
      <c r="D64" s="5"/>
      <c r="E64" s="5"/>
      <c r="F64" s="5"/>
      <c r="G64" s="11"/>
      <c r="L64" s="82"/>
      <c r="M64" s="83"/>
      <c r="N64" s="83"/>
      <c r="O64" s="83"/>
      <c r="P64" s="83"/>
      <c r="Q64" s="83"/>
      <c r="R64" s="83"/>
      <c r="S64" s="83"/>
      <c r="T64" s="83"/>
      <c r="U64" s="83"/>
      <c r="V64" s="84"/>
    </row>
  </sheetData>
  <mergeCells count="8">
    <mergeCell ref="L62:V64"/>
    <mergeCell ref="A1:G1"/>
    <mergeCell ref="B3:G3"/>
    <mergeCell ref="L3:V3"/>
    <mergeCell ref="L4:M4"/>
    <mergeCell ref="O4:P4"/>
    <mergeCell ref="R4:S4"/>
    <mergeCell ref="U4:V4"/>
  </mergeCells>
  <pageMargins left="0" right="0" top="0" bottom="0" header="0" footer="0"/>
  <pageSetup scale="48"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pageSetUpPr fitToPage="1"/>
  </sheetPr>
  <dimension ref="A1:V64"/>
  <sheetViews>
    <sheetView zoomScale="75" workbookViewId="0">
      <selection sqref="A1:G1"/>
    </sheetView>
  </sheetViews>
  <sheetFormatPr defaultColWidth="9.109375" defaultRowHeight="14.4"/>
  <cols>
    <col min="1" max="1" width="20" style="1" customWidth="1"/>
    <col min="2" max="7" width="15" style="1" customWidth="1"/>
    <col min="8" max="8" width="1" style="1" customWidth="1"/>
    <col min="9" max="9" width="30" style="1" customWidth="1"/>
    <col min="10" max="10" width="15" style="1" customWidth="1"/>
    <col min="11" max="11" width="1" style="1" customWidth="1"/>
    <col min="12" max="13" width="15" style="1" customWidth="1"/>
    <col min="14" max="14" width="1" style="1" customWidth="1"/>
    <col min="15" max="16" width="15" style="1" customWidth="1"/>
    <col min="17" max="17" width="1" style="1" customWidth="1"/>
    <col min="18" max="19" width="15" style="1" customWidth="1"/>
    <col min="20" max="20" width="1" style="1" customWidth="1"/>
    <col min="21" max="22" width="15" style="1" customWidth="1"/>
    <col min="23" max="23" width="9.109375" style="1" customWidth="1"/>
    <col min="24" max="16384" width="9.109375" style="1"/>
  </cols>
  <sheetData>
    <row r="1" spans="1:22">
      <c r="A1" s="85" t="s">
        <v>137</v>
      </c>
      <c r="B1" s="79"/>
      <c r="C1" s="79"/>
      <c r="D1" s="79"/>
      <c r="E1" s="79"/>
      <c r="F1" s="79"/>
      <c r="G1" s="79"/>
    </row>
    <row r="3" spans="1:22">
      <c r="B3" s="86" t="s">
        <v>1</v>
      </c>
      <c r="C3" s="87"/>
      <c r="D3" s="87"/>
      <c r="E3" s="87"/>
      <c r="F3" s="87"/>
      <c r="G3" s="88"/>
      <c r="L3" s="89" t="s">
        <v>2</v>
      </c>
      <c r="M3" s="90"/>
      <c r="N3" s="90"/>
      <c r="O3" s="90"/>
      <c r="P3" s="90"/>
      <c r="Q3" s="90"/>
      <c r="R3" s="90"/>
      <c r="S3" s="90"/>
      <c r="T3" s="90"/>
      <c r="U3" s="90"/>
      <c r="V3" s="91"/>
    </row>
    <row r="4" spans="1:22">
      <c r="B4" s="6"/>
      <c r="G4" s="9"/>
      <c r="L4" s="92" t="s">
        <v>3</v>
      </c>
      <c r="M4" s="93"/>
      <c r="N4" s="3"/>
      <c r="O4" s="94" t="s">
        <v>4</v>
      </c>
      <c r="P4" s="93"/>
      <c r="Q4" s="3"/>
      <c r="R4" s="94" t="s">
        <v>5</v>
      </c>
      <c r="S4" s="93"/>
      <c r="T4" s="3"/>
      <c r="U4" s="94" t="s">
        <v>6</v>
      </c>
      <c r="V4" s="95"/>
    </row>
    <row r="5" spans="1:22" ht="60" customHeight="1">
      <c r="B5" s="7" t="s">
        <v>3</v>
      </c>
      <c r="C5" s="4" t="s">
        <v>4</v>
      </c>
      <c r="D5" s="4" t="s">
        <v>5</v>
      </c>
      <c r="E5" s="4" t="s">
        <v>6</v>
      </c>
      <c r="F5" s="4" t="s">
        <v>7</v>
      </c>
      <c r="G5" s="10" t="s">
        <v>8</v>
      </c>
      <c r="L5" s="19" t="s">
        <v>9</v>
      </c>
      <c r="M5" s="18" t="s">
        <v>10</v>
      </c>
      <c r="N5" s="18"/>
      <c r="O5" s="18" t="s">
        <v>9</v>
      </c>
      <c r="P5" s="18" t="s">
        <v>10</v>
      </c>
      <c r="Q5" s="18"/>
      <c r="R5" s="18" t="s">
        <v>9</v>
      </c>
      <c r="S5" s="18" t="s">
        <v>10</v>
      </c>
      <c r="T5" s="18"/>
      <c r="U5" s="18" t="s">
        <v>9</v>
      </c>
      <c r="V5" s="20" t="s">
        <v>10</v>
      </c>
    </row>
    <row r="6" spans="1:22">
      <c r="A6" s="1" t="s">
        <v>11</v>
      </c>
      <c r="B6" s="6">
        <v>22410.727217766453</v>
      </c>
      <c r="C6" s="1">
        <v>0</v>
      </c>
      <c r="D6" s="1">
        <v>215024.72540406079</v>
      </c>
      <c r="E6" s="1">
        <v>0</v>
      </c>
      <c r="F6" s="1">
        <v>0</v>
      </c>
      <c r="G6" s="9">
        <f>SUM(AL_FINANCIAL)</f>
        <v>237435.45262182725</v>
      </c>
      <c r="L6" s="6"/>
      <c r="V6" s="9"/>
    </row>
    <row r="7" spans="1:22">
      <c r="A7" s="1" t="s">
        <v>12</v>
      </c>
      <c r="B7" s="6">
        <v>0</v>
      </c>
      <c r="C7" s="1">
        <v>0</v>
      </c>
      <c r="D7" s="1">
        <v>0</v>
      </c>
      <c r="E7" s="1">
        <v>0</v>
      </c>
      <c r="F7" s="1">
        <v>0</v>
      </c>
      <c r="G7" s="9">
        <f>SUM(AK_FINANCIAL)</f>
        <v>0</v>
      </c>
      <c r="I7" s="12"/>
      <c r="J7" s="15"/>
      <c r="L7" s="6"/>
      <c r="V7" s="9"/>
    </row>
    <row r="8" spans="1:22">
      <c r="A8" s="1" t="s">
        <v>13</v>
      </c>
      <c r="B8" s="6">
        <v>12699.957917851687</v>
      </c>
      <c r="C8" s="1">
        <v>0</v>
      </c>
      <c r="D8" s="1">
        <v>1046786.1321183881</v>
      </c>
      <c r="E8" s="1">
        <v>0</v>
      </c>
      <c r="F8" s="1">
        <v>0</v>
      </c>
      <c r="G8" s="9">
        <f>SUM(AZ_FINANCIAL)</f>
        <v>1059486.0900362397</v>
      </c>
      <c r="I8" s="13" t="s">
        <v>14</v>
      </c>
      <c r="J8" s="16"/>
      <c r="L8" s="6"/>
      <c r="V8" s="9"/>
    </row>
    <row r="9" spans="1:22">
      <c r="A9" s="1" t="s">
        <v>15</v>
      </c>
      <c r="B9" s="6">
        <v>-80.326894284706214</v>
      </c>
      <c r="C9" s="1">
        <v>0</v>
      </c>
      <c r="D9" s="1">
        <v>-27022.558735608924</v>
      </c>
      <c r="E9" s="1">
        <v>0</v>
      </c>
      <c r="F9" s="1">
        <v>0</v>
      </c>
      <c r="G9" s="9">
        <f>SUM(AR_FINANCIAL)</f>
        <v>-27102.88562989363</v>
      </c>
      <c r="I9" s="13"/>
      <c r="J9" s="16"/>
      <c r="L9" s="6">
        <v>21578</v>
      </c>
      <c r="M9" s="1">
        <v>0</v>
      </c>
      <c r="O9" s="1">
        <v>0</v>
      </c>
      <c r="P9" s="1">
        <v>0</v>
      </c>
      <c r="R9" s="1">
        <v>0</v>
      </c>
      <c r="S9" s="1">
        <v>0</v>
      </c>
      <c r="U9" s="1">
        <v>0</v>
      </c>
      <c r="V9" s="9">
        <v>0</v>
      </c>
    </row>
    <row r="10" spans="1:22">
      <c r="A10" s="1" t="s">
        <v>16</v>
      </c>
      <c r="B10" s="6">
        <v>0</v>
      </c>
      <c r="C10" s="1">
        <v>0</v>
      </c>
      <c r="D10" s="1">
        <v>0</v>
      </c>
      <c r="E10" s="1">
        <v>0</v>
      </c>
      <c r="F10" s="1">
        <v>0</v>
      </c>
      <c r="G10" s="9">
        <f>SUM(CA_FINANCIAL)</f>
        <v>0</v>
      </c>
      <c r="I10" s="13" t="s">
        <v>17</v>
      </c>
      <c r="J10" s="16">
        <v>47709013</v>
      </c>
      <c r="L10" s="6"/>
      <c r="V10" s="9"/>
    </row>
    <row r="11" spans="1:22">
      <c r="A11" s="1" t="s">
        <v>18</v>
      </c>
      <c r="B11" s="6">
        <v>4127.0909452481401</v>
      </c>
      <c r="C11" s="1">
        <v>0</v>
      </c>
      <c r="D11" s="1">
        <v>278673.78959094128</v>
      </c>
      <c r="E11" s="1">
        <v>0</v>
      </c>
      <c r="F11" s="1">
        <v>0</v>
      </c>
      <c r="G11" s="9">
        <f>SUM(CO_FINANCIAL)</f>
        <v>282800.88053618942</v>
      </c>
      <c r="I11" s="13"/>
      <c r="J11" s="16"/>
      <c r="L11" s="6">
        <v>0</v>
      </c>
      <c r="M11" s="1">
        <v>0</v>
      </c>
      <c r="O11" s="1">
        <v>0</v>
      </c>
      <c r="P11" s="1">
        <v>0</v>
      </c>
      <c r="R11" s="1">
        <v>35214</v>
      </c>
      <c r="S11" s="1">
        <v>0</v>
      </c>
      <c r="U11" s="1">
        <v>0</v>
      </c>
      <c r="V11" s="9">
        <v>0</v>
      </c>
    </row>
    <row r="12" spans="1:22">
      <c r="A12" s="1" t="s">
        <v>19</v>
      </c>
      <c r="B12" s="6">
        <v>0</v>
      </c>
      <c r="C12" s="1">
        <v>0</v>
      </c>
      <c r="D12" s="1">
        <v>0</v>
      </c>
      <c r="E12" s="1">
        <v>0</v>
      </c>
      <c r="F12" s="1">
        <v>0</v>
      </c>
      <c r="G12" s="9">
        <f>SUM(CT_FINANCIAL)</f>
        <v>0</v>
      </c>
      <c r="I12" s="13" t="s">
        <v>20</v>
      </c>
      <c r="J12" s="16"/>
      <c r="L12" s="6"/>
      <c r="V12" s="9"/>
    </row>
    <row r="13" spans="1:22">
      <c r="A13" s="1" t="s">
        <v>21</v>
      </c>
      <c r="B13" s="6">
        <v>1458.5252474728259</v>
      </c>
      <c r="C13" s="1">
        <v>0</v>
      </c>
      <c r="D13" s="1">
        <v>409.45024887678301</v>
      </c>
      <c r="E13" s="1">
        <v>0</v>
      </c>
      <c r="F13" s="1">
        <v>0</v>
      </c>
      <c r="G13" s="9">
        <f>SUM(DE_FINANCIAL)</f>
        <v>1867.9754963496089</v>
      </c>
      <c r="I13" s="13" t="s">
        <v>22</v>
      </c>
      <c r="J13" s="16">
        <v>51906809.055000283</v>
      </c>
      <c r="L13" s="6"/>
      <c r="V13" s="9"/>
    </row>
    <row r="14" spans="1:22">
      <c r="A14" s="1" t="s">
        <v>23</v>
      </c>
      <c r="B14" s="6">
        <v>-1264.757327559196</v>
      </c>
      <c r="C14" s="1">
        <v>0</v>
      </c>
      <c r="D14" s="1">
        <v>-1120</v>
      </c>
      <c r="E14" s="1">
        <v>0</v>
      </c>
      <c r="F14" s="1">
        <v>0</v>
      </c>
      <c r="G14" s="9">
        <f>SUM(DC_FINANCIAL)</f>
        <v>-2384.7573275591958</v>
      </c>
      <c r="I14" s="13" t="s">
        <v>24</v>
      </c>
      <c r="J14" s="16">
        <v>3937934.6699999995</v>
      </c>
      <c r="L14" s="6"/>
      <c r="V14" s="9"/>
    </row>
    <row r="15" spans="1:22">
      <c r="A15" s="1" t="s">
        <v>25</v>
      </c>
      <c r="B15" s="6">
        <v>176751.00210444006</v>
      </c>
      <c r="C15" s="1">
        <v>0</v>
      </c>
      <c r="D15" s="1">
        <v>10181345.404639788</v>
      </c>
      <c r="E15" s="1">
        <v>0</v>
      </c>
      <c r="F15" s="1">
        <v>0</v>
      </c>
      <c r="G15" s="9">
        <f>SUM(FL_FINANCIAL)</f>
        <v>10358096.406744229</v>
      </c>
      <c r="I15" s="13" t="s">
        <v>26</v>
      </c>
      <c r="J15" s="16">
        <v>8422710.8893214818</v>
      </c>
      <c r="L15" s="6">
        <v>0</v>
      </c>
      <c r="M15" s="1">
        <v>0</v>
      </c>
      <c r="O15" s="1">
        <v>0</v>
      </c>
      <c r="P15" s="1">
        <v>0</v>
      </c>
      <c r="R15" s="1">
        <v>8566684</v>
      </c>
      <c r="S15" s="1">
        <v>0</v>
      </c>
      <c r="U15" s="1">
        <v>0</v>
      </c>
      <c r="V15" s="9">
        <v>0</v>
      </c>
    </row>
    <row r="16" spans="1:22">
      <c r="A16" s="1" t="s">
        <v>27</v>
      </c>
      <c r="B16" s="6">
        <v>54769.944240658973</v>
      </c>
      <c r="C16" s="1">
        <v>0</v>
      </c>
      <c r="D16" s="1">
        <v>11315084.765160415</v>
      </c>
      <c r="E16" s="1">
        <v>0</v>
      </c>
      <c r="F16" s="1">
        <v>0</v>
      </c>
      <c r="G16" s="9">
        <f>SUM(GA_FINANCIAL)</f>
        <v>11369854.709401075</v>
      </c>
      <c r="I16" s="13" t="s">
        <v>28</v>
      </c>
      <c r="J16" s="16">
        <v>10327334.277250005</v>
      </c>
      <c r="L16" s="6">
        <v>0</v>
      </c>
      <c r="M16" s="1">
        <v>0</v>
      </c>
      <c r="O16" s="1">
        <v>0</v>
      </c>
      <c r="P16" s="1">
        <v>0</v>
      </c>
      <c r="R16" s="1">
        <v>9437552</v>
      </c>
      <c r="S16" s="1">
        <v>0</v>
      </c>
      <c r="U16" s="1">
        <v>0</v>
      </c>
      <c r="V16" s="9">
        <v>0</v>
      </c>
    </row>
    <row r="17" spans="1:22">
      <c r="A17" s="1" t="s">
        <v>29</v>
      </c>
      <c r="B17" s="6">
        <v>32460.955950863507</v>
      </c>
      <c r="C17" s="1">
        <v>0</v>
      </c>
      <c r="D17" s="1">
        <v>25178.267290612217</v>
      </c>
      <c r="E17" s="1">
        <v>0</v>
      </c>
      <c r="F17" s="1">
        <v>0</v>
      </c>
      <c r="G17" s="9">
        <f>SUM(HI_FINANCIAL)</f>
        <v>57639.223241475724</v>
      </c>
      <c r="I17" s="13"/>
      <c r="J17" s="16"/>
      <c r="L17" s="6"/>
      <c r="V17" s="9"/>
    </row>
    <row r="18" spans="1:22">
      <c r="A18" s="1" t="s">
        <v>30</v>
      </c>
      <c r="B18" s="6">
        <v>0</v>
      </c>
      <c r="C18" s="1">
        <v>0</v>
      </c>
      <c r="D18" s="1">
        <v>-11467.842076738667</v>
      </c>
      <c r="E18" s="1">
        <v>0</v>
      </c>
      <c r="F18" s="1">
        <v>0</v>
      </c>
      <c r="G18" s="9">
        <f>SUM(ID_FINANCIAL)</f>
        <v>-11467.842076738667</v>
      </c>
      <c r="I18" s="13" t="s">
        <v>31</v>
      </c>
      <c r="J18" s="16"/>
      <c r="L18" s="6">
        <v>0</v>
      </c>
      <c r="M18" s="1">
        <v>0</v>
      </c>
      <c r="O18" s="1">
        <v>0</v>
      </c>
      <c r="P18" s="1">
        <v>0</v>
      </c>
      <c r="R18" s="1">
        <v>129500</v>
      </c>
      <c r="S18" s="1">
        <v>0</v>
      </c>
      <c r="U18" s="1">
        <v>0</v>
      </c>
      <c r="V18" s="9">
        <v>0</v>
      </c>
    </row>
    <row r="19" spans="1:22">
      <c r="A19" s="1" t="s">
        <v>32</v>
      </c>
      <c r="B19" s="6">
        <v>42145.080986994057</v>
      </c>
      <c r="C19" s="1">
        <v>0</v>
      </c>
      <c r="D19" s="1">
        <v>2355509.0732835187</v>
      </c>
      <c r="E19" s="1">
        <v>0</v>
      </c>
      <c r="F19" s="1">
        <v>0</v>
      </c>
      <c r="G19" s="9">
        <f>SUM(IL_FINANCIAL)</f>
        <v>2397654.1542705125</v>
      </c>
      <c r="I19" s="13" t="s">
        <v>33</v>
      </c>
      <c r="J19" s="16">
        <v>0</v>
      </c>
      <c r="L19" s="6">
        <v>200000</v>
      </c>
      <c r="M19" s="1">
        <v>0</v>
      </c>
      <c r="O19" s="1">
        <v>0</v>
      </c>
      <c r="P19" s="1">
        <v>0</v>
      </c>
      <c r="R19" s="1">
        <v>3100000</v>
      </c>
      <c r="S19" s="1">
        <v>1100000</v>
      </c>
      <c r="U19" s="1">
        <v>0</v>
      </c>
      <c r="V19" s="9">
        <v>0</v>
      </c>
    </row>
    <row r="20" spans="1:22">
      <c r="A20" s="1" t="s">
        <v>34</v>
      </c>
      <c r="B20" s="6">
        <v>24611.206471614511</v>
      </c>
      <c r="C20" s="1">
        <v>0</v>
      </c>
      <c r="D20" s="1">
        <v>-8262.3082236037444</v>
      </c>
      <c r="E20" s="1">
        <v>0</v>
      </c>
      <c r="F20" s="1">
        <v>0</v>
      </c>
      <c r="G20" s="9">
        <f>SUM(IN_FINANCIAL)</f>
        <v>16348.898248010766</v>
      </c>
      <c r="I20" s="13" t="s">
        <v>35</v>
      </c>
      <c r="J20" s="16">
        <v>43815428.568790302</v>
      </c>
      <c r="L20" s="6"/>
      <c r="V20" s="9"/>
    </row>
    <row r="21" spans="1:22">
      <c r="A21" s="1" t="s">
        <v>36</v>
      </c>
      <c r="B21" s="6">
        <v>0</v>
      </c>
      <c r="C21" s="1">
        <v>0</v>
      </c>
      <c r="D21" s="1">
        <v>12423.229999999981</v>
      </c>
      <c r="E21" s="1">
        <v>0</v>
      </c>
      <c r="F21" s="1">
        <v>0</v>
      </c>
      <c r="G21" s="9">
        <f>SUM(IA_FINANCIAL)</f>
        <v>12423.229999999981</v>
      </c>
      <c r="I21" s="13" t="s">
        <v>37</v>
      </c>
      <c r="J21" s="16"/>
      <c r="L21" s="6"/>
      <c r="V21" s="9"/>
    </row>
    <row r="22" spans="1:22">
      <c r="A22" s="1" t="s">
        <v>38</v>
      </c>
      <c r="B22" s="6">
        <v>-4040.3083427191959</v>
      </c>
      <c r="C22" s="1">
        <v>0</v>
      </c>
      <c r="D22" s="1">
        <v>584292.2941818235</v>
      </c>
      <c r="E22" s="1">
        <v>0</v>
      </c>
      <c r="F22" s="1">
        <v>0</v>
      </c>
      <c r="G22" s="9">
        <f>SUM(KS_FINANCIAL)</f>
        <v>580251.98583910428</v>
      </c>
      <c r="I22" s="13" t="s">
        <v>39</v>
      </c>
      <c r="J22" s="16">
        <v>0</v>
      </c>
      <c r="L22" s="6"/>
      <c r="V22" s="9"/>
    </row>
    <row r="23" spans="1:22">
      <c r="A23" s="1" t="s">
        <v>40</v>
      </c>
      <c r="B23" s="6">
        <v>0</v>
      </c>
      <c r="C23" s="1">
        <v>0</v>
      </c>
      <c r="D23" s="1">
        <v>0</v>
      </c>
      <c r="E23" s="1">
        <v>0</v>
      </c>
      <c r="F23" s="1">
        <v>0</v>
      </c>
      <c r="G23" s="9">
        <f>SUM(KY_FINANCIAL)</f>
        <v>0</v>
      </c>
      <c r="I23" s="13" t="s">
        <v>41</v>
      </c>
      <c r="J23" s="16"/>
      <c r="L23" s="6"/>
      <c r="V23" s="9"/>
    </row>
    <row r="24" spans="1:22">
      <c r="A24" s="1" t="s">
        <v>42</v>
      </c>
      <c r="B24" s="6">
        <v>53210.685202494074</v>
      </c>
      <c r="C24" s="1">
        <v>0</v>
      </c>
      <c r="D24" s="1">
        <v>209461.24864431916</v>
      </c>
      <c r="E24" s="1">
        <v>0</v>
      </c>
      <c r="F24" s="1">
        <v>0</v>
      </c>
      <c r="G24" s="9">
        <f>SUM(LA_FINANCIAL)</f>
        <v>262671.93384681322</v>
      </c>
      <c r="I24" s="13" t="s">
        <v>43</v>
      </c>
      <c r="J24" s="16">
        <v>39664799.526665002</v>
      </c>
      <c r="L24" s="6">
        <v>11383</v>
      </c>
      <c r="M24" s="1">
        <v>0</v>
      </c>
      <c r="O24" s="1">
        <v>529</v>
      </c>
      <c r="P24" s="1">
        <v>0</v>
      </c>
      <c r="R24" s="1">
        <v>235088</v>
      </c>
      <c r="S24" s="1">
        <v>0</v>
      </c>
      <c r="U24" s="1">
        <v>0</v>
      </c>
      <c r="V24" s="9">
        <v>0</v>
      </c>
    </row>
    <row r="25" spans="1:22">
      <c r="A25" s="1" t="s">
        <v>44</v>
      </c>
      <c r="B25" s="6">
        <v>0</v>
      </c>
      <c r="C25" s="1">
        <v>0</v>
      </c>
      <c r="D25" s="1">
        <v>-857</v>
      </c>
      <c r="E25" s="1">
        <v>0</v>
      </c>
      <c r="F25" s="1">
        <v>0</v>
      </c>
      <c r="G25" s="9">
        <f>SUM(ME_FINANCIAL)</f>
        <v>-857</v>
      </c>
      <c r="I25" s="13"/>
      <c r="J25" s="16"/>
      <c r="L25" s="6"/>
      <c r="V25" s="9"/>
    </row>
    <row r="26" spans="1:22">
      <c r="A26" s="1" t="s">
        <v>45</v>
      </c>
      <c r="B26" s="6">
        <v>3874.3881658305727</v>
      </c>
      <c r="C26" s="1">
        <v>0</v>
      </c>
      <c r="D26" s="1">
        <v>847793.30371542601</v>
      </c>
      <c r="E26" s="1">
        <v>0</v>
      </c>
      <c r="F26" s="1">
        <v>0</v>
      </c>
      <c r="G26" s="9">
        <f>SUM(MD_FINANCIAL)</f>
        <v>851667.69188125653</v>
      </c>
      <c r="I26" s="13" t="s">
        <v>46</v>
      </c>
      <c r="J26" s="16">
        <f>SUM(ADD_FINANCIAL)-SUM(LESS_FINANCIAL)</f>
        <v>38823573.796116456</v>
      </c>
      <c r="L26" s="6"/>
      <c r="V26" s="9"/>
    </row>
    <row r="27" spans="1:22">
      <c r="A27" s="1" t="s">
        <v>47</v>
      </c>
      <c r="B27" s="6">
        <v>0</v>
      </c>
      <c r="C27" s="1">
        <v>0</v>
      </c>
      <c r="D27" s="1">
        <v>0</v>
      </c>
      <c r="E27" s="1">
        <v>0</v>
      </c>
      <c r="F27" s="1">
        <v>0</v>
      </c>
      <c r="G27" s="9">
        <f>SUM(MA_FINANCIAL)</f>
        <v>0</v>
      </c>
      <c r="I27" s="13" t="s">
        <v>48</v>
      </c>
      <c r="J27" s="16">
        <f>SUM(ALL_BLOCKS)</f>
        <v>38823573.796116471</v>
      </c>
      <c r="L27" s="6"/>
      <c r="V27" s="9"/>
    </row>
    <row r="28" spans="1:22">
      <c r="A28" s="1" t="s">
        <v>49</v>
      </c>
      <c r="B28" s="6">
        <v>0</v>
      </c>
      <c r="C28" s="1">
        <v>0</v>
      </c>
      <c r="D28" s="1">
        <v>0</v>
      </c>
      <c r="E28" s="1">
        <v>0</v>
      </c>
      <c r="F28" s="1">
        <v>0</v>
      </c>
      <c r="G28" s="9">
        <f>SUM(MI_FINANCIAL)</f>
        <v>0</v>
      </c>
      <c r="I28" s="14"/>
      <c r="J28" s="17"/>
      <c r="L28" s="6"/>
      <c r="V28" s="9"/>
    </row>
    <row r="29" spans="1:22">
      <c r="A29" s="1" t="s">
        <v>50</v>
      </c>
      <c r="B29" s="6">
        <v>0</v>
      </c>
      <c r="C29" s="1">
        <v>0</v>
      </c>
      <c r="D29" s="1">
        <v>0</v>
      </c>
      <c r="E29" s="1">
        <v>0</v>
      </c>
      <c r="F29" s="1">
        <v>0</v>
      </c>
      <c r="G29" s="9">
        <f>SUM(MN_FINANCIAL)</f>
        <v>0</v>
      </c>
      <c r="L29" s="6"/>
      <c r="V29" s="9"/>
    </row>
    <row r="30" spans="1:22">
      <c r="A30" s="1" t="s">
        <v>51</v>
      </c>
      <c r="B30" s="6">
        <v>15013.585996318545</v>
      </c>
      <c r="C30" s="1">
        <v>0</v>
      </c>
      <c r="D30" s="1">
        <v>1166052.4464615507</v>
      </c>
      <c r="E30" s="1">
        <v>0</v>
      </c>
      <c r="F30" s="1">
        <v>0</v>
      </c>
      <c r="G30" s="9">
        <f>SUM(MS_FINANCIAL)</f>
        <v>1181066.0324578693</v>
      </c>
      <c r="L30" s="6"/>
      <c r="V30" s="9"/>
    </row>
    <row r="31" spans="1:22">
      <c r="A31" s="1" t="s">
        <v>52</v>
      </c>
      <c r="B31" s="6">
        <v>8893.223075980688</v>
      </c>
      <c r="C31" s="1">
        <v>0</v>
      </c>
      <c r="D31" s="1">
        <v>1895112.8469286242</v>
      </c>
      <c r="E31" s="1">
        <v>0</v>
      </c>
      <c r="F31" s="1">
        <v>0</v>
      </c>
      <c r="G31" s="9">
        <f>SUM(MO_FINANCIAL)</f>
        <v>1904006.070004605</v>
      </c>
      <c r="L31" s="6">
        <v>0</v>
      </c>
      <c r="M31" s="1">
        <v>0</v>
      </c>
      <c r="O31" s="1">
        <v>0</v>
      </c>
      <c r="P31" s="1">
        <v>0</v>
      </c>
      <c r="R31" s="1">
        <v>1202674</v>
      </c>
      <c r="S31" s="1">
        <v>0</v>
      </c>
      <c r="U31" s="1">
        <v>0</v>
      </c>
      <c r="V31" s="9">
        <v>0</v>
      </c>
    </row>
    <row r="32" spans="1:22">
      <c r="A32" s="1" t="s">
        <v>53</v>
      </c>
      <c r="B32" s="6">
        <v>1411.5269552663194</v>
      </c>
      <c r="C32" s="1">
        <v>0</v>
      </c>
      <c r="D32" s="1">
        <v>217029.43634846577</v>
      </c>
      <c r="E32" s="1">
        <v>0</v>
      </c>
      <c r="F32" s="1">
        <v>0</v>
      </c>
      <c r="G32" s="9">
        <f>SUM(MT_FINANCIAL)</f>
        <v>218440.96330373207</v>
      </c>
      <c r="L32" s="6"/>
      <c r="V32" s="9"/>
    </row>
    <row r="33" spans="1:22">
      <c r="A33" s="1" t="s">
        <v>54</v>
      </c>
      <c r="B33" s="6">
        <v>0</v>
      </c>
      <c r="C33" s="1">
        <v>0</v>
      </c>
      <c r="D33" s="1">
        <v>0</v>
      </c>
      <c r="E33" s="1">
        <v>0</v>
      </c>
      <c r="F33" s="1">
        <v>0</v>
      </c>
      <c r="G33" s="9">
        <f>SUM(NE_FINANCIAL)</f>
        <v>0</v>
      </c>
      <c r="L33" s="6"/>
      <c r="V33" s="9"/>
    </row>
    <row r="34" spans="1:22">
      <c r="A34" s="1" t="s">
        <v>55</v>
      </c>
      <c r="B34" s="6">
        <v>58326.843912282588</v>
      </c>
      <c r="C34" s="1">
        <v>0</v>
      </c>
      <c r="D34" s="1">
        <v>4171.7685768358078</v>
      </c>
      <c r="E34" s="1">
        <v>0</v>
      </c>
      <c r="F34" s="1">
        <v>0</v>
      </c>
      <c r="G34" s="9">
        <f>SUM(NV_FINANCIAL)</f>
        <v>62498.612489118394</v>
      </c>
      <c r="L34" s="6"/>
      <c r="V34" s="9"/>
    </row>
    <row r="35" spans="1:22">
      <c r="A35" s="1" t="s">
        <v>56</v>
      </c>
      <c r="B35" s="6">
        <v>0</v>
      </c>
      <c r="C35" s="1">
        <v>0</v>
      </c>
      <c r="D35" s="1">
        <v>0</v>
      </c>
      <c r="E35" s="1">
        <v>0</v>
      </c>
      <c r="F35" s="1">
        <v>0</v>
      </c>
      <c r="G35" s="9">
        <f>SUM(NH_FINANCIAL)</f>
        <v>0</v>
      </c>
      <c r="L35" s="6"/>
      <c r="V35" s="9"/>
    </row>
    <row r="36" spans="1:22">
      <c r="A36" s="1" t="s">
        <v>57</v>
      </c>
      <c r="B36" s="6">
        <v>0</v>
      </c>
      <c r="C36" s="1">
        <v>0</v>
      </c>
      <c r="D36" s="1">
        <v>0</v>
      </c>
      <c r="E36" s="1">
        <v>0</v>
      </c>
      <c r="F36" s="1">
        <v>0</v>
      </c>
      <c r="G36" s="9">
        <f>SUM(NJ_FINANCIAL)</f>
        <v>0</v>
      </c>
      <c r="L36" s="6"/>
      <c r="V36" s="9"/>
    </row>
    <row r="37" spans="1:22">
      <c r="A37" s="1" t="s">
        <v>58</v>
      </c>
      <c r="B37" s="6">
        <v>-610.04746943330156</v>
      </c>
      <c r="C37" s="1">
        <v>0</v>
      </c>
      <c r="D37" s="1">
        <v>397048.58123056404</v>
      </c>
      <c r="E37" s="1">
        <v>0</v>
      </c>
      <c r="F37" s="1">
        <v>0</v>
      </c>
      <c r="G37" s="9">
        <f>SUM(NM_FINANCIAL)</f>
        <v>396438.53376113076</v>
      </c>
      <c r="L37" s="6"/>
      <c r="V37" s="9"/>
    </row>
    <row r="38" spans="1:22">
      <c r="A38" s="1" t="s">
        <v>59</v>
      </c>
      <c r="B38" s="6">
        <v>0</v>
      </c>
      <c r="C38" s="1">
        <v>0</v>
      </c>
      <c r="D38" s="1">
        <v>0</v>
      </c>
      <c r="E38" s="1">
        <v>0</v>
      </c>
      <c r="F38" s="1">
        <v>0</v>
      </c>
      <c r="G38" s="9">
        <f>SUM(NY_FINANCIAL)</f>
        <v>0</v>
      </c>
      <c r="L38" s="6"/>
      <c r="V38" s="9"/>
    </row>
    <row r="39" spans="1:22">
      <c r="A39" s="1" t="s">
        <v>60</v>
      </c>
      <c r="B39" s="6">
        <v>0</v>
      </c>
      <c r="C39" s="1">
        <v>0</v>
      </c>
      <c r="D39" s="1">
        <v>0</v>
      </c>
      <c r="E39" s="1">
        <v>0</v>
      </c>
      <c r="F39" s="1">
        <v>0</v>
      </c>
      <c r="G39" s="9">
        <f>SUM(NC_FINANCIAL)</f>
        <v>0</v>
      </c>
      <c r="L39" s="6"/>
      <c r="V39" s="9"/>
    </row>
    <row r="40" spans="1:22">
      <c r="A40" s="1" t="s">
        <v>61</v>
      </c>
      <c r="B40" s="6">
        <v>0</v>
      </c>
      <c r="C40" s="1">
        <v>0</v>
      </c>
      <c r="D40" s="1">
        <v>2513770.2394817574</v>
      </c>
      <c r="E40" s="1">
        <v>0</v>
      </c>
      <c r="F40" s="1">
        <v>0</v>
      </c>
      <c r="G40" s="9">
        <f>SUM(ND_FINANCIAL)</f>
        <v>2513770.2394817574</v>
      </c>
      <c r="L40" s="6">
        <v>0</v>
      </c>
      <c r="M40" s="1">
        <v>0</v>
      </c>
      <c r="O40" s="1">
        <v>0</v>
      </c>
      <c r="P40" s="1">
        <v>0</v>
      </c>
      <c r="R40" s="1">
        <v>1700000</v>
      </c>
      <c r="S40" s="1">
        <v>0</v>
      </c>
      <c r="U40" s="1">
        <v>0</v>
      </c>
      <c r="V40" s="9">
        <v>0</v>
      </c>
    </row>
    <row r="41" spans="1:22">
      <c r="A41" s="1" t="s">
        <v>62</v>
      </c>
      <c r="B41" s="6">
        <v>81766.720164354163</v>
      </c>
      <c r="C41" s="1">
        <v>0</v>
      </c>
      <c r="D41" s="1">
        <v>479203.46136248787</v>
      </c>
      <c r="E41" s="1">
        <v>0</v>
      </c>
      <c r="F41" s="1">
        <v>0</v>
      </c>
      <c r="G41" s="9">
        <f>SUM(OH_FINANCIAL)</f>
        <v>560970.18152684206</v>
      </c>
      <c r="L41" s="6">
        <v>0</v>
      </c>
      <c r="M41" s="1">
        <v>0</v>
      </c>
      <c r="O41" s="1">
        <v>0</v>
      </c>
      <c r="P41" s="1">
        <v>0</v>
      </c>
      <c r="R41" s="1">
        <v>400000</v>
      </c>
      <c r="S41" s="1">
        <v>0</v>
      </c>
      <c r="U41" s="1">
        <v>0</v>
      </c>
      <c r="V41" s="9">
        <v>0</v>
      </c>
    </row>
    <row r="42" spans="1:22">
      <c r="A42" s="1" t="s">
        <v>63</v>
      </c>
      <c r="B42" s="6">
        <v>4677.5249583668292</v>
      </c>
      <c r="C42" s="1">
        <v>0</v>
      </c>
      <c r="D42" s="1">
        <v>199519.62691597693</v>
      </c>
      <c r="E42" s="1">
        <v>0</v>
      </c>
      <c r="F42" s="1">
        <v>0</v>
      </c>
      <c r="G42" s="9">
        <f>SUM(OK_FINANCIAL)</f>
        <v>204197.15187434375</v>
      </c>
      <c r="L42" s="6">
        <v>75000</v>
      </c>
      <c r="M42" s="1">
        <v>0</v>
      </c>
      <c r="O42" s="1">
        <v>0</v>
      </c>
      <c r="P42" s="1">
        <v>0</v>
      </c>
      <c r="R42" s="1">
        <v>375000</v>
      </c>
      <c r="S42" s="1">
        <v>0</v>
      </c>
      <c r="U42" s="1">
        <v>0</v>
      </c>
      <c r="V42" s="9">
        <v>0</v>
      </c>
    </row>
    <row r="43" spans="1:22">
      <c r="A43" s="1" t="s">
        <v>64</v>
      </c>
      <c r="B43" s="6">
        <v>0</v>
      </c>
      <c r="C43" s="1">
        <v>0</v>
      </c>
      <c r="D43" s="1">
        <v>0</v>
      </c>
      <c r="E43" s="1">
        <v>0</v>
      </c>
      <c r="F43" s="1">
        <v>0</v>
      </c>
      <c r="G43" s="9">
        <f>SUM(OR_FINANCIAL)</f>
        <v>0</v>
      </c>
      <c r="L43" s="6"/>
      <c r="V43" s="9"/>
    </row>
    <row r="44" spans="1:22">
      <c r="A44" s="1" t="s">
        <v>65</v>
      </c>
      <c r="B44" s="6">
        <v>-327426.74290767172</v>
      </c>
      <c r="C44" s="1">
        <v>0</v>
      </c>
      <c r="D44" s="1">
        <v>1206499.4967102762</v>
      </c>
      <c r="E44" s="1">
        <v>0</v>
      </c>
      <c r="F44" s="1">
        <v>0</v>
      </c>
      <c r="G44" s="9">
        <f>SUM(PA_FINANCIAL)</f>
        <v>879072.75380260451</v>
      </c>
      <c r="L44" s="6">
        <v>0</v>
      </c>
      <c r="M44" s="1">
        <v>0</v>
      </c>
      <c r="O44" s="1">
        <v>0</v>
      </c>
      <c r="P44" s="1">
        <v>0</v>
      </c>
      <c r="R44" s="1">
        <v>2402000</v>
      </c>
      <c r="S44" s="1">
        <v>0</v>
      </c>
      <c r="U44" s="1">
        <v>0</v>
      </c>
      <c r="V44" s="9">
        <v>0</v>
      </c>
    </row>
    <row r="45" spans="1:22">
      <c r="A45" s="1" t="s">
        <v>66</v>
      </c>
      <c r="B45" s="6">
        <v>0</v>
      </c>
      <c r="C45" s="1">
        <v>0</v>
      </c>
      <c r="D45" s="1">
        <v>0</v>
      </c>
      <c r="E45" s="1">
        <v>0</v>
      </c>
      <c r="F45" s="1">
        <v>0</v>
      </c>
      <c r="G45" s="9">
        <f>SUM(PR_FINANCIAL)</f>
        <v>0</v>
      </c>
      <c r="L45" s="6"/>
      <c r="V45" s="9"/>
    </row>
    <row r="46" spans="1:22">
      <c r="A46" s="1" t="s">
        <v>67</v>
      </c>
      <c r="B46" s="6">
        <v>0</v>
      </c>
      <c r="C46" s="1">
        <v>0</v>
      </c>
      <c r="D46" s="1">
        <v>0</v>
      </c>
      <c r="E46" s="1">
        <v>0</v>
      </c>
      <c r="F46" s="1">
        <v>0</v>
      </c>
      <c r="G46" s="9">
        <f>SUM(RI_FINANCIAL)</f>
        <v>0</v>
      </c>
      <c r="L46" s="6"/>
      <c r="V46" s="9"/>
    </row>
    <row r="47" spans="1:22">
      <c r="A47" s="1" t="s">
        <v>68</v>
      </c>
      <c r="B47" s="6">
        <v>0</v>
      </c>
      <c r="C47" s="1">
        <v>0</v>
      </c>
      <c r="D47" s="1">
        <v>0</v>
      </c>
      <c r="E47" s="1">
        <v>0</v>
      </c>
      <c r="F47" s="1">
        <v>0</v>
      </c>
      <c r="G47" s="9">
        <f>SUM(SC_FINANCIAL)</f>
        <v>0</v>
      </c>
      <c r="L47" s="6"/>
      <c r="V47" s="9"/>
    </row>
    <row r="48" spans="1:22">
      <c r="A48" s="1" t="s">
        <v>69</v>
      </c>
      <c r="B48" s="6">
        <v>-1068.5369811480409</v>
      </c>
      <c r="C48" s="1">
        <v>0</v>
      </c>
      <c r="D48" s="1">
        <v>2096207.2453852866</v>
      </c>
      <c r="E48" s="1">
        <v>0</v>
      </c>
      <c r="F48" s="1">
        <v>0</v>
      </c>
      <c r="G48" s="9">
        <f>SUM(SD_FINANCIAL)</f>
        <v>2095138.7084041387</v>
      </c>
      <c r="L48" s="6">
        <v>0</v>
      </c>
      <c r="M48" s="1">
        <v>0</v>
      </c>
      <c r="O48" s="1">
        <v>0</v>
      </c>
      <c r="P48" s="1">
        <v>0</v>
      </c>
      <c r="R48" s="1">
        <v>1710000</v>
      </c>
      <c r="S48" s="1">
        <v>0</v>
      </c>
      <c r="U48" s="1">
        <v>0</v>
      </c>
      <c r="V48" s="9">
        <v>0</v>
      </c>
    </row>
    <row r="49" spans="1:22">
      <c r="A49" s="1" t="s">
        <v>70</v>
      </c>
      <c r="B49" s="6">
        <v>32985.024900370547</v>
      </c>
      <c r="C49" s="1">
        <v>0</v>
      </c>
      <c r="D49" s="1">
        <v>1279345.8753022393</v>
      </c>
      <c r="E49" s="1">
        <v>0</v>
      </c>
      <c r="F49" s="1">
        <v>0</v>
      </c>
      <c r="G49" s="9">
        <f>SUM(TN_FINANCIAL)</f>
        <v>1312330.9002026098</v>
      </c>
      <c r="L49" s="6"/>
      <c r="V49" s="9"/>
    </row>
    <row r="50" spans="1:22">
      <c r="A50" s="1" t="s">
        <v>71</v>
      </c>
      <c r="B50" s="6">
        <v>0</v>
      </c>
      <c r="C50" s="1">
        <v>0</v>
      </c>
      <c r="D50" s="1">
        <v>0</v>
      </c>
      <c r="E50" s="1">
        <v>0</v>
      </c>
      <c r="F50" s="1">
        <v>0</v>
      </c>
      <c r="G50" s="9">
        <f>SUM(TX_FINANCIAL)</f>
        <v>0</v>
      </c>
      <c r="L50" s="6"/>
      <c r="V50" s="9"/>
    </row>
    <row r="51" spans="1:22">
      <c r="A51" s="1" t="s">
        <v>72</v>
      </c>
      <c r="B51" s="6">
        <v>0</v>
      </c>
      <c r="C51" s="1">
        <v>0</v>
      </c>
      <c r="D51" s="1">
        <v>-63</v>
      </c>
      <c r="E51" s="1">
        <v>0</v>
      </c>
      <c r="F51" s="1">
        <v>0</v>
      </c>
      <c r="G51" s="9">
        <f>SUM(UT_FINANCIAL)</f>
        <v>-63</v>
      </c>
      <c r="L51" s="6"/>
      <c r="V51" s="9"/>
    </row>
    <row r="52" spans="1:22">
      <c r="A52" s="1" t="s">
        <v>73</v>
      </c>
      <c r="B52" s="6">
        <v>0</v>
      </c>
      <c r="C52" s="1">
        <v>0</v>
      </c>
      <c r="D52" s="1">
        <v>0</v>
      </c>
      <c r="E52" s="1">
        <v>0</v>
      </c>
      <c r="F52" s="1">
        <v>0</v>
      </c>
      <c r="G52" s="9">
        <f>SUM(VT_FINANCIAL)</f>
        <v>0</v>
      </c>
      <c r="L52" s="6"/>
      <c r="V52" s="9"/>
    </row>
    <row r="53" spans="1:22">
      <c r="A53" s="1" t="s">
        <v>74</v>
      </c>
      <c r="B53" s="6">
        <v>0</v>
      </c>
      <c r="C53" s="1">
        <v>0</v>
      </c>
      <c r="D53" s="1">
        <v>0</v>
      </c>
      <c r="E53" s="1">
        <v>0</v>
      </c>
      <c r="F53" s="1">
        <v>0</v>
      </c>
      <c r="G53" s="9">
        <f>SUM(VA_FINANCIAL)</f>
        <v>0</v>
      </c>
      <c r="L53" s="6"/>
      <c r="V53" s="9"/>
    </row>
    <row r="54" spans="1:22">
      <c r="A54" s="1" t="s">
        <v>75</v>
      </c>
      <c r="B54" s="6">
        <v>0</v>
      </c>
      <c r="C54" s="1">
        <v>0</v>
      </c>
      <c r="D54" s="1">
        <v>0</v>
      </c>
      <c r="E54" s="1">
        <v>0</v>
      </c>
      <c r="F54" s="1">
        <v>0</v>
      </c>
      <c r="G54" s="9">
        <f>SUM(WA_FINANCIAL)</f>
        <v>0</v>
      </c>
      <c r="L54" s="6"/>
      <c r="V54" s="9"/>
    </row>
    <row r="55" spans="1:22">
      <c r="A55" s="1" t="s">
        <v>76</v>
      </c>
      <c r="B55" s="6">
        <v>-1172</v>
      </c>
      <c r="C55" s="1">
        <v>0</v>
      </c>
      <c r="D55" s="1">
        <v>50492.501678831439</v>
      </c>
      <c r="E55" s="1">
        <v>0</v>
      </c>
      <c r="F55" s="1">
        <v>0</v>
      </c>
      <c r="G55" s="9">
        <f>SUM(WV_FINANCIAL)</f>
        <v>49320.501678831439</v>
      </c>
      <c r="L55" s="6">
        <v>0</v>
      </c>
      <c r="M55" s="1">
        <v>0</v>
      </c>
      <c r="O55" s="1">
        <v>0</v>
      </c>
      <c r="P55" s="1">
        <v>0</v>
      </c>
      <c r="R55" s="1">
        <v>150000</v>
      </c>
      <c r="S55" s="1">
        <v>0</v>
      </c>
      <c r="U55" s="1">
        <v>0</v>
      </c>
      <c r="V55" s="9">
        <v>0</v>
      </c>
    </row>
    <row r="56" spans="1:22">
      <c r="A56" s="1" t="s">
        <v>77</v>
      </c>
      <c r="B56" s="6">
        <v>0</v>
      </c>
      <c r="C56" s="1">
        <v>0</v>
      </c>
      <c r="D56" s="1">
        <v>0</v>
      </c>
      <c r="E56" s="1">
        <v>0</v>
      </c>
      <c r="F56" s="1">
        <v>0</v>
      </c>
      <c r="G56" s="9">
        <f>SUM(WI_FINANCIAL)</f>
        <v>0</v>
      </c>
      <c r="L56" s="6"/>
      <c r="V56" s="9"/>
    </row>
    <row r="57" spans="1:22">
      <c r="A57" s="1" t="s">
        <v>78</v>
      </c>
      <c r="B57" s="6">
        <v>0</v>
      </c>
      <c r="C57" s="1">
        <v>0</v>
      </c>
      <c r="D57" s="1">
        <v>0</v>
      </c>
      <c r="E57" s="1">
        <v>0</v>
      </c>
      <c r="F57" s="1">
        <v>0</v>
      </c>
      <c r="G57" s="9">
        <f>SUM(WY_FINANCIAL)</f>
        <v>0</v>
      </c>
      <c r="L57" s="6"/>
      <c r="V57" s="9"/>
    </row>
    <row r="58" spans="1:22">
      <c r="A58" s="1" t="s">
        <v>79</v>
      </c>
      <c r="B58" s="6">
        <v>0</v>
      </c>
      <c r="C58" s="1">
        <v>0</v>
      </c>
      <c r="D58" s="1">
        <v>0</v>
      </c>
      <c r="E58" s="1">
        <v>0</v>
      </c>
      <c r="F58" s="1">
        <v>0</v>
      </c>
      <c r="G58" s="9">
        <f>SUM(OT_FINANCIAL)</f>
        <v>0</v>
      </c>
      <c r="L58" s="6"/>
      <c r="V58" s="9"/>
    </row>
    <row r="59" spans="1:22">
      <c r="B59" s="6"/>
      <c r="G59" s="9"/>
      <c r="L59" s="6"/>
      <c r="V59" s="9"/>
    </row>
    <row r="60" spans="1:22">
      <c r="A60" s="1" t="s">
        <v>8</v>
      </c>
      <c r="B60" s="6">
        <f>SUM(LIFE)</f>
        <v>295931.29449135851</v>
      </c>
      <c r="C60" s="1">
        <f>SUM(ALLOCATED)</f>
        <v>0</v>
      </c>
      <c r="D60" s="1">
        <f>SUM(HEALTH)</f>
        <v>38527642.501625113</v>
      </c>
      <c r="E60" s="1">
        <f>SUM(UNALLOCATED)</f>
        <v>0</v>
      </c>
      <c r="F60" s="1">
        <f>SUM(LTC)</f>
        <v>0</v>
      </c>
      <c r="G60" s="9">
        <f>SUM(ALL_BLOCKS)</f>
        <v>38823573.796116471</v>
      </c>
      <c r="L60" s="6">
        <f>SUM(LIFE_CALLED)</f>
        <v>307961</v>
      </c>
      <c r="M60" s="1">
        <f>SUM(LIFE_REFUNDED)</f>
        <v>0</v>
      </c>
      <c r="O60" s="1">
        <f>SUM(ALLOC_CALLED)</f>
        <v>529</v>
      </c>
      <c r="P60" s="1">
        <f>SUM(ALLOC_REFUNDED)</f>
        <v>0</v>
      </c>
      <c r="R60" s="1">
        <f>SUM(HEALTH_CALLED)</f>
        <v>29443712</v>
      </c>
      <c r="S60" s="1">
        <f>SUM(HEALTH_REFUNDED)</f>
        <v>1100000</v>
      </c>
      <c r="U60" s="1">
        <f>SUM(UNALLOC_CALLED)</f>
        <v>0</v>
      </c>
      <c r="V60" s="9">
        <f>SUM(UNALLOC_REFUNDED)</f>
        <v>0</v>
      </c>
    </row>
    <row r="61" spans="1:22" ht="5.0999999999999996" customHeight="1">
      <c r="B61" s="6"/>
      <c r="G61" s="9"/>
      <c r="L61" s="6"/>
      <c r="V61" s="9"/>
    </row>
    <row r="62" spans="1:22">
      <c r="B62" s="6"/>
      <c r="G62" s="9"/>
      <c r="L62" s="78" t="s">
        <v>80</v>
      </c>
      <c r="M62" s="79"/>
      <c r="N62" s="79"/>
      <c r="O62" s="79"/>
      <c r="P62" s="79"/>
      <c r="Q62" s="79"/>
      <c r="R62" s="79"/>
      <c r="S62" s="79"/>
      <c r="T62" s="79"/>
      <c r="U62" s="79"/>
      <c r="V62" s="80"/>
    </row>
    <row r="63" spans="1:22">
      <c r="B63" s="6"/>
      <c r="G63" s="9"/>
      <c r="L63" s="81"/>
      <c r="M63" s="79"/>
      <c r="N63" s="79"/>
      <c r="O63" s="79"/>
      <c r="P63" s="79"/>
      <c r="Q63" s="79"/>
      <c r="R63" s="79"/>
      <c r="S63" s="79"/>
      <c r="T63" s="79"/>
      <c r="U63" s="79"/>
      <c r="V63" s="80"/>
    </row>
    <row r="64" spans="1:22">
      <c r="B64" s="8"/>
      <c r="C64" s="5"/>
      <c r="D64" s="5"/>
      <c r="E64" s="5"/>
      <c r="F64" s="5"/>
      <c r="G64" s="11"/>
      <c r="L64" s="82"/>
      <c r="M64" s="83"/>
      <c r="N64" s="83"/>
      <c r="O64" s="83"/>
      <c r="P64" s="83"/>
      <c r="Q64" s="83"/>
      <c r="R64" s="83"/>
      <c r="S64" s="83"/>
      <c r="T64" s="83"/>
      <c r="U64" s="83"/>
      <c r="V64" s="84"/>
    </row>
  </sheetData>
  <mergeCells count="8">
    <mergeCell ref="L62:V64"/>
    <mergeCell ref="A1:G1"/>
    <mergeCell ref="B3:G3"/>
    <mergeCell ref="L3:V3"/>
    <mergeCell ref="L4:M4"/>
    <mergeCell ref="O4:P4"/>
    <mergeCell ref="R4:S4"/>
    <mergeCell ref="U4:V4"/>
  </mergeCells>
  <pageMargins left="0" right="0" top="0" bottom="0" header="0" footer="0"/>
  <pageSetup scale="48"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pageSetUpPr fitToPage="1"/>
  </sheetPr>
  <dimension ref="A1:V64"/>
  <sheetViews>
    <sheetView zoomScale="75" workbookViewId="0">
      <selection sqref="A1:G1"/>
    </sheetView>
  </sheetViews>
  <sheetFormatPr defaultColWidth="9.109375" defaultRowHeight="14.4"/>
  <cols>
    <col min="1" max="1" width="20" style="1" customWidth="1"/>
    <col min="2" max="7" width="15" style="1" customWidth="1"/>
    <col min="8" max="8" width="1" style="1" customWidth="1"/>
    <col min="9" max="9" width="30" style="1" customWidth="1"/>
    <col min="10" max="10" width="15" style="1" customWidth="1"/>
    <col min="11" max="11" width="1" style="1" customWidth="1"/>
    <col min="12" max="13" width="15" style="1" customWidth="1"/>
    <col min="14" max="14" width="1" style="1" customWidth="1"/>
    <col min="15" max="16" width="15" style="1" customWidth="1"/>
    <col min="17" max="17" width="1" style="1" customWidth="1"/>
    <col min="18" max="19" width="15" style="1" customWidth="1"/>
    <col min="20" max="20" width="1" style="1" customWidth="1"/>
    <col min="21" max="22" width="15" style="1" customWidth="1"/>
    <col min="23" max="23" width="9.109375" style="1" customWidth="1"/>
    <col min="24" max="16384" width="9.109375" style="1"/>
  </cols>
  <sheetData>
    <row r="1" spans="1:22">
      <c r="A1" s="85" t="s">
        <v>138</v>
      </c>
      <c r="B1" s="79"/>
      <c r="C1" s="79"/>
      <c r="D1" s="79"/>
      <c r="E1" s="79"/>
      <c r="F1" s="79"/>
      <c r="G1" s="79"/>
    </row>
    <row r="3" spans="1:22">
      <c r="B3" s="86" t="s">
        <v>1</v>
      </c>
      <c r="C3" s="87"/>
      <c r="D3" s="87"/>
      <c r="E3" s="87"/>
      <c r="F3" s="87"/>
      <c r="G3" s="88"/>
      <c r="L3" s="89" t="s">
        <v>2</v>
      </c>
      <c r="M3" s="90"/>
      <c r="N3" s="90"/>
      <c r="O3" s="90"/>
      <c r="P3" s="90"/>
      <c r="Q3" s="90"/>
      <c r="R3" s="90"/>
      <c r="S3" s="90"/>
      <c r="T3" s="90"/>
      <c r="U3" s="90"/>
      <c r="V3" s="91"/>
    </row>
    <row r="4" spans="1:22">
      <c r="B4" s="6"/>
      <c r="G4" s="9"/>
      <c r="L4" s="92" t="s">
        <v>3</v>
      </c>
      <c r="M4" s="93"/>
      <c r="N4" s="3"/>
      <c r="O4" s="94" t="s">
        <v>4</v>
      </c>
      <c r="P4" s="93"/>
      <c r="Q4" s="3"/>
      <c r="R4" s="94" t="s">
        <v>5</v>
      </c>
      <c r="S4" s="93"/>
      <c r="T4" s="3"/>
      <c r="U4" s="94" t="s">
        <v>6</v>
      </c>
      <c r="V4" s="95"/>
    </row>
    <row r="5" spans="1:22" ht="60" customHeight="1">
      <c r="B5" s="7" t="s">
        <v>3</v>
      </c>
      <c r="C5" s="4" t="s">
        <v>4</v>
      </c>
      <c r="D5" s="4" t="s">
        <v>5</v>
      </c>
      <c r="E5" s="4" t="s">
        <v>6</v>
      </c>
      <c r="F5" s="4" t="s">
        <v>7</v>
      </c>
      <c r="G5" s="10" t="s">
        <v>8</v>
      </c>
      <c r="L5" s="19" t="s">
        <v>9</v>
      </c>
      <c r="M5" s="18" t="s">
        <v>10</v>
      </c>
      <c r="N5" s="18"/>
      <c r="O5" s="18" t="s">
        <v>9</v>
      </c>
      <c r="P5" s="18" t="s">
        <v>10</v>
      </c>
      <c r="Q5" s="18"/>
      <c r="R5" s="18" t="s">
        <v>9</v>
      </c>
      <c r="S5" s="18" t="s">
        <v>10</v>
      </c>
      <c r="T5" s="18"/>
      <c r="U5" s="18" t="s">
        <v>9</v>
      </c>
      <c r="V5" s="20" t="s">
        <v>10</v>
      </c>
    </row>
    <row r="6" spans="1:22">
      <c r="A6" s="1" t="s">
        <v>11</v>
      </c>
      <c r="B6" s="6">
        <v>-391672.82897606993</v>
      </c>
      <c r="C6" s="1">
        <v>0</v>
      </c>
      <c r="D6" s="1">
        <v>0</v>
      </c>
      <c r="E6" s="1">
        <v>0</v>
      </c>
      <c r="F6" s="1">
        <v>0</v>
      </c>
      <c r="G6" s="9">
        <f>SUM(AL_FINANCIAL)</f>
        <v>-391672.82897606993</v>
      </c>
      <c r="L6" s="6"/>
      <c r="V6" s="9"/>
    </row>
    <row r="7" spans="1:22">
      <c r="A7" s="1" t="s">
        <v>12</v>
      </c>
      <c r="B7" s="6">
        <v>12748.041751591705</v>
      </c>
      <c r="C7" s="1">
        <v>0</v>
      </c>
      <c r="D7" s="1">
        <v>0</v>
      </c>
      <c r="E7" s="1">
        <v>0</v>
      </c>
      <c r="F7" s="1">
        <v>0</v>
      </c>
      <c r="G7" s="9">
        <f>SUM(AK_FINANCIAL)</f>
        <v>12748.041751591705</v>
      </c>
      <c r="I7" s="12"/>
      <c r="J7" s="15"/>
      <c r="L7" s="6"/>
      <c r="V7" s="9"/>
    </row>
    <row r="8" spans="1:22">
      <c r="A8" s="1" t="s">
        <v>13</v>
      </c>
      <c r="B8" s="6">
        <v>2057389.648148526</v>
      </c>
      <c r="C8" s="1">
        <v>34930.124350771366</v>
      </c>
      <c r="D8" s="1">
        <v>0</v>
      </c>
      <c r="E8" s="1">
        <v>0</v>
      </c>
      <c r="F8" s="1">
        <v>0</v>
      </c>
      <c r="G8" s="9">
        <f>SUM(AZ_FINANCIAL)</f>
        <v>2092319.7724992973</v>
      </c>
      <c r="I8" s="13" t="s">
        <v>14</v>
      </c>
      <c r="J8" s="16"/>
      <c r="L8" s="6"/>
      <c r="V8" s="9"/>
    </row>
    <row r="9" spans="1:22">
      <c r="A9" s="1" t="s">
        <v>15</v>
      </c>
      <c r="B9" s="6">
        <v>2577836.175690975</v>
      </c>
      <c r="C9" s="1">
        <v>84439.922223022353</v>
      </c>
      <c r="D9" s="1">
        <v>0</v>
      </c>
      <c r="E9" s="1">
        <v>0</v>
      </c>
      <c r="F9" s="1">
        <v>0</v>
      </c>
      <c r="G9" s="9">
        <f>SUM(AR_FINANCIAL)</f>
        <v>2662276.0979139972</v>
      </c>
      <c r="I9" s="13"/>
      <c r="J9" s="16"/>
      <c r="L9" s="6">
        <v>2500000</v>
      </c>
      <c r="M9" s="1">
        <v>0</v>
      </c>
      <c r="O9" s="1">
        <v>0</v>
      </c>
      <c r="P9" s="1">
        <v>0</v>
      </c>
      <c r="R9" s="1">
        <v>0</v>
      </c>
      <c r="S9" s="1">
        <v>0</v>
      </c>
      <c r="U9" s="1">
        <v>0</v>
      </c>
      <c r="V9" s="9">
        <v>0</v>
      </c>
    </row>
    <row r="10" spans="1:22">
      <c r="A10" s="1" t="s">
        <v>16</v>
      </c>
      <c r="B10" s="6">
        <v>7259326.1815401632</v>
      </c>
      <c r="C10" s="1">
        <v>36067.158354532236</v>
      </c>
      <c r="D10" s="1">
        <v>0</v>
      </c>
      <c r="E10" s="1">
        <v>0</v>
      </c>
      <c r="F10" s="1">
        <v>0</v>
      </c>
      <c r="G10" s="9">
        <f>SUM(CA_FINANCIAL)</f>
        <v>7295393.3398946952</v>
      </c>
      <c r="I10" s="13" t="s">
        <v>17</v>
      </c>
      <c r="J10" s="16">
        <v>423100428.63000023</v>
      </c>
      <c r="L10" s="6">
        <v>9000000</v>
      </c>
      <c r="M10" s="1">
        <v>0</v>
      </c>
      <c r="O10" s="1">
        <v>0</v>
      </c>
      <c r="P10" s="1">
        <v>0</v>
      </c>
      <c r="R10" s="1">
        <v>0</v>
      </c>
      <c r="S10" s="1">
        <v>0</v>
      </c>
      <c r="U10" s="1">
        <v>0</v>
      </c>
      <c r="V10" s="9">
        <v>0</v>
      </c>
    </row>
    <row r="11" spans="1:22">
      <c r="A11" s="1" t="s">
        <v>18</v>
      </c>
      <c r="B11" s="6">
        <v>246901.26591258077</v>
      </c>
      <c r="C11" s="1">
        <v>0</v>
      </c>
      <c r="D11" s="1">
        <v>0</v>
      </c>
      <c r="E11" s="1">
        <v>0</v>
      </c>
      <c r="F11" s="1">
        <v>0</v>
      </c>
      <c r="G11" s="9">
        <f>SUM(CO_FINANCIAL)</f>
        <v>246901.26591258077</v>
      </c>
      <c r="I11" s="13"/>
      <c r="J11" s="16"/>
      <c r="L11" s="6">
        <v>410000</v>
      </c>
      <c r="M11" s="1">
        <v>0</v>
      </c>
      <c r="O11" s="1">
        <v>0</v>
      </c>
      <c r="P11" s="1">
        <v>0</v>
      </c>
      <c r="R11" s="1">
        <v>0</v>
      </c>
      <c r="S11" s="1">
        <v>0</v>
      </c>
      <c r="U11" s="1">
        <v>0</v>
      </c>
      <c r="V11" s="9">
        <v>0</v>
      </c>
    </row>
    <row r="12" spans="1:22">
      <c r="A12" s="1" t="s">
        <v>19</v>
      </c>
      <c r="B12" s="6">
        <v>43767.971137619083</v>
      </c>
      <c r="C12" s="1">
        <v>2378.6381835146458</v>
      </c>
      <c r="D12" s="1">
        <v>0</v>
      </c>
      <c r="E12" s="1">
        <v>0</v>
      </c>
      <c r="F12" s="1">
        <v>0</v>
      </c>
      <c r="G12" s="9">
        <f>SUM(CT_FINANCIAL)</f>
        <v>46146.609321133728</v>
      </c>
      <c r="I12" s="13" t="s">
        <v>20</v>
      </c>
      <c r="J12" s="16"/>
      <c r="L12" s="6">
        <v>99230</v>
      </c>
      <c r="M12" s="1">
        <v>0</v>
      </c>
      <c r="O12" s="1">
        <v>0</v>
      </c>
      <c r="P12" s="1">
        <v>0</v>
      </c>
      <c r="R12" s="1">
        <v>0</v>
      </c>
      <c r="S12" s="1">
        <v>0</v>
      </c>
      <c r="U12" s="1">
        <v>0</v>
      </c>
      <c r="V12" s="9">
        <v>0</v>
      </c>
    </row>
    <row r="13" spans="1:22">
      <c r="A13" s="1" t="s">
        <v>21</v>
      </c>
      <c r="B13" s="6">
        <v>11401.76673567346</v>
      </c>
      <c r="C13" s="1">
        <v>0</v>
      </c>
      <c r="D13" s="1">
        <v>0</v>
      </c>
      <c r="E13" s="1">
        <v>0</v>
      </c>
      <c r="F13" s="1">
        <v>0</v>
      </c>
      <c r="G13" s="9">
        <f>SUM(DE_FINANCIAL)</f>
        <v>11401.76673567346</v>
      </c>
      <c r="I13" s="13" t="s">
        <v>22</v>
      </c>
      <c r="J13" s="16">
        <v>213422712.53399998</v>
      </c>
      <c r="L13" s="6"/>
      <c r="V13" s="9"/>
    </row>
    <row r="14" spans="1:22">
      <c r="A14" s="1" t="s">
        <v>23</v>
      </c>
      <c r="B14" s="6">
        <v>5440.6874156855338</v>
      </c>
      <c r="C14" s="1">
        <v>0</v>
      </c>
      <c r="D14" s="1">
        <v>0</v>
      </c>
      <c r="E14" s="1">
        <v>0</v>
      </c>
      <c r="F14" s="1">
        <v>0</v>
      </c>
      <c r="G14" s="9">
        <f>SUM(DC_FINANCIAL)</f>
        <v>5440.6874156855338</v>
      </c>
      <c r="I14" s="13" t="s">
        <v>24</v>
      </c>
      <c r="J14" s="16">
        <v>33488413.679999989</v>
      </c>
      <c r="L14" s="6"/>
      <c r="V14" s="9"/>
    </row>
    <row r="15" spans="1:22">
      <c r="A15" s="1" t="s">
        <v>25</v>
      </c>
      <c r="B15" s="6">
        <v>52338.584142488609</v>
      </c>
      <c r="C15" s="1">
        <v>0</v>
      </c>
      <c r="D15" s="1">
        <v>0</v>
      </c>
      <c r="E15" s="1">
        <v>0</v>
      </c>
      <c r="F15" s="1">
        <v>0</v>
      </c>
      <c r="G15" s="9">
        <f>SUM(FL_FINANCIAL)</f>
        <v>52338.584142488609</v>
      </c>
      <c r="I15" s="13" t="s">
        <v>26</v>
      </c>
      <c r="J15" s="16">
        <v>47498515.537053429</v>
      </c>
      <c r="L15" s="6"/>
      <c r="V15" s="9"/>
    </row>
    <row r="16" spans="1:22">
      <c r="A16" s="1" t="s">
        <v>27</v>
      </c>
      <c r="B16" s="6">
        <v>555171.59616034594</v>
      </c>
      <c r="C16" s="1">
        <v>109.21372284498648</v>
      </c>
      <c r="D16" s="1">
        <v>0</v>
      </c>
      <c r="E16" s="1">
        <v>0</v>
      </c>
      <c r="F16" s="1">
        <v>0</v>
      </c>
      <c r="G16" s="9">
        <f>SUM(GA_FINANCIAL)</f>
        <v>555280.8098831909</v>
      </c>
      <c r="I16" s="13" t="s">
        <v>28</v>
      </c>
      <c r="J16" s="16">
        <v>9824750.6199999861</v>
      </c>
      <c r="L16" s="6"/>
      <c r="V16" s="9"/>
    </row>
    <row r="17" spans="1:22">
      <c r="A17" s="1" t="s">
        <v>29</v>
      </c>
      <c r="B17" s="6">
        <v>7418.7423295137996</v>
      </c>
      <c r="C17" s="1">
        <v>0</v>
      </c>
      <c r="D17" s="1">
        <v>0</v>
      </c>
      <c r="E17" s="1">
        <v>0</v>
      </c>
      <c r="F17" s="1">
        <v>0</v>
      </c>
      <c r="G17" s="9">
        <f>SUM(HI_FINANCIAL)</f>
        <v>7418.7423295137996</v>
      </c>
      <c r="I17" s="13"/>
      <c r="J17" s="16"/>
      <c r="L17" s="6"/>
      <c r="V17" s="9"/>
    </row>
    <row r="18" spans="1:22">
      <c r="A18" s="1" t="s">
        <v>30</v>
      </c>
      <c r="B18" s="6">
        <v>15841.143301237447</v>
      </c>
      <c r="C18" s="1">
        <v>0</v>
      </c>
      <c r="D18" s="1">
        <v>0</v>
      </c>
      <c r="E18" s="1">
        <v>0</v>
      </c>
      <c r="F18" s="1">
        <v>0</v>
      </c>
      <c r="G18" s="9">
        <f>SUM(ID_FINANCIAL)</f>
        <v>15841.143301237447</v>
      </c>
      <c r="I18" s="13" t="s">
        <v>31</v>
      </c>
      <c r="J18" s="16"/>
      <c r="L18" s="6"/>
      <c r="V18" s="9"/>
    </row>
    <row r="19" spans="1:22">
      <c r="A19" s="1" t="s">
        <v>32</v>
      </c>
      <c r="B19" s="6">
        <v>32388537.723644577</v>
      </c>
      <c r="C19" s="1">
        <v>-1157.398228285354</v>
      </c>
      <c r="D19" s="1">
        <v>0</v>
      </c>
      <c r="E19" s="1">
        <v>0</v>
      </c>
      <c r="F19" s="1">
        <v>0</v>
      </c>
      <c r="G19" s="9">
        <f>SUM(IL_FINANCIAL)</f>
        <v>32387380.325416293</v>
      </c>
      <c r="I19" s="13" t="s">
        <v>33</v>
      </c>
      <c r="J19" s="16">
        <v>0</v>
      </c>
      <c r="L19" s="6">
        <v>50000000</v>
      </c>
      <c r="M19" s="1">
        <v>0</v>
      </c>
      <c r="O19" s="1">
        <v>600000</v>
      </c>
      <c r="P19" s="1">
        <v>0</v>
      </c>
      <c r="R19" s="1">
        <v>0</v>
      </c>
      <c r="S19" s="1">
        <v>0</v>
      </c>
      <c r="U19" s="1">
        <v>0</v>
      </c>
      <c r="V19" s="9">
        <v>0</v>
      </c>
    </row>
    <row r="20" spans="1:22">
      <c r="A20" s="1" t="s">
        <v>34</v>
      </c>
      <c r="B20" s="6">
        <v>7657302.2246064078</v>
      </c>
      <c r="C20" s="1">
        <v>0</v>
      </c>
      <c r="D20" s="1">
        <v>0</v>
      </c>
      <c r="E20" s="1">
        <v>0</v>
      </c>
      <c r="F20" s="1">
        <v>0</v>
      </c>
      <c r="G20" s="9">
        <f>SUM(IN_FINANCIAL)</f>
        <v>7657302.2246064078</v>
      </c>
      <c r="I20" s="13" t="s">
        <v>35</v>
      </c>
      <c r="J20" s="16">
        <v>302104085.69485641</v>
      </c>
      <c r="L20" s="6">
        <v>7126300</v>
      </c>
      <c r="M20" s="1">
        <v>0</v>
      </c>
      <c r="O20" s="1">
        <v>0</v>
      </c>
      <c r="P20" s="1">
        <v>0</v>
      </c>
      <c r="R20" s="1">
        <v>0</v>
      </c>
      <c r="S20" s="1">
        <v>0</v>
      </c>
      <c r="U20" s="1">
        <v>0</v>
      </c>
      <c r="V20" s="9">
        <v>0</v>
      </c>
    </row>
    <row r="21" spans="1:22">
      <c r="A21" s="1" t="s">
        <v>36</v>
      </c>
      <c r="B21" s="6">
        <v>14045787.390180865</v>
      </c>
      <c r="C21" s="1">
        <v>4064.9736142503098</v>
      </c>
      <c r="D21" s="1">
        <v>0</v>
      </c>
      <c r="E21" s="1">
        <v>0</v>
      </c>
      <c r="F21" s="1">
        <v>0</v>
      </c>
      <c r="G21" s="9">
        <f>SUM(IA_FINANCIAL)</f>
        <v>14049852.363795117</v>
      </c>
      <c r="I21" s="13" t="s">
        <v>37</v>
      </c>
      <c r="J21" s="16"/>
      <c r="L21" s="6">
        <v>18100000</v>
      </c>
      <c r="M21" s="1">
        <v>0</v>
      </c>
      <c r="O21" s="1">
        <v>0</v>
      </c>
      <c r="P21" s="1">
        <v>0</v>
      </c>
      <c r="R21" s="1">
        <v>0</v>
      </c>
      <c r="S21" s="1">
        <v>0</v>
      </c>
      <c r="U21" s="1">
        <v>0</v>
      </c>
      <c r="V21" s="9">
        <v>0</v>
      </c>
    </row>
    <row r="22" spans="1:22">
      <c r="A22" s="1" t="s">
        <v>38</v>
      </c>
      <c r="B22" s="6">
        <v>13028921.653937483</v>
      </c>
      <c r="C22" s="1">
        <v>0</v>
      </c>
      <c r="D22" s="1">
        <v>0</v>
      </c>
      <c r="E22" s="1">
        <v>0</v>
      </c>
      <c r="F22" s="1">
        <v>0</v>
      </c>
      <c r="G22" s="9">
        <f>SUM(KS_FINANCIAL)</f>
        <v>13028921.653937483</v>
      </c>
      <c r="I22" s="13" t="s">
        <v>39</v>
      </c>
      <c r="J22" s="16">
        <v>-3132835.1357204714</v>
      </c>
      <c r="L22" s="6">
        <v>17200000</v>
      </c>
      <c r="M22" s="1">
        <v>0</v>
      </c>
      <c r="O22" s="1">
        <v>0</v>
      </c>
      <c r="P22" s="1">
        <v>0</v>
      </c>
      <c r="R22" s="1">
        <v>0</v>
      </c>
      <c r="S22" s="1">
        <v>0</v>
      </c>
      <c r="U22" s="1">
        <v>0</v>
      </c>
      <c r="V22" s="9">
        <v>0</v>
      </c>
    </row>
    <row r="23" spans="1:22">
      <c r="A23" s="1" t="s">
        <v>40</v>
      </c>
      <c r="B23" s="6">
        <v>6648916.6985218311</v>
      </c>
      <c r="C23" s="1">
        <v>0</v>
      </c>
      <c r="D23" s="1">
        <v>0</v>
      </c>
      <c r="E23" s="1">
        <v>0</v>
      </c>
      <c r="F23" s="1">
        <v>0</v>
      </c>
      <c r="G23" s="9">
        <f>SUM(KY_FINANCIAL)</f>
        <v>6648916.6985218311</v>
      </c>
      <c r="I23" s="13" t="s">
        <v>41</v>
      </c>
      <c r="J23" s="16"/>
      <c r="L23" s="6">
        <v>12097362</v>
      </c>
      <c r="M23" s="1">
        <v>0</v>
      </c>
      <c r="O23" s="1">
        <v>0</v>
      </c>
      <c r="P23" s="1">
        <v>0</v>
      </c>
      <c r="R23" s="1">
        <v>0</v>
      </c>
      <c r="S23" s="1">
        <v>0</v>
      </c>
      <c r="U23" s="1">
        <v>0</v>
      </c>
      <c r="V23" s="9">
        <v>0</v>
      </c>
    </row>
    <row r="24" spans="1:22">
      <c r="A24" s="1" t="s">
        <v>42</v>
      </c>
      <c r="B24" s="6">
        <v>1648461.9938528193</v>
      </c>
      <c r="C24" s="1">
        <v>0</v>
      </c>
      <c r="D24" s="1">
        <v>0</v>
      </c>
      <c r="E24" s="1">
        <v>0</v>
      </c>
      <c r="F24" s="1">
        <v>0</v>
      </c>
      <c r="G24" s="9">
        <f>SUM(LA_FINANCIAL)</f>
        <v>1648461.9938528193</v>
      </c>
      <c r="I24" s="13" t="s">
        <v>43</v>
      </c>
      <c r="J24" s="16">
        <v>216825720.96636879</v>
      </c>
      <c r="L24" s="6">
        <v>1120000</v>
      </c>
      <c r="M24" s="1">
        <v>0</v>
      </c>
      <c r="O24" s="1">
        <v>0</v>
      </c>
      <c r="P24" s="1">
        <v>0</v>
      </c>
      <c r="R24" s="1">
        <v>0</v>
      </c>
      <c r="S24" s="1">
        <v>0</v>
      </c>
      <c r="U24" s="1">
        <v>0</v>
      </c>
      <c r="V24" s="9">
        <v>0</v>
      </c>
    </row>
    <row r="25" spans="1:22">
      <c r="A25" s="1" t="s">
        <v>44</v>
      </c>
      <c r="B25" s="6">
        <v>10810.903287205487</v>
      </c>
      <c r="C25" s="1">
        <v>0</v>
      </c>
      <c r="D25" s="1">
        <v>0</v>
      </c>
      <c r="E25" s="1">
        <v>0</v>
      </c>
      <c r="F25" s="1">
        <v>0</v>
      </c>
      <c r="G25" s="9">
        <f>SUM(ME_FINANCIAL)</f>
        <v>10810.903287205487</v>
      </c>
      <c r="I25" s="13"/>
      <c r="J25" s="16"/>
      <c r="L25" s="6"/>
      <c r="V25" s="9"/>
    </row>
    <row r="26" spans="1:22">
      <c r="A26" s="1" t="s">
        <v>45</v>
      </c>
      <c r="B26" s="6">
        <v>94000.105811282323</v>
      </c>
      <c r="C26" s="1">
        <v>0</v>
      </c>
      <c r="D26" s="1">
        <v>0</v>
      </c>
      <c r="E26" s="1">
        <v>0</v>
      </c>
      <c r="F26" s="1">
        <v>0</v>
      </c>
      <c r="G26" s="9">
        <f>SUM(MD_FINANCIAL)</f>
        <v>94000.105811282323</v>
      </c>
      <c r="I26" s="13" t="s">
        <v>46</v>
      </c>
      <c r="J26" s="16">
        <f>SUM(ADD_FINANCIAL)-SUM(LESS_FINANCIAL)</f>
        <v>211537849.47554898</v>
      </c>
      <c r="L26" s="6"/>
      <c r="V26" s="9"/>
    </row>
    <row r="27" spans="1:22">
      <c r="A27" s="1" t="s">
        <v>47</v>
      </c>
      <c r="B27" s="6">
        <v>0</v>
      </c>
      <c r="C27" s="1">
        <v>0</v>
      </c>
      <c r="D27" s="1">
        <v>0</v>
      </c>
      <c r="E27" s="1">
        <v>0</v>
      </c>
      <c r="F27" s="1">
        <v>0</v>
      </c>
      <c r="G27" s="9">
        <f>SUM(MA_FINANCIAL)</f>
        <v>0</v>
      </c>
      <c r="I27" s="13" t="s">
        <v>48</v>
      </c>
      <c r="J27" s="16">
        <f>SUM(ALL_BLOCKS)</f>
        <v>211537849.47554892</v>
      </c>
      <c r="L27" s="6"/>
      <c r="V27" s="9"/>
    </row>
    <row r="28" spans="1:22">
      <c r="A28" s="1" t="s">
        <v>49</v>
      </c>
      <c r="B28" s="6">
        <v>251296.1877106739</v>
      </c>
      <c r="C28" s="1">
        <v>0</v>
      </c>
      <c r="D28" s="1">
        <v>0</v>
      </c>
      <c r="E28" s="1">
        <v>0</v>
      </c>
      <c r="F28" s="1">
        <v>0</v>
      </c>
      <c r="G28" s="9">
        <f>SUM(MI_FINANCIAL)</f>
        <v>251296.1877106739</v>
      </c>
      <c r="I28" s="14"/>
      <c r="J28" s="17"/>
      <c r="L28" s="6"/>
      <c r="V28" s="9"/>
    </row>
    <row r="29" spans="1:22">
      <c r="A29" s="1" t="s">
        <v>50</v>
      </c>
      <c r="B29" s="6">
        <v>187930.89991160558</v>
      </c>
      <c r="C29" s="1">
        <v>616.55509082489152</v>
      </c>
      <c r="D29" s="1">
        <v>0</v>
      </c>
      <c r="E29" s="1">
        <v>0</v>
      </c>
      <c r="F29" s="1">
        <v>0</v>
      </c>
      <c r="G29" s="9">
        <f>SUM(MN_FINANCIAL)</f>
        <v>188547.45500243048</v>
      </c>
      <c r="L29" s="6"/>
      <c r="V29" s="9"/>
    </row>
    <row r="30" spans="1:22">
      <c r="A30" s="1" t="s">
        <v>51</v>
      </c>
      <c r="B30" s="6">
        <v>-238327.34424236222</v>
      </c>
      <c r="C30" s="1">
        <v>0</v>
      </c>
      <c r="D30" s="1">
        <v>0</v>
      </c>
      <c r="E30" s="1">
        <v>0</v>
      </c>
      <c r="F30" s="1">
        <v>0</v>
      </c>
      <c r="G30" s="9">
        <f>SUM(MS_FINANCIAL)</f>
        <v>-238327.34424236222</v>
      </c>
      <c r="L30" s="6"/>
      <c r="V30" s="9"/>
    </row>
    <row r="31" spans="1:22">
      <c r="A31" s="1" t="s">
        <v>52</v>
      </c>
      <c r="B31" s="6">
        <v>92471351.121162191</v>
      </c>
      <c r="C31" s="1">
        <v>97661.756619732827</v>
      </c>
      <c r="D31" s="1">
        <v>0</v>
      </c>
      <c r="E31" s="1">
        <v>0</v>
      </c>
      <c r="F31" s="1">
        <v>0</v>
      </c>
      <c r="G31" s="9">
        <f>SUM(MO_FINANCIAL)</f>
        <v>92569012.877781928</v>
      </c>
      <c r="L31" s="6">
        <v>114491630</v>
      </c>
      <c r="M31" s="1">
        <v>0</v>
      </c>
      <c r="O31" s="1">
        <v>0</v>
      </c>
      <c r="P31" s="1">
        <v>0</v>
      </c>
      <c r="R31" s="1">
        <v>0</v>
      </c>
      <c r="S31" s="1">
        <v>0</v>
      </c>
      <c r="U31" s="1">
        <v>0</v>
      </c>
      <c r="V31" s="9">
        <v>0</v>
      </c>
    </row>
    <row r="32" spans="1:22">
      <c r="A32" s="1" t="s">
        <v>53</v>
      </c>
      <c r="B32" s="6">
        <v>42430.571018974879</v>
      </c>
      <c r="C32" s="1">
        <v>0</v>
      </c>
      <c r="D32" s="1">
        <v>0</v>
      </c>
      <c r="E32" s="1">
        <v>0</v>
      </c>
      <c r="F32" s="1">
        <v>0</v>
      </c>
      <c r="G32" s="9">
        <f>SUM(MT_FINANCIAL)</f>
        <v>42430.571018974879</v>
      </c>
      <c r="L32" s="6"/>
      <c r="V32" s="9"/>
    </row>
    <row r="33" spans="1:22">
      <c r="A33" s="1" t="s">
        <v>54</v>
      </c>
      <c r="B33" s="6">
        <v>2486649.6132020815</v>
      </c>
      <c r="C33" s="1">
        <v>0</v>
      </c>
      <c r="D33" s="1">
        <v>0</v>
      </c>
      <c r="E33" s="1">
        <v>0</v>
      </c>
      <c r="F33" s="1">
        <v>0</v>
      </c>
      <c r="G33" s="9">
        <f>SUM(NE_FINANCIAL)</f>
        <v>2486649.6132020815</v>
      </c>
      <c r="L33" s="6"/>
      <c r="V33" s="9"/>
    </row>
    <row r="34" spans="1:22">
      <c r="A34" s="1" t="s">
        <v>55</v>
      </c>
      <c r="B34" s="6">
        <v>89242.8834759499</v>
      </c>
      <c r="C34" s="1">
        <v>0</v>
      </c>
      <c r="D34" s="1">
        <v>0</v>
      </c>
      <c r="E34" s="1">
        <v>0</v>
      </c>
      <c r="F34" s="1">
        <v>0</v>
      </c>
      <c r="G34" s="9">
        <f>SUM(NV_FINANCIAL)</f>
        <v>89242.8834759499</v>
      </c>
      <c r="L34" s="6"/>
      <c r="V34" s="9"/>
    </row>
    <row r="35" spans="1:22">
      <c r="A35" s="1" t="s">
        <v>56</v>
      </c>
      <c r="B35" s="6">
        <v>0</v>
      </c>
      <c r="C35" s="1">
        <v>0</v>
      </c>
      <c r="D35" s="1">
        <v>0</v>
      </c>
      <c r="E35" s="1">
        <v>0</v>
      </c>
      <c r="F35" s="1">
        <v>0</v>
      </c>
      <c r="G35" s="9">
        <f>SUM(NH_FINANCIAL)</f>
        <v>0</v>
      </c>
      <c r="L35" s="6"/>
      <c r="V35" s="9"/>
    </row>
    <row r="36" spans="1:22">
      <c r="A36" s="1" t="s">
        <v>57</v>
      </c>
      <c r="B36" s="6">
        <v>0</v>
      </c>
      <c r="C36" s="1">
        <v>0</v>
      </c>
      <c r="D36" s="1">
        <v>0</v>
      </c>
      <c r="E36" s="1">
        <v>0</v>
      </c>
      <c r="F36" s="1">
        <v>0</v>
      </c>
      <c r="G36" s="9">
        <f>SUM(NJ_FINANCIAL)</f>
        <v>0</v>
      </c>
      <c r="L36" s="6"/>
      <c r="V36" s="9"/>
    </row>
    <row r="37" spans="1:22">
      <c r="A37" s="1" t="s">
        <v>58</v>
      </c>
      <c r="B37" s="6">
        <v>42665.9112850909</v>
      </c>
      <c r="C37" s="1">
        <v>0</v>
      </c>
      <c r="D37" s="1">
        <v>0</v>
      </c>
      <c r="E37" s="1">
        <v>0</v>
      </c>
      <c r="F37" s="1">
        <v>0</v>
      </c>
      <c r="G37" s="9">
        <f>SUM(NM_FINANCIAL)</f>
        <v>42665.9112850909</v>
      </c>
      <c r="L37" s="6"/>
      <c r="V37" s="9"/>
    </row>
    <row r="38" spans="1:22">
      <c r="A38" s="1" t="s">
        <v>59</v>
      </c>
      <c r="B38" s="6">
        <v>0</v>
      </c>
      <c r="C38" s="1">
        <v>0</v>
      </c>
      <c r="D38" s="1">
        <v>0</v>
      </c>
      <c r="E38" s="1">
        <v>0</v>
      </c>
      <c r="F38" s="1">
        <v>0</v>
      </c>
      <c r="G38" s="9">
        <f>SUM(NY_FINANCIAL)</f>
        <v>0</v>
      </c>
      <c r="L38" s="6"/>
      <c r="V38" s="9"/>
    </row>
    <row r="39" spans="1:22">
      <c r="A39" s="1" t="s">
        <v>60</v>
      </c>
      <c r="B39" s="6">
        <v>16193.927908864775</v>
      </c>
      <c r="C39" s="1">
        <v>0</v>
      </c>
      <c r="D39" s="1">
        <v>0</v>
      </c>
      <c r="E39" s="1">
        <v>0</v>
      </c>
      <c r="F39" s="1">
        <v>0</v>
      </c>
      <c r="G39" s="9">
        <f>SUM(NC_FINANCIAL)</f>
        <v>16193.927908864775</v>
      </c>
      <c r="L39" s="6"/>
      <c r="V39" s="9"/>
    </row>
    <row r="40" spans="1:22">
      <c r="A40" s="1" t="s">
        <v>61</v>
      </c>
      <c r="B40" s="6">
        <v>-144.39303927984292</v>
      </c>
      <c r="C40" s="1">
        <v>0</v>
      </c>
      <c r="D40" s="1">
        <v>0</v>
      </c>
      <c r="E40" s="1">
        <v>0</v>
      </c>
      <c r="F40" s="1">
        <v>0</v>
      </c>
      <c r="G40" s="9">
        <f>SUM(ND_FINANCIAL)</f>
        <v>-144.39303927984292</v>
      </c>
      <c r="L40" s="6"/>
      <c r="V40" s="9"/>
    </row>
    <row r="41" spans="1:22">
      <c r="A41" s="1" t="s">
        <v>62</v>
      </c>
      <c r="B41" s="6">
        <v>10563732.847903963</v>
      </c>
      <c r="C41" s="1">
        <v>0</v>
      </c>
      <c r="D41" s="1">
        <v>0</v>
      </c>
      <c r="E41" s="1">
        <v>0</v>
      </c>
      <c r="F41" s="1">
        <v>0</v>
      </c>
      <c r="G41" s="9">
        <f>SUM(OH_FINANCIAL)</f>
        <v>10563732.847903963</v>
      </c>
      <c r="L41" s="6">
        <v>7600000</v>
      </c>
      <c r="M41" s="1">
        <v>0</v>
      </c>
      <c r="O41" s="1">
        <v>0</v>
      </c>
      <c r="P41" s="1">
        <v>0</v>
      </c>
      <c r="R41" s="1">
        <v>0</v>
      </c>
      <c r="S41" s="1">
        <v>0</v>
      </c>
      <c r="U41" s="1">
        <v>0</v>
      </c>
      <c r="V41" s="9">
        <v>0</v>
      </c>
    </row>
    <row r="42" spans="1:22">
      <c r="A42" s="1" t="s">
        <v>63</v>
      </c>
      <c r="B42" s="6">
        <v>9475017.649491746</v>
      </c>
      <c r="C42" s="1">
        <v>0</v>
      </c>
      <c r="D42" s="1">
        <v>0</v>
      </c>
      <c r="E42" s="1">
        <v>0</v>
      </c>
      <c r="F42" s="1">
        <v>0</v>
      </c>
      <c r="G42" s="9">
        <f>SUM(OK_FINANCIAL)</f>
        <v>9475017.649491746</v>
      </c>
      <c r="L42" s="6">
        <v>15200000</v>
      </c>
      <c r="M42" s="1">
        <v>0</v>
      </c>
      <c r="O42" s="1">
        <v>0</v>
      </c>
      <c r="P42" s="1">
        <v>0</v>
      </c>
      <c r="R42" s="1">
        <v>0</v>
      </c>
      <c r="S42" s="1">
        <v>0</v>
      </c>
      <c r="U42" s="1">
        <v>0</v>
      </c>
      <c r="V42" s="9">
        <v>0</v>
      </c>
    </row>
    <row r="43" spans="1:22">
      <c r="A43" s="1" t="s">
        <v>64</v>
      </c>
      <c r="B43" s="6">
        <v>99383.123637554032</v>
      </c>
      <c r="C43" s="1">
        <v>0</v>
      </c>
      <c r="D43" s="1">
        <v>0</v>
      </c>
      <c r="E43" s="1">
        <v>0</v>
      </c>
      <c r="F43" s="1">
        <v>0</v>
      </c>
      <c r="G43" s="9">
        <f>SUM(OR_FINANCIAL)</f>
        <v>99383.123637554032</v>
      </c>
      <c r="L43" s="6"/>
      <c r="V43" s="9"/>
    </row>
    <row r="44" spans="1:22">
      <c r="A44" s="1" t="s">
        <v>65</v>
      </c>
      <c r="B44" s="6">
        <v>2669462.5030549029</v>
      </c>
      <c r="C44" s="1">
        <v>11967.302893857803</v>
      </c>
      <c r="D44" s="1">
        <v>0</v>
      </c>
      <c r="E44" s="1">
        <v>0</v>
      </c>
      <c r="F44" s="1">
        <v>0</v>
      </c>
      <c r="G44" s="9">
        <f>SUM(PA_FINANCIAL)</f>
        <v>2681429.8059487608</v>
      </c>
      <c r="L44" s="6">
        <v>2080000</v>
      </c>
      <c r="M44" s="1">
        <v>0</v>
      </c>
      <c r="O44" s="1">
        <v>0</v>
      </c>
      <c r="P44" s="1">
        <v>0</v>
      </c>
      <c r="R44" s="1">
        <v>0</v>
      </c>
      <c r="S44" s="1">
        <v>0</v>
      </c>
      <c r="U44" s="1">
        <v>0</v>
      </c>
      <c r="V44" s="9">
        <v>0</v>
      </c>
    </row>
    <row r="45" spans="1:22">
      <c r="A45" s="1" t="s">
        <v>66</v>
      </c>
      <c r="B45" s="6">
        <v>0</v>
      </c>
      <c r="C45" s="1">
        <v>0</v>
      </c>
      <c r="D45" s="1">
        <v>0</v>
      </c>
      <c r="E45" s="1">
        <v>0</v>
      </c>
      <c r="F45" s="1">
        <v>0</v>
      </c>
      <c r="G45" s="9">
        <f>SUM(PR_FINANCIAL)</f>
        <v>0</v>
      </c>
      <c r="L45" s="6"/>
      <c r="V45" s="9"/>
    </row>
    <row r="46" spans="1:22">
      <c r="A46" s="1" t="s">
        <v>67</v>
      </c>
      <c r="B46" s="6">
        <v>7021.5901168206956</v>
      </c>
      <c r="C46" s="1">
        <v>0</v>
      </c>
      <c r="D46" s="1">
        <v>0</v>
      </c>
      <c r="E46" s="1">
        <v>0</v>
      </c>
      <c r="F46" s="1">
        <v>0</v>
      </c>
      <c r="G46" s="9">
        <f>SUM(RI_FINANCIAL)</f>
        <v>7021.5901168206956</v>
      </c>
      <c r="L46" s="6">
        <v>20000</v>
      </c>
      <c r="M46" s="1">
        <v>0</v>
      </c>
      <c r="O46" s="1">
        <v>0</v>
      </c>
      <c r="P46" s="1">
        <v>0</v>
      </c>
      <c r="R46" s="1">
        <v>0</v>
      </c>
      <c r="S46" s="1">
        <v>0</v>
      </c>
      <c r="U46" s="1">
        <v>0</v>
      </c>
      <c r="V46" s="9">
        <v>0</v>
      </c>
    </row>
    <row r="47" spans="1:22">
      <c r="A47" s="1" t="s">
        <v>68</v>
      </c>
      <c r="B47" s="6">
        <v>-257987.7300029794</v>
      </c>
      <c r="C47" s="1">
        <v>0</v>
      </c>
      <c r="D47" s="1">
        <v>0</v>
      </c>
      <c r="E47" s="1">
        <v>0</v>
      </c>
      <c r="F47" s="1">
        <v>0</v>
      </c>
      <c r="G47" s="9">
        <f>SUM(SC_FINANCIAL)</f>
        <v>-257987.7300029794</v>
      </c>
      <c r="L47" s="6"/>
      <c r="V47" s="9"/>
    </row>
    <row r="48" spans="1:22">
      <c r="A48" s="1" t="s">
        <v>69</v>
      </c>
      <c r="B48" s="6">
        <v>105578.03994034369</v>
      </c>
      <c r="C48" s="1">
        <v>0</v>
      </c>
      <c r="D48" s="1">
        <v>0</v>
      </c>
      <c r="E48" s="1">
        <v>0</v>
      </c>
      <c r="F48" s="1">
        <v>0</v>
      </c>
      <c r="G48" s="9">
        <f>SUM(SD_FINANCIAL)</f>
        <v>105578.03994034369</v>
      </c>
      <c r="L48" s="6"/>
      <c r="V48" s="9"/>
    </row>
    <row r="49" spans="1:22">
      <c r="A49" s="1" t="s">
        <v>70</v>
      </c>
      <c r="B49" s="6">
        <v>3991402.3592010611</v>
      </c>
      <c r="C49" s="1">
        <v>2238.9004179994226</v>
      </c>
      <c r="D49" s="1">
        <v>0</v>
      </c>
      <c r="E49" s="1">
        <v>0</v>
      </c>
      <c r="F49" s="1">
        <v>0</v>
      </c>
      <c r="G49" s="9">
        <f>SUM(TN_FINANCIAL)</f>
        <v>3993641.2596190604</v>
      </c>
      <c r="L49" s="6"/>
      <c r="V49" s="9"/>
    </row>
    <row r="50" spans="1:22">
      <c r="A50" s="1" t="s">
        <v>71</v>
      </c>
      <c r="B50" s="6">
        <v>794060.56134483591</v>
      </c>
      <c r="C50" s="1">
        <v>2447.531495125615</v>
      </c>
      <c r="D50" s="1">
        <v>0</v>
      </c>
      <c r="E50" s="1">
        <v>0</v>
      </c>
      <c r="F50" s="1">
        <v>0</v>
      </c>
      <c r="G50" s="9">
        <f>SUM(TX_FINANCIAL)</f>
        <v>796508.09283996152</v>
      </c>
      <c r="L50" s="6">
        <v>19061000</v>
      </c>
      <c r="M50" s="1">
        <v>0</v>
      </c>
      <c r="O50" s="1">
        <v>0</v>
      </c>
      <c r="P50" s="1">
        <v>0</v>
      </c>
      <c r="R50" s="1">
        <v>0</v>
      </c>
      <c r="S50" s="1">
        <v>0</v>
      </c>
      <c r="U50" s="1">
        <v>0</v>
      </c>
      <c r="V50" s="9">
        <v>0</v>
      </c>
    </row>
    <row r="51" spans="1:22">
      <c r="A51" s="1" t="s">
        <v>72</v>
      </c>
      <c r="B51" s="6">
        <v>34855.293877665143</v>
      </c>
      <c r="C51" s="1">
        <v>0</v>
      </c>
      <c r="D51" s="1">
        <v>0</v>
      </c>
      <c r="E51" s="1">
        <v>0</v>
      </c>
      <c r="F51" s="1">
        <v>0</v>
      </c>
      <c r="G51" s="9">
        <f>SUM(UT_FINANCIAL)</f>
        <v>34855.293877665143</v>
      </c>
      <c r="L51" s="6"/>
      <c r="V51" s="9"/>
    </row>
    <row r="52" spans="1:22">
      <c r="A52" s="1" t="s">
        <v>73</v>
      </c>
      <c r="B52" s="6">
        <v>1992.7532123820883</v>
      </c>
      <c r="C52" s="1">
        <v>0</v>
      </c>
      <c r="D52" s="1">
        <v>0</v>
      </c>
      <c r="E52" s="1">
        <v>0</v>
      </c>
      <c r="F52" s="1">
        <v>0</v>
      </c>
      <c r="G52" s="9">
        <f>SUM(VT_FINANCIAL)</f>
        <v>1992.7532123820883</v>
      </c>
      <c r="L52" s="6"/>
      <c r="V52" s="9"/>
    </row>
    <row r="53" spans="1:22">
      <c r="A53" s="1" t="s">
        <v>74</v>
      </c>
      <c r="B53" s="6">
        <v>63932.308176876162</v>
      </c>
      <c r="C53" s="1">
        <v>411.08003924831064</v>
      </c>
      <c r="D53" s="1">
        <v>0</v>
      </c>
      <c r="E53" s="1">
        <v>0</v>
      </c>
      <c r="F53" s="1">
        <v>0</v>
      </c>
      <c r="G53" s="9">
        <f>SUM(VA_FINANCIAL)</f>
        <v>64343.388216124469</v>
      </c>
      <c r="L53" s="6"/>
      <c r="V53" s="9"/>
    </row>
    <row r="54" spans="1:22">
      <c r="A54" s="1" t="s">
        <v>75</v>
      </c>
      <c r="B54" s="6">
        <v>82986.989255203676</v>
      </c>
      <c r="C54" s="1">
        <v>0</v>
      </c>
      <c r="D54" s="1">
        <v>0</v>
      </c>
      <c r="E54" s="1">
        <v>0</v>
      </c>
      <c r="F54" s="1">
        <v>0</v>
      </c>
      <c r="G54" s="9">
        <f>SUM(WA_FINANCIAL)</f>
        <v>82986.989255203676</v>
      </c>
      <c r="L54" s="6"/>
      <c r="V54" s="9"/>
    </row>
    <row r="55" spans="1:22">
      <c r="A55" s="1" t="s">
        <v>76</v>
      </c>
      <c r="B55" s="6">
        <v>28354.752478689508</v>
      </c>
      <c r="C55" s="1">
        <v>0</v>
      </c>
      <c r="D55" s="1">
        <v>0</v>
      </c>
      <c r="E55" s="1">
        <v>0</v>
      </c>
      <c r="F55" s="1">
        <v>0</v>
      </c>
      <c r="G55" s="9">
        <f>SUM(WV_FINANCIAL)</f>
        <v>28354.752478689508</v>
      </c>
      <c r="L55" s="6">
        <v>150000</v>
      </c>
      <c r="M55" s="1">
        <v>0</v>
      </c>
      <c r="O55" s="1">
        <v>0</v>
      </c>
      <c r="P55" s="1">
        <v>0</v>
      </c>
      <c r="R55" s="1">
        <v>0</v>
      </c>
      <c r="S55" s="1">
        <v>0</v>
      </c>
      <c r="U55" s="1">
        <v>0</v>
      </c>
      <c r="V55" s="9">
        <v>0</v>
      </c>
    </row>
    <row r="56" spans="1:22">
      <c r="A56" s="1" t="s">
        <v>77</v>
      </c>
      <c r="B56" s="6">
        <v>303673.63336313044</v>
      </c>
      <c r="C56" s="1">
        <v>0</v>
      </c>
      <c r="D56" s="1">
        <v>0</v>
      </c>
      <c r="E56" s="1">
        <v>0</v>
      </c>
      <c r="F56" s="1">
        <v>0</v>
      </c>
      <c r="G56" s="9">
        <f>SUM(WI_FINANCIAL)</f>
        <v>303673.63336313044</v>
      </c>
      <c r="L56" s="6"/>
      <c r="V56" s="9"/>
    </row>
    <row r="57" spans="1:22">
      <c r="A57" s="1" t="s">
        <v>78</v>
      </c>
      <c r="B57" s="6">
        <v>-27730.005807366135</v>
      </c>
      <c r="C57" s="1">
        <v>0</v>
      </c>
      <c r="D57" s="1">
        <v>0</v>
      </c>
      <c r="E57" s="1">
        <v>0</v>
      </c>
      <c r="F57" s="1">
        <v>0</v>
      </c>
      <c r="G57" s="9">
        <f>SUM(WY_FINANCIAL)</f>
        <v>-27730.005807366135</v>
      </c>
      <c r="L57" s="6">
        <v>35000</v>
      </c>
      <c r="M57" s="1">
        <v>0</v>
      </c>
      <c r="O57" s="1">
        <v>0</v>
      </c>
      <c r="P57" s="1">
        <v>0</v>
      </c>
      <c r="R57" s="1">
        <v>0</v>
      </c>
      <c r="S57" s="1">
        <v>0</v>
      </c>
      <c r="U57" s="1">
        <v>0</v>
      </c>
      <c r="V57" s="9">
        <v>0</v>
      </c>
    </row>
    <row r="58" spans="1:22">
      <c r="A58" s="1" t="s">
        <v>79</v>
      </c>
      <c r="B58" s="6">
        <v>0</v>
      </c>
      <c r="C58" s="1">
        <v>0</v>
      </c>
      <c r="D58" s="1">
        <v>0</v>
      </c>
      <c r="E58" s="1">
        <v>0</v>
      </c>
      <c r="F58" s="1">
        <v>0</v>
      </c>
      <c r="G58" s="9">
        <f>SUM(OT_FINANCIAL)</f>
        <v>0</v>
      </c>
      <c r="L58" s="6"/>
      <c r="V58" s="9"/>
    </row>
    <row r="59" spans="1:22">
      <c r="B59" s="6"/>
      <c r="G59" s="9"/>
      <c r="L59" s="6"/>
      <c r="V59" s="9"/>
    </row>
    <row r="60" spans="1:22">
      <c r="A60" s="1" t="s">
        <v>8</v>
      </c>
      <c r="B60" s="6">
        <f>SUM(LIFE)</f>
        <v>211261673.71677151</v>
      </c>
      <c r="C60" s="1">
        <f>SUM(ALLOCATED)</f>
        <v>276175.75877743948</v>
      </c>
      <c r="D60" s="1">
        <f>SUM(HEALTH)</f>
        <v>0</v>
      </c>
      <c r="E60" s="1">
        <f>SUM(UNALLOCATED)</f>
        <v>0</v>
      </c>
      <c r="F60" s="1">
        <f>SUM(LTC)</f>
        <v>0</v>
      </c>
      <c r="G60" s="9">
        <f>SUM(ALL_BLOCKS)</f>
        <v>211537849.47554892</v>
      </c>
      <c r="L60" s="6">
        <f>SUM(LIFE_CALLED)</f>
        <v>276290522</v>
      </c>
      <c r="M60" s="1">
        <f>SUM(LIFE_REFUNDED)</f>
        <v>0</v>
      </c>
      <c r="O60" s="1">
        <f>SUM(ALLOC_CALLED)</f>
        <v>600000</v>
      </c>
      <c r="P60" s="1">
        <f>SUM(ALLOC_REFUNDED)</f>
        <v>0</v>
      </c>
      <c r="R60" s="1">
        <f>SUM(HEALTH_CALLED)</f>
        <v>0</v>
      </c>
      <c r="S60" s="1">
        <f>SUM(HEALTH_REFUNDED)</f>
        <v>0</v>
      </c>
      <c r="U60" s="1">
        <f>SUM(UNALLOC_CALLED)</f>
        <v>0</v>
      </c>
      <c r="V60" s="9">
        <f>SUM(UNALLOC_REFUNDED)</f>
        <v>0</v>
      </c>
    </row>
    <row r="61" spans="1:22" ht="5.0999999999999996" customHeight="1">
      <c r="B61" s="6"/>
      <c r="G61" s="9"/>
      <c r="L61" s="6"/>
      <c r="V61" s="9"/>
    </row>
    <row r="62" spans="1:22">
      <c r="B62" s="6"/>
      <c r="G62" s="9"/>
      <c r="L62" s="78" t="s">
        <v>80</v>
      </c>
      <c r="M62" s="79"/>
      <c r="N62" s="79"/>
      <c r="O62" s="79"/>
      <c r="P62" s="79"/>
      <c r="Q62" s="79"/>
      <c r="R62" s="79"/>
      <c r="S62" s="79"/>
      <c r="T62" s="79"/>
      <c r="U62" s="79"/>
      <c r="V62" s="80"/>
    </row>
    <row r="63" spans="1:22">
      <c r="B63" s="6"/>
      <c r="G63" s="9"/>
      <c r="L63" s="81"/>
      <c r="M63" s="79"/>
      <c r="N63" s="79"/>
      <c r="O63" s="79"/>
      <c r="P63" s="79"/>
      <c r="Q63" s="79"/>
      <c r="R63" s="79"/>
      <c r="S63" s="79"/>
      <c r="T63" s="79"/>
      <c r="U63" s="79"/>
      <c r="V63" s="80"/>
    </row>
    <row r="64" spans="1:22">
      <c r="B64" s="8"/>
      <c r="C64" s="5"/>
      <c r="D64" s="5"/>
      <c r="E64" s="5"/>
      <c r="F64" s="5"/>
      <c r="G64" s="11"/>
      <c r="L64" s="82"/>
      <c r="M64" s="83"/>
      <c r="N64" s="83"/>
      <c r="O64" s="83"/>
      <c r="P64" s="83"/>
      <c r="Q64" s="83"/>
      <c r="R64" s="83"/>
      <c r="S64" s="83"/>
      <c r="T64" s="83"/>
      <c r="U64" s="83"/>
      <c r="V64" s="84"/>
    </row>
  </sheetData>
  <mergeCells count="8">
    <mergeCell ref="L62:V64"/>
    <mergeCell ref="A1:G1"/>
    <mergeCell ref="B3:G3"/>
    <mergeCell ref="L3:V3"/>
    <mergeCell ref="L4:M4"/>
    <mergeCell ref="O4:P4"/>
    <mergeCell ref="R4:S4"/>
    <mergeCell ref="U4:V4"/>
  </mergeCells>
  <pageMargins left="0" right="0" top="0" bottom="0" header="0" footer="0"/>
  <pageSetup scale="4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V64"/>
  <sheetViews>
    <sheetView zoomScale="75" workbookViewId="0">
      <selection sqref="A1:G1"/>
    </sheetView>
  </sheetViews>
  <sheetFormatPr defaultColWidth="9.109375" defaultRowHeight="14.4"/>
  <cols>
    <col min="1" max="1" width="20" style="1" customWidth="1"/>
    <col min="2" max="7" width="15" style="1" customWidth="1"/>
    <col min="8" max="8" width="1" style="1" customWidth="1"/>
    <col min="9" max="9" width="30" style="1" customWidth="1"/>
    <col min="10" max="10" width="15" style="1" customWidth="1"/>
    <col min="11" max="11" width="1" style="1" customWidth="1"/>
    <col min="12" max="13" width="15" style="1" customWidth="1"/>
    <col min="14" max="14" width="1" style="1" customWidth="1"/>
    <col min="15" max="16" width="15" style="1" customWidth="1"/>
    <col min="17" max="17" width="1" style="1" customWidth="1"/>
    <col min="18" max="19" width="15" style="1" customWidth="1"/>
    <col min="20" max="20" width="1" style="1" customWidth="1"/>
    <col min="21" max="22" width="15" style="1" customWidth="1"/>
    <col min="23" max="23" width="9.109375" style="1" customWidth="1"/>
    <col min="24" max="16384" width="9.109375" style="1"/>
  </cols>
  <sheetData>
    <row r="1" spans="1:22">
      <c r="A1" s="85" t="s">
        <v>85</v>
      </c>
      <c r="B1" s="79"/>
      <c r="C1" s="79"/>
      <c r="D1" s="79"/>
      <c r="E1" s="79"/>
      <c r="F1" s="79"/>
      <c r="G1" s="79"/>
    </row>
    <row r="3" spans="1:22">
      <c r="B3" s="86" t="s">
        <v>1</v>
      </c>
      <c r="C3" s="87"/>
      <c r="D3" s="87"/>
      <c r="E3" s="87"/>
      <c r="F3" s="87"/>
      <c r="G3" s="88"/>
      <c r="L3" s="89" t="s">
        <v>2</v>
      </c>
      <c r="M3" s="90"/>
      <c r="N3" s="90"/>
      <c r="O3" s="90"/>
      <c r="P3" s="90"/>
      <c r="Q3" s="90"/>
      <c r="R3" s="90"/>
      <c r="S3" s="90"/>
      <c r="T3" s="90"/>
      <c r="U3" s="90"/>
      <c r="V3" s="91"/>
    </row>
    <row r="4" spans="1:22">
      <c r="B4" s="6"/>
      <c r="G4" s="9"/>
      <c r="L4" s="92" t="s">
        <v>3</v>
      </c>
      <c r="M4" s="93"/>
      <c r="N4" s="3"/>
      <c r="O4" s="94" t="s">
        <v>4</v>
      </c>
      <c r="P4" s="93"/>
      <c r="Q4" s="3"/>
      <c r="R4" s="94" t="s">
        <v>5</v>
      </c>
      <c r="S4" s="93"/>
      <c r="T4" s="3"/>
      <c r="U4" s="94" t="s">
        <v>6</v>
      </c>
      <c r="V4" s="95"/>
    </row>
    <row r="5" spans="1:22" ht="60" customHeight="1">
      <c r="B5" s="7" t="s">
        <v>3</v>
      </c>
      <c r="C5" s="4" t="s">
        <v>4</v>
      </c>
      <c r="D5" s="4" t="s">
        <v>5</v>
      </c>
      <c r="E5" s="4" t="s">
        <v>6</v>
      </c>
      <c r="F5" s="4" t="s">
        <v>7</v>
      </c>
      <c r="G5" s="10" t="s">
        <v>8</v>
      </c>
      <c r="L5" s="19" t="s">
        <v>9</v>
      </c>
      <c r="M5" s="18" t="s">
        <v>10</v>
      </c>
      <c r="N5" s="18"/>
      <c r="O5" s="18" t="s">
        <v>9</v>
      </c>
      <c r="P5" s="18" t="s">
        <v>10</v>
      </c>
      <c r="Q5" s="18"/>
      <c r="R5" s="18" t="s">
        <v>9</v>
      </c>
      <c r="S5" s="18" t="s">
        <v>10</v>
      </c>
      <c r="T5" s="18"/>
      <c r="U5" s="18" t="s">
        <v>9</v>
      </c>
      <c r="V5" s="20" t="s">
        <v>10</v>
      </c>
    </row>
    <row r="6" spans="1:22">
      <c r="A6" s="1" t="s">
        <v>11</v>
      </c>
      <c r="B6" s="6">
        <v>0</v>
      </c>
      <c r="C6" s="1">
        <v>0</v>
      </c>
      <c r="D6" s="1">
        <v>695387.70500532654</v>
      </c>
      <c r="E6" s="1">
        <v>0</v>
      </c>
      <c r="F6" s="1">
        <v>0</v>
      </c>
      <c r="G6" s="9">
        <f>SUM(AL_FINANCIAL)</f>
        <v>695387.70500532654</v>
      </c>
      <c r="L6" s="6">
        <v>0</v>
      </c>
      <c r="M6" s="1">
        <v>0</v>
      </c>
      <c r="O6" s="1">
        <v>0</v>
      </c>
      <c r="P6" s="1">
        <v>0</v>
      </c>
      <c r="R6" s="1">
        <v>1008000</v>
      </c>
      <c r="S6" s="1">
        <v>0</v>
      </c>
      <c r="U6" s="1">
        <v>0</v>
      </c>
      <c r="V6" s="9">
        <v>0</v>
      </c>
    </row>
    <row r="7" spans="1:22">
      <c r="A7" s="1" t="s">
        <v>12</v>
      </c>
      <c r="B7" s="6">
        <v>0</v>
      </c>
      <c r="C7" s="1">
        <v>0</v>
      </c>
      <c r="D7" s="1">
        <v>5923.6025289548452</v>
      </c>
      <c r="E7" s="1">
        <v>0</v>
      </c>
      <c r="F7" s="1">
        <v>0</v>
      </c>
      <c r="G7" s="9">
        <f>SUM(AK_FINANCIAL)</f>
        <v>5923.6025289548452</v>
      </c>
      <c r="I7" s="12"/>
      <c r="J7" s="15"/>
      <c r="L7" s="6">
        <v>9517</v>
      </c>
      <c r="M7" s="1">
        <v>0</v>
      </c>
      <c r="O7" s="1">
        <v>0</v>
      </c>
      <c r="P7" s="1">
        <v>0</v>
      </c>
      <c r="R7" s="1">
        <v>20000</v>
      </c>
      <c r="S7" s="1">
        <v>20000</v>
      </c>
      <c r="U7" s="1">
        <v>0</v>
      </c>
      <c r="V7" s="9">
        <v>0</v>
      </c>
    </row>
    <row r="8" spans="1:22">
      <c r="A8" s="1" t="s">
        <v>13</v>
      </c>
      <c r="B8" s="6">
        <v>0</v>
      </c>
      <c r="C8" s="1">
        <v>0</v>
      </c>
      <c r="D8" s="1">
        <v>668556.1467076079</v>
      </c>
      <c r="E8" s="1">
        <v>0</v>
      </c>
      <c r="F8" s="1">
        <v>0</v>
      </c>
      <c r="G8" s="9">
        <f>SUM(AZ_FINANCIAL)</f>
        <v>668556.1467076079</v>
      </c>
      <c r="I8" s="13" t="s">
        <v>14</v>
      </c>
      <c r="J8" s="16"/>
      <c r="L8" s="6">
        <v>0</v>
      </c>
      <c r="M8" s="1">
        <v>0</v>
      </c>
      <c r="O8" s="1">
        <v>0</v>
      </c>
      <c r="P8" s="1">
        <v>0</v>
      </c>
      <c r="R8" s="1">
        <v>1323320</v>
      </c>
      <c r="S8" s="1">
        <v>0</v>
      </c>
      <c r="U8" s="1">
        <v>0</v>
      </c>
      <c r="V8" s="9">
        <v>0</v>
      </c>
    </row>
    <row r="9" spans="1:22">
      <c r="A9" s="1" t="s">
        <v>15</v>
      </c>
      <c r="B9" s="6">
        <v>0</v>
      </c>
      <c r="C9" s="1">
        <v>0</v>
      </c>
      <c r="D9" s="1">
        <v>105925.44597516643</v>
      </c>
      <c r="E9" s="1">
        <v>0</v>
      </c>
      <c r="F9" s="1">
        <v>0</v>
      </c>
      <c r="G9" s="9">
        <f>SUM(AR_FINANCIAL)</f>
        <v>105925.44597516643</v>
      </c>
      <c r="I9" s="13"/>
      <c r="J9" s="16"/>
      <c r="L9" s="6">
        <v>0</v>
      </c>
      <c r="M9" s="1">
        <v>0</v>
      </c>
      <c r="O9" s="1">
        <v>0</v>
      </c>
      <c r="P9" s="1">
        <v>0</v>
      </c>
      <c r="R9" s="1">
        <v>335216</v>
      </c>
      <c r="S9" s="1">
        <v>0</v>
      </c>
      <c r="U9" s="1">
        <v>0</v>
      </c>
      <c r="V9" s="9">
        <v>0</v>
      </c>
    </row>
    <row r="10" spans="1:22">
      <c r="A10" s="1" t="s">
        <v>16</v>
      </c>
      <c r="B10" s="6">
        <v>0</v>
      </c>
      <c r="C10" s="1">
        <v>0</v>
      </c>
      <c r="D10" s="1">
        <v>3879887.0449922271</v>
      </c>
      <c r="E10" s="1">
        <v>0</v>
      </c>
      <c r="F10" s="1">
        <v>0</v>
      </c>
      <c r="G10" s="9">
        <f>SUM(CA_FINANCIAL)</f>
        <v>3879887.0449922271</v>
      </c>
      <c r="I10" s="13" t="s">
        <v>17</v>
      </c>
      <c r="J10" s="16">
        <v>91380543.070000038</v>
      </c>
      <c r="L10" s="6">
        <v>0</v>
      </c>
      <c r="M10" s="1">
        <v>0</v>
      </c>
      <c r="O10" s="1">
        <v>0</v>
      </c>
      <c r="P10" s="1">
        <v>0</v>
      </c>
      <c r="R10" s="1">
        <v>10000000</v>
      </c>
      <c r="S10" s="1">
        <v>5650000</v>
      </c>
      <c r="U10" s="1">
        <v>0</v>
      </c>
      <c r="V10" s="9">
        <v>0</v>
      </c>
    </row>
    <row r="11" spans="1:22">
      <c r="A11" s="1" t="s">
        <v>18</v>
      </c>
      <c r="B11" s="6">
        <v>0</v>
      </c>
      <c r="C11" s="1">
        <v>0</v>
      </c>
      <c r="D11" s="1">
        <v>1427062.6392851444</v>
      </c>
      <c r="E11" s="1">
        <v>0</v>
      </c>
      <c r="F11" s="1">
        <v>0</v>
      </c>
      <c r="G11" s="9">
        <f>SUM(CO_FINANCIAL)</f>
        <v>1427062.6392851444</v>
      </c>
      <c r="I11" s="13"/>
      <c r="J11" s="16"/>
      <c r="L11" s="6">
        <v>0</v>
      </c>
      <c r="M11" s="1">
        <v>0</v>
      </c>
      <c r="O11" s="1">
        <v>0</v>
      </c>
      <c r="P11" s="1">
        <v>0</v>
      </c>
      <c r="R11" s="1">
        <v>2200000</v>
      </c>
      <c r="S11" s="1">
        <v>2356918</v>
      </c>
      <c r="U11" s="1">
        <v>0</v>
      </c>
      <c r="V11" s="9">
        <v>0</v>
      </c>
    </row>
    <row r="12" spans="1:22">
      <c r="A12" s="1" t="s">
        <v>19</v>
      </c>
      <c r="B12" s="6">
        <v>0</v>
      </c>
      <c r="C12" s="1">
        <v>0</v>
      </c>
      <c r="D12" s="1">
        <v>0</v>
      </c>
      <c r="E12" s="1">
        <v>0</v>
      </c>
      <c r="F12" s="1">
        <v>0</v>
      </c>
      <c r="G12" s="9">
        <f>SUM(CT_FINANCIAL)</f>
        <v>0</v>
      </c>
      <c r="I12" s="13" t="s">
        <v>20</v>
      </c>
      <c r="J12" s="16"/>
      <c r="L12" s="6"/>
      <c r="V12" s="9"/>
    </row>
    <row r="13" spans="1:22">
      <c r="A13" s="1" t="s">
        <v>21</v>
      </c>
      <c r="B13" s="6">
        <v>0</v>
      </c>
      <c r="C13" s="1">
        <v>0</v>
      </c>
      <c r="D13" s="1">
        <v>26466.226061845264</v>
      </c>
      <c r="E13" s="1">
        <v>0</v>
      </c>
      <c r="F13" s="1">
        <v>0</v>
      </c>
      <c r="G13" s="9">
        <f>SUM(DE_FINANCIAL)</f>
        <v>26466.226061845264</v>
      </c>
      <c r="I13" s="13" t="s">
        <v>22</v>
      </c>
      <c r="J13" s="16">
        <v>20254758.070000004</v>
      </c>
      <c r="L13" s="6">
        <v>0</v>
      </c>
      <c r="M13" s="1">
        <v>0</v>
      </c>
      <c r="O13" s="1">
        <v>0</v>
      </c>
      <c r="P13" s="1">
        <v>0</v>
      </c>
      <c r="R13" s="1">
        <v>50000</v>
      </c>
      <c r="S13" s="1">
        <v>0</v>
      </c>
      <c r="U13" s="1">
        <v>0</v>
      </c>
      <c r="V13" s="9">
        <v>0</v>
      </c>
    </row>
    <row r="14" spans="1:22">
      <c r="A14" s="1" t="s">
        <v>23</v>
      </c>
      <c r="B14" s="6">
        <v>0</v>
      </c>
      <c r="C14" s="1">
        <v>0</v>
      </c>
      <c r="D14" s="1">
        <v>2674.0296415620005</v>
      </c>
      <c r="E14" s="1">
        <v>0</v>
      </c>
      <c r="F14" s="1">
        <v>0</v>
      </c>
      <c r="G14" s="9">
        <f>SUM(DC_FINANCIAL)</f>
        <v>2674.0296415620005</v>
      </c>
      <c r="I14" s="13" t="s">
        <v>24</v>
      </c>
      <c r="J14" s="16">
        <v>3000034.2600000002</v>
      </c>
      <c r="L14" s="6">
        <v>0</v>
      </c>
      <c r="M14" s="1">
        <v>0</v>
      </c>
      <c r="O14" s="1">
        <v>0</v>
      </c>
      <c r="P14" s="1">
        <v>0</v>
      </c>
      <c r="R14" s="1">
        <v>20000</v>
      </c>
      <c r="S14" s="1">
        <v>15780</v>
      </c>
      <c r="U14" s="1">
        <v>0</v>
      </c>
      <c r="V14" s="9">
        <v>0</v>
      </c>
    </row>
    <row r="15" spans="1:22">
      <c r="A15" s="1" t="s">
        <v>25</v>
      </c>
      <c r="B15" s="6">
        <v>0</v>
      </c>
      <c r="C15" s="1">
        <v>0</v>
      </c>
      <c r="D15" s="1">
        <v>2513409.5087764235</v>
      </c>
      <c r="E15" s="1">
        <v>0</v>
      </c>
      <c r="F15" s="1">
        <v>0</v>
      </c>
      <c r="G15" s="9">
        <f>SUM(FL_FINANCIAL)</f>
        <v>2513409.5087764235</v>
      </c>
      <c r="I15" s="13" t="s">
        <v>26</v>
      </c>
      <c r="J15" s="16">
        <v>1354168.0199999991</v>
      </c>
      <c r="L15" s="6">
        <v>0</v>
      </c>
      <c r="M15" s="1">
        <v>0</v>
      </c>
      <c r="O15" s="1">
        <v>0</v>
      </c>
      <c r="P15" s="1">
        <v>0</v>
      </c>
      <c r="R15" s="1">
        <v>4000000</v>
      </c>
      <c r="S15" s="1">
        <v>0</v>
      </c>
      <c r="U15" s="1">
        <v>0</v>
      </c>
      <c r="V15" s="9">
        <v>0</v>
      </c>
    </row>
    <row r="16" spans="1:22">
      <c r="A16" s="1" t="s">
        <v>27</v>
      </c>
      <c r="B16" s="6">
        <v>0</v>
      </c>
      <c r="C16" s="1">
        <v>0</v>
      </c>
      <c r="D16" s="1">
        <v>403124.40494929696</v>
      </c>
      <c r="E16" s="1">
        <v>0</v>
      </c>
      <c r="F16" s="1">
        <v>0</v>
      </c>
      <c r="G16" s="9">
        <f>SUM(GA_FINANCIAL)</f>
        <v>403124.40494929696</v>
      </c>
      <c r="I16" s="13" t="s">
        <v>28</v>
      </c>
      <c r="J16" s="16">
        <v>0</v>
      </c>
      <c r="L16" s="6">
        <v>0</v>
      </c>
      <c r="M16" s="1">
        <v>0</v>
      </c>
      <c r="O16" s="1">
        <v>0</v>
      </c>
      <c r="P16" s="1">
        <v>0</v>
      </c>
      <c r="R16" s="1">
        <v>400000</v>
      </c>
      <c r="S16" s="1">
        <v>0</v>
      </c>
      <c r="U16" s="1">
        <v>0</v>
      </c>
      <c r="V16" s="9">
        <v>0</v>
      </c>
    </row>
    <row r="17" spans="1:22">
      <c r="A17" s="1" t="s">
        <v>29</v>
      </c>
      <c r="B17" s="6">
        <v>0</v>
      </c>
      <c r="C17" s="1">
        <v>0</v>
      </c>
      <c r="D17" s="1">
        <v>2800.4555484134835</v>
      </c>
      <c r="E17" s="1">
        <v>0</v>
      </c>
      <c r="F17" s="1">
        <v>0</v>
      </c>
      <c r="G17" s="9">
        <f>SUM(HI_FINANCIAL)</f>
        <v>2800.4555484134835</v>
      </c>
      <c r="I17" s="13"/>
      <c r="J17" s="16"/>
      <c r="L17" s="6">
        <v>0</v>
      </c>
      <c r="M17" s="1">
        <v>9780</v>
      </c>
      <c r="O17" s="1">
        <v>0</v>
      </c>
      <c r="P17" s="1">
        <v>0</v>
      </c>
      <c r="R17" s="1">
        <v>27420</v>
      </c>
      <c r="S17" s="1">
        <v>0</v>
      </c>
      <c r="U17" s="1">
        <v>0</v>
      </c>
      <c r="V17" s="9">
        <v>0</v>
      </c>
    </row>
    <row r="18" spans="1:22">
      <c r="A18" s="1" t="s">
        <v>30</v>
      </c>
      <c r="B18" s="6">
        <v>0</v>
      </c>
      <c r="C18" s="1">
        <v>0</v>
      </c>
      <c r="D18" s="1">
        <v>133553.02735693546</v>
      </c>
      <c r="E18" s="1">
        <v>0</v>
      </c>
      <c r="F18" s="1">
        <v>0</v>
      </c>
      <c r="G18" s="9">
        <f>SUM(ID_FINANCIAL)</f>
        <v>133553.02735693546</v>
      </c>
      <c r="I18" s="13" t="s">
        <v>31</v>
      </c>
      <c r="J18" s="16"/>
      <c r="L18" s="6">
        <v>0</v>
      </c>
      <c r="M18" s="1">
        <v>0</v>
      </c>
      <c r="O18" s="1">
        <v>0</v>
      </c>
      <c r="P18" s="1">
        <v>0</v>
      </c>
      <c r="R18" s="1">
        <v>377000</v>
      </c>
      <c r="S18" s="1">
        <v>0</v>
      </c>
      <c r="U18" s="1">
        <v>0</v>
      </c>
      <c r="V18" s="9">
        <v>0</v>
      </c>
    </row>
    <row r="19" spans="1:22">
      <c r="A19" s="1" t="s">
        <v>32</v>
      </c>
      <c r="B19" s="6">
        <v>0</v>
      </c>
      <c r="C19" s="1">
        <v>0</v>
      </c>
      <c r="D19" s="1">
        <v>5457920.8855743799</v>
      </c>
      <c r="E19" s="1">
        <v>0</v>
      </c>
      <c r="F19" s="1">
        <v>0</v>
      </c>
      <c r="G19" s="9">
        <f>SUM(IL_FINANCIAL)</f>
        <v>5457920.8855743799</v>
      </c>
      <c r="I19" s="13" t="s">
        <v>33</v>
      </c>
      <c r="J19" s="16">
        <v>0</v>
      </c>
      <c r="L19" s="6">
        <v>0</v>
      </c>
      <c r="M19" s="1">
        <v>0</v>
      </c>
      <c r="O19" s="1">
        <v>0</v>
      </c>
      <c r="P19" s="1">
        <v>0</v>
      </c>
      <c r="R19" s="1">
        <v>14800000</v>
      </c>
      <c r="S19" s="1">
        <v>9450000</v>
      </c>
      <c r="U19" s="1">
        <v>0</v>
      </c>
      <c r="V19" s="9">
        <v>0</v>
      </c>
    </row>
    <row r="20" spans="1:22">
      <c r="A20" s="1" t="s">
        <v>34</v>
      </c>
      <c r="B20" s="6">
        <v>0</v>
      </c>
      <c r="C20" s="1">
        <v>0</v>
      </c>
      <c r="D20" s="1">
        <v>1016048.3061618884</v>
      </c>
      <c r="E20" s="1">
        <v>0</v>
      </c>
      <c r="F20" s="1">
        <v>0</v>
      </c>
      <c r="G20" s="9">
        <f>SUM(IN_FINANCIAL)</f>
        <v>1016048.3061618884</v>
      </c>
      <c r="I20" s="13" t="s">
        <v>35</v>
      </c>
      <c r="J20" s="16">
        <v>20254758.070000004</v>
      </c>
      <c r="L20" s="6">
        <v>0</v>
      </c>
      <c r="M20" s="1">
        <v>0</v>
      </c>
      <c r="O20" s="1">
        <v>0</v>
      </c>
      <c r="P20" s="1">
        <v>0</v>
      </c>
      <c r="R20" s="1">
        <v>2893631</v>
      </c>
      <c r="S20" s="1">
        <v>0</v>
      </c>
      <c r="U20" s="1">
        <v>0</v>
      </c>
      <c r="V20" s="9">
        <v>0</v>
      </c>
    </row>
    <row r="21" spans="1:22">
      <c r="A21" s="1" t="s">
        <v>36</v>
      </c>
      <c r="B21" s="6">
        <v>0</v>
      </c>
      <c r="C21" s="1">
        <v>0</v>
      </c>
      <c r="D21" s="1">
        <v>454668.30902198842</v>
      </c>
      <c r="E21" s="1">
        <v>0</v>
      </c>
      <c r="F21" s="1">
        <v>0</v>
      </c>
      <c r="G21" s="9">
        <f>SUM(IA_FINANCIAL)</f>
        <v>454668.30902198842</v>
      </c>
      <c r="I21" s="13" t="s">
        <v>37</v>
      </c>
      <c r="J21" s="16"/>
      <c r="L21" s="6">
        <v>0</v>
      </c>
      <c r="M21" s="1">
        <v>0</v>
      </c>
      <c r="O21" s="1">
        <v>0</v>
      </c>
      <c r="P21" s="1">
        <v>0</v>
      </c>
      <c r="R21" s="1">
        <v>1725000</v>
      </c>
      <c r="S21" s="1">
        <v>0</v>
      </c>
      <c r="U21" s="1">
        <v>0</v>
      </c>
      <c r="V21" s="9">
        <v>0</v>
      </c>
    </row>
    <row r="22" spans="1:22">
      <c r="A22" s="1" t="s">
        <v>38</v>
      </c>
      <c r="B22" s="6">
        <v>0</v>
      </c>
      <c r="C22" s="1">
        <v>0</v>
      </c>
      <c r="D22" s="1">
        <v>173319.16661035793</v>
      </c>
      <c r="E22" s="1">
        <v>0</v>
      </c>
      <c r="F22" s="1">
        <v>0</v>
      </c>
      <c r="G22" s="9">
        <f>SUM(KS_FINANCIAL)</f>
        <v>173319.16661035793</v>
      </c>
      <c r="I22" s="13" t="s">
        <v>39</v>
      </c>
      <c r="J22" s="16">
        <v>743000</v>
      </c>
      <c r="L22" s="6">
        <v>0</v>
      </c>
      <c r="M22" s="1">
        <v>0</v>
      </c>
      <c r="O22" s="1">
        <v>0</v>
      </c>
      <c r="P22" s="1">
        <v>0</v>
      </c>
      <c r="R22" s="1">
        <v>500000</v>
      </c>
      <c r="S22" s="1">
        <v>0</v>
      </c>
      <c r="U22" s="1">
        <v>0</v>
      </c>
      <c r="V22" s="9">
        <v>0</v>
      </c>
    </row>
    <row r="23" spans="1:22">
      <c r="A23" s="1" t="s">
        <v>40</v>
      </c>
      <c r="B23" s="6">
        <v>0</v>
      </c>
      <c r="C23" s="1">
        <v>0</v>
      </c>
      <c r="D23" s="1">
        <v>485493.38072546665</v>
      </c>
      <c r="E23" s="1">
        <v>0</v>
      </c>
      <c r="F23" s="1">
        <v>0</v>
      </c>
      <c r="G23" s="9">
        <f>SUM(KY_FINANCIAL)</f>
        <v>485493.38072546665</v>
      </c>
      <c r="I23" s="13" t="s">
        <v>41</v>
      </c>
      <c r="J23" s="16"/>
      <c r="L23" s="6">
        <v>0</v>
      </c>
      <c r="M23" s="1">
        <v>0</v>
      </c>
      <c r="O23" s="1">
        <v>0</v>
      </c>
      <c r="P23" s="1">
        <v>0</v>
      </c>
      <c r="R23" s="1">
        <v>1341501</v>
      </c>
      <c r="S23" s="1">
        <v>522000</v>
      </c>
      <c r="U23" s="1">
        <v>0</v>
      </c>
      <c r="V23" s="9">
        <v>0</v>
      </c>
    </row>
    <row r="24" spans="1:22">
      <c r="A24" s="1" t="s">
        <v>42</v>
      </c>
      <c r="B24" s="6">
        <v>0</v>
      </c>
      <c r="C24" s="1">
        <v>0</v>
      </c>
      <c r="D24" s="1">
        <v>45627.404682400957</v>
      </c>
      <c r="E24" s="1">
        <v>0</v>
      </c>
      <c r="F24" s="1">
        <v>0</v>
      </c>
      <c r="G24" s="9">
        <f>SUM(LA_FINANCIAL)</f>
        <v>45627.404682400957</v>
      </c>
      <c r="I24" s="13" t="s">
        <v>43</v>
      </c>
      <c r="J24" s="16">
        <v>60769110.859999992</v>
      </c>
      <c r="L24" s="6">
        <v>0</v>
      </c>
      <c r="M24" s="1">
        <v>0</v>
      </c>
      <c r="O24" s="1">
        <v>0</v>
      </c>
      <c r="P24" s="1">
        <v>0</v>
      </c>
      <c r="R24" s="1">
        <v>509121</v>
      </c>
      <c r="S24" s="1">
        <v>0</v>
      </c>
      <c r="U24" s="1">
        <v>0</v>
      </c>
      <c r="V24" s="9">
        <v>0</v>
      </c>
    </row>
    <row r="25" spans="1:22">
      <c r="A25" s="1" t="s">
        <v>44</v>
      </c>
      <c r="B25" s="6">
        <v>0</v>
      </c>
      <c r="C25" s="1">
        <v>0</v>
      </c>
      <c r="D25" s="1">
        <v>55278.739512028333</v>
      </c>
      <c r="E25" s="1">
        <v>0</v>
      </c>
      <c r="F25" s="1">
        <v>0</v>
      </c>
      <c r="G25" s="9">
        <f>SUM(ME_FINANCIAL)</f>
        <v>55278.739512028333</v>
      </c>
      <c r="I25" s="13"/>
      <c r="J25" s="16"/>
      <c r="L25" s="6">
        <v>0</v>
      </c>
      <c r="M25" s="1">
        <v>0</v>
      </c>
      <c r="O25" s="1">
        <v>0</v>
      </c>
      <c r="P25" s="1">
        <v>0</v>
      </c>
      <c r="R25" s="1">
        <v>175000</v>
      </c>
      <c r="S25" s="1">
        <v>0</v>
      </c>
      <c r="U25" s="1">
        <v>0</v>
      </c>
      <c r="V25" s="9">
        <v>0</v>
      </c>
    </row>
    <row r="26" spans="1:22">
      <c r="A26" s="1" t="s">
        <v>45</v>
      </c>
      <c r="B26" s="6">
        <v>0</v>
      </c>
      <c r="C26" s="1">
        <v>0</v>
      </c>
      <c r="D26" s="1">
        <v>495450.94925008772</v>
      </c>
      <c r="E26" s="1">
        <v>0</v>
      </c>
      <c r="F26" s="1">
        <v>0</v>
      </c>
      <c r="G26" s="9">
        <f>SUM(MD_FINANCIAL)</f>
        <v>495450.94925008772</v>
      </c>
      <c r="I26" s="13" t="s">
        <v>46</v>
      </c>
      <c r="J26" s="16">
        <f>SUM(ADD_FINANCIAL)-SUM(LESS_FINANCIAL)</f>
        <v>34222634.490000054</v>
      </c>
      <c r="L26" s="6">
        <v>0</v>
      </c>
      <c r="M26" s="1">
        <v>0</v>
      </c>
      <c r="O26" s="1">
        <v>0</v>
      </c>
      <c r="P26" s="1">
        <v>0</v>
      </c>
      <c r="R26" s="1">
        <v>1700000</v>
      </c>
      <c r="S26" s="1">
        <v>0</v>
      </c>
      <c r="U26" s="1">
        <v>0</v>
      </c>
      <c r="V26" s="9">
        <v>0</v>
      </c>
    </row>
    <row r="27" spans="1:22">
      <c r="A27" s="1" t="s">
        <v>47</v>
      </c>
      <c r="B27" s="6">
        <v>0</v>
      </c>
      <c r="C27" s="1">
        <v>0</v>
      </c>
      <c r="D27" s="1">
        <v>163930.41337618587</v>
      </c>
      <c r="E27" s="1">
        <v>0</v>
      </c>
      <c r="F27" s="1">
        <v>0</v>
      </c>
      <c r="G27" s="9">
        <f>SUM(MA_FINANCIAL)</f>
        <v>163930.41337618587</v>
      </c>
      <c r="I27" s="13" t="s">
        <v>48</v>
      </c>
      <c r="J27" s="16">
        <f>SUM(ALL_BLOCKS)</f>
        <v>34222634.49000001</v>
      </c>
      <c r="L27" s="6">
        <v>0</v>
      </c>
      <c r="M27" s="1">
        <v>0</v>
      </c>
      <c r="O27" s="1">
        <v>0</v>
      </c>
      <c r="P27" s="1">
        <v>0</v>
      </c>
      <c r="R27" s="1">
        <v>456000</v>
      </c>
      <c r="S27" s="1">
        <v>75000</v>
      </c>
      <c r="U27" s="1">
        <v>0</v>
      </c>
      <c r="V27" s="9">
        <v>0</v>
      </c>
    </row>
    <row r="28" spans="1:22">
      <c r="A28" s="1" t="s">
        <v>49</v>
      </c>
      <c r="B28" s="6">
        <v>0</v>
      </c>
      <c r="C28" s="1">
        <v>0</v>
      </c>
      <c r="D28" s="1">
        <v>0</v>
      </c>
      <c r="E28" s="1">
        <v>0</v>
      </c>
      <c r="F28" s="1">
        <v>0</v>
      </c>
      <c r="G28" s="9">
        <f>SUM(MI_FINANCIAL)</f>
        <v>0</v>
      </c>
      <c r="I28" s="14"/>
      <c r="J28" s="17"/>
      <c r="L28" s="6"/>
      <c r="V28" s="9"/>
    </row>
    <row r="29" spans="1:22">
      <c r="A29" s="1" t="s">
        <v>50</v>
      </c>
      <c r="B29" s="6">
        <v>0</v>
      </c>
      <c r="C29" s="1">
        <v>0</v>
      </c>
      <c r="D29" s="1">
        <v>52315.316401278746</v>
      </c>
      <c r="E29" s="1">
        <v>0</v>
      </c>
      <c r="F29" s="1">
        <v>0</v>
      </c>
      <c r="G29" s="9">
        <f>SUM(MN_FINANCIAL)</f>
        <v>52315.316401278746</v>
      </c>
      <c r="L29" s="6"/>
      <c r="V29" s="9"/>
    </row>
    <row r="30" spans="1:22">
      <c r="A30" s="1" t="s">
        <v>51</v>
      </c>
      <c r="B30" s="6">
        <v>0</v>
      </c>
      <c r="C30" s="1">
        <v>0</v>
      </c>
      <c r="D30" s="1">
        <v>103783.90654544503</v>
      </c>
      <c r="E30" s="1">
        <v>0</v>
      </c>
      <c r="F30" s="1">
        <v>0</v>
      </c>
      <c r="G30" s="9">
        <f>SUM(MS_FINANCIAL)</f>
        <v>103783.90654544503</v>
      </c>
      <c r="L30" s="6">
        <v>0</v>
      </c>
      <c r="M30" s="1">
        <v>0</v>
      </c>
      <c r="O30" s="1">
        <v>0</v>
      </c>
      <c r="P30" s="1">
        <v>0</v>
      </c>
      <c r="R30" s="1">
        <v>210000</v>
      </c>
      <c r="S30" s="1">
        <v>0</v>
      </c>
      <c r="U30" s="1">
        <v>0</v>
      </c>
      <c r="V30" s="9">
        <v>0</v>
      </c>
    </row>
    <row r="31" spans="1:22">
      <c r="A31" s="1" t="s">
        <v>52</v>
      </c>
      <c r="B31" s="6">
        <v>0</v>
      </c>
      <c r="C31" s="1">
        <v>0</v>
      </c>
      <c r="D31" s="1">
        <v>2352831.9530095244</v>
      </c>
      <c r="E31" s="1">
        <v>0</v>
      </c>
      <c r="F31" s="1">
        <v>0</v>
      </c>
      <c r="G31" s="9">
        <f>SUM(MO_FINANCIAL)</f>
        <v>2352831.9530095244</v>
      </c>
      <c r="L31" s="6">
        <v>0</v>
      </c>
      <c r="M31" s="1">
        <v>0</v>
      </c>
      <c r="O31" s="1">
        <v>0</v>
      </c>
      <c r="P31" s="1">
        <v>0</v>
      </c>
      <c r="R31" s="1">
        <v>8354499</v>
      </c>
      <c r="S31" s="1">
        <v>0</v>
      </c>
      <c r="U31" s="1">
        <v>0</v>
      </c>
      <c r="V31" s="9">
        <v>0</v>
      </c>
    </row>
    <row r="32" spans="1:22">
      <c r="A32" s="1" t="s">
        <v>53</v>
      </c>
      <c r="B32" s="6">
        <v>0</v>
      </c>
      <c r="C32" s="1">
        <v>0</v>
      </c>
      <c r="D32" s="1">
        <v>432351.28770421119</v>
      </c>
      <c r="E32" s="1">
        <v>0</v>
      </c>
      <c r="F32" s="1">
        <v>0</v>
      </c>
      <c r="G32" s="9">
        <f>SUM(MT_FINANCIAL)</f>
        <v>432351.28770421119</v>
      </c>
      <c r="L32" s="6">
        <v>0</v>
      </c>
      <c r="M32" s="1">
        <v>0</v>
      </c>
      <c r="O32" s="1">
        <v>0</v>
      </c>
      <c r="P32" s="1">
        <v>0</v>
      </c>
      <c r="R32" s="1">
        <v>670000</v>
      </c>
      <c r="S32" s="1">
        <v>0</v>
      </c>
      <c r="U32" s="1">
        <v>0</v>
      </c>
      <c r="V32" s="9">
        <v>0</v>
      </c>
    </row>
    <row r="33" spans="1:22">
      <c r="A33" s="1" t="s">
        <v>54</v>
      </c>
      <c r="B33" s="6">
        <v>0</v>
      </c>
      <c r="C33" s="1">
        <v>0</v>
      </c>
      <c r="D33" s="1">
        <v>1233700.4604683197</v>
      </c>
      <c r="E33" s="1">
        <v>0</v>
      </c>
      <c r="F33" s="1">
        <v>0</v>
      </c>
      <c r="G33" s="9">
        <f>SUM(NE_FINANCIAL)</f>
        <v>1233700.4604683197</v>
      </c>
      <c r="L33" s="6">
        <v>0</v>
      </c>
      <c r="M33" s="1">
        <v>0</v>
      </c>
      <c r="O33" s="1">
        <v>0</v>
      </c>
      <c r="P33" s="1">
        <v>0</v>
      </c>
      <c r="R33" s="1">
        <v>4475000</v>
      </c>
      <c r="S33" s="1">
        <v>5300000</v>
      </c>
      <c r="U33" s="1">
        <v>0</v>
      </c>
      <c r="V33" s="9">
        <v>0</v>
      </c>
    </row>
    <row r="34" spans="1:22">
      <c r="A34" s="1" t="s">
        <v>55</v>
      </c>
      <c r="B34" s="6">
        <v>0</v>
      </c>
      <c r="C34" s="1">
        <v>0</v>
      </c>
      <c r="D34" s="1">
        <v>149461.60147172029</v>
      </c>
      <c r="E34" s="1">
        <v>0</v>
      </c>
      <c r="F34" s="1">
        <v>0</v>
      </c>
      <c r="G34" s="9">
        <f>SUM(NV_FINANCIAL)</f>
        <v>149461.60147172029</v>
      </c>
      <c r="L34" s="6">
        <v>0</v>
      </c>
      <c r="M34" s="1">
        <v>0</v>
      </c>
      <c r="O34" s="1">
        <v>0</v>
      </c>
      <c r="P34" s="1">
        <v>0</v>
      </c>
      <c r="R34" s="1">
        <v>370000</v>
      </c>
      <c r="S34" s="1">
        <v>178000</v>
      </c>
      <c r="U34" s="1">
        <v>0</v>
      </c>
      <c r="V34" s="9">
        <v>0</v>
      </c>
    </row>
    <row r="35" spans="1:22">
      <c r="A35" s="1" t="s">
        <v>56</v>
      </c>
      <c r="B35" s="6">
        <v>0</v>
      </c>
      <c r="C35" s="1">
        <v>0</v>
      </c>
      <c r="D35" s="1">
        <v>1388.4564093102472</v>
      </c>
      <c r="E35" s="1">
        <v>0</v>
      </c>
      <c r="F35" s="1">
        <v>0</v>
      </c>
      <c r="G35" s="9">
        <f>SUM(NH_FINANCIAL)</f>
        <v>1388.4564093102472</v>
      </c>
      <c r="L35" s="6"/>
      <c r="V35" s="9"/>
    </row>
    <row r="36" spans="1:22">
      <c r="A36" s="1" t="s">
        <v>57</v>
      </c>
      <c r="B36" s="6">
        <v>0</v>
      </c>
      <c r="C36" s="1">
        <v>0</v>
      </c>
      <c r="D36" s="1">
        <v>461092.29489941511</v>
      </c>
      <c r="E36" s="1">
        <v>0</v>
      </c>
      <c r="F36" s="1">
        <v>0</v>
      </c>
      <c r="G36" s="9">
        <f>SUM(NJ_FINANCIAL)</f>
        <v>461092.29489941511</v>
      </c>
      <c r="L36" s="6">
        <v>0</v>
      </c>
      <c r="M36" s="1">
        <v>0</v>
      </c>
      <c r="O36" s="1">
        <v>0</v>
      </c>
      <c r="P36" s="1">
        <v>0</v>
      </c>
      <c r="R36" s="1">
        <v>1250000</v>
      </c>
      <c r="S36" s="1">
        <v>151039</v>
      </c>
      <c r="U36" s="1">
        <v>0</v>
      </c>
      <c r="V36" s="9">
        <v>0</v>
      </c>
    </row>
    <row r="37" spans="1:22">
      <c r="A37" s="1" t="s">
        <v>58</v>
      </c>
      <c r="B37" s="6">
        <v>0</v>
      </c>
      <c r="C37" s="1">
        <v>0</v>
      </c>
      <c r="D37" s="1">
        <v>140043.72777535047</v>
      </c>
      <c r="E37" s="1">
        <v>0</v>
      </c>
      <c r="F37" s="1">
        <v>0</v>
      </c>
      <c r="G37" s="9">
        <f>SUM(NM_FINANCIAL)</f>
        <v>140043.72777535047</v>
      </c>
      <c r="L37" s="6">
        <v>0</v>
      </c>
      <c r="M37" s="1">
        <v>120000</v>
      </c>
      <c r="O37" s="1">
        <v>0</v>
      </c>
      <c r="P37" s="1">
        <v>0</v>
      </c>
      <c r="R37" s="1">
        <v>350000</v>
      </c>
      <c r="S37" s="1">
        <v>0</v>
      </c>
      <c r="U37" s="1">
        <v>0</v>
      </c>
      <c r="V37" s="9">
        <v>0</v>
      </c>
    </row>
    <row r="38" spans="1:22">
      <c r="A38" s="1" t="s">
        <v>59</v>
      </c>
      <c r="B38" s="6">
        <v>0</v>
      </c>
      <c r="C38" s="1">
        <v>0</v>
      </c>
      <c r="D38" s="1">
        <v>0</v>
      </c>
      <c r="E38" s="1">
        <v>0</v>
      </c>
      <c r="F38" s="1">
        <v>0</v>
      </c>
      <c r="G38" s="9">
        <f>SUM(NY_FINANCIAL)</f>
        <v>0</v>
      </c>
      <c r="L38" s="6"/>
      <c r="V38" s="9"/>
    </row>
    <row r="39" spans="1:22">
      <c r="A39" s="1" t="s">
        <v>60</v>
      </c>
      <c r="B39" s="6">
        <v>0</v>
      </c>
      <c r="C39" s="1">
        <v>0</v>
      </c>
      <c r="D39" s="1">
        <v>439138.24588632514</v>
      </c>
      <c r="E39" s="1">
        <v>0</v>
      </c>
      <c r="F39" s="1">
        <v>0</v>
      </c>
      <c r="G39" s="9">
        <f>SUM(NC_FINANCIAL)</f>
        <v>439138.24588632514</v>
      </c>
      <c r="L39" s="6">
        <v>0</v>
      </c>
      <c r="M39" s="1">
        <v>0</v>
      </c>
      <c r="O39" s="1">
        <v>0</v>
      </c>
      <c r="P39" s="1">
        <v>0</v>
      </c>
      <c r="R39" s="1">
        <v>800000</v>
      </c>
      <c r="S39" s="1">
        <v>0</v>
      </c>
      <c r="U39" s="1">
        <v>0</v>
      </c>
      <c r="V39" s="9">
        <v>0</v>
      </c>
    </row>
    <row r="40" spans="1:22">
      <c r="A40" s="1" t="s">
        <v>61</v>
      </c>
      <c r="B40" s="6">
        <v>0</v>
      </c>
      <c r="C40" s="1">
        <v>0</v>
      </c>
      <c r="D40" s="1">
        <v>1185626.6976548356</v>
      </c>
      <c r="E40" s="1">
        <v>0</v>
      </c>
      <c r="F40" s="1">
        <v>0</v>
      </c>
      <c r="G40" s="9">
        <f>SUM(ND_FINANCIAL)</f>
        <v>1185626.6976548356</v>
      </c>
      <c r="L40" s="6">
        <v>0</v>
      </c>
      <c r="M40" s="1">
        <v>0</v>
      </c>
      <c r="O40" s="1">
        <v>0</v>
      </c>
      <c r="P40" s="1">
        <v>0</v>
      </c>
      <c r="R40" s="1">
        <v>3202700</v>
      </c>
      <c r="S40" s="1">
        <v>924599</v>
      </c>
      <c r="U40" s="1">
        <v>0</v>
      </c>
      <c r="V40" s="9">
        <v>0</v>
      </c>
    </row>
    <row r="41" spans="1:22">
      <c r="A41" s="1" t="s">
        <v>62</v>
      </c>
      <c r="B41" s="6">
        <v>0</v>
      </c>
      <c r="C41" s="1">
        <v>0</v>
      </c>
      <c r="D41" s="1">
        <v>1669458.0664728074</v>
      </c>
      <c r="E41" s="1">
        <v>0</v>
      </c>
      <c r="F41" s="1">
        <v>0</v>
      </c>
      <c r="G41" s="9">
        <f>SUM(OH_FINANCIAL)</f>
        <v>1669458.0664728074</v>
      </c>
      <c r="L41" s="6">
        <v>0</v>
      </c>
      <c r="M41" s="1">
        <v>0</v>
      </c>
      <c r="O41" s="1">
        <v>0</v>
      </c>
      <c r="P41" s="1">
        <v>0</v>
      </c>
      <c r="R41" s="1">
        <v>5600000</v>
      </c>
      <c r="S41" s="1">
        <v>0</v>
      </c>
      <c r="U41" s="1">
        <v>0</v>
      </c>
      <c r="V41" s="9">
        <v>0</v>
      </c>
    </row>
    <row r="42" spans="1:22">
      <c r="A42" s="1" t="s">
        <v>63</v>
      </c>
      <c r="B42" s="6">
        <v>0</v>
      </c>
      <c r="C42" s="1">
        <v>0</v>
      </c>
      <c r="D42" s="1">
        <v>257536.20378070883</v>
      </c>
      <c r="E42" s="1">
        <v>0</v>
      </c>
      <c r="F42" s="1">
        <v>0</v>
      </c>
      <c r="G42" s="9">
        <f>SUM(OK_FINANCIAL)</f>
        <v>257536.20378070883</v>
      </c>
      <c r="L42" s="6">
        <v>0</v>
      </c>
      <c r="M42" s="1">
        <v>0</v>
      </c>
      <c r="O42" s="1">
        <v>0</v>
      </c>
      <c r="P42" s="1">
        <v>0</v>
      </c>
      <c r="R42" s="1">
        <v>850000</v>
      </c>
      <c r="S42" s="1">
        <v>500000</v>
      </c>
      <c r="U42" s="1">
        <v>0</v>
      </c>
      <c r="V42" s="9">
        <v>0</v>
      </c>
    </row>
    <row r="43" spans="1:22">
      <c r="A43" s="1" t="s">
        <v>64</v>
      </c>
      <c r="B43" s="6">
        <v>0</v>
      </c>
      <c r="C43" s="1">
        <v>0</v>
      </c>
      <c r="D43" s="1">
        <v>448643.51960224716</v>
      </c>
      <c r="E43" s="1">
        <v>0</v>
      </c>
      <c r="F43" s="1">
        <v>0</v>
      </c>
      <c r="G43" s="9">
        <f>SUM(OR_FINANCIAL)</f>
        <v>448643.51960224716</v>
      </c>
      <c r="L43" s="6">
        <v>0</v>
      </c>
      <c r="M43" s="1">
        <v>0</v>
      </c>
      <c r="O43" s="1">
        <v>0</v>
      </c>
      <c r="P43" s="1">
        <v>0</v>
      </c>
      <c r="R43" s="1">
        <v>1688644</v>
      </c>
      <c r="S43" s="1">
        <v>0</v>
      </c>
      <c r="U43" s="1">
        <v>0</v>
      </c>
      <c r="V43" s="9">
        <v>0</v>
      </c>
    </row>
    <row r="44" spans="1:22">
      <c r="A44" s="1" t="s">
        <v>65</v>
      </c>
      <c r="B44" s="6">
        <v>0</v>
      </c>
      <c r="C44" s="1">
        <v>0</v>
      </c>
      <c r="D44" s="1">
        <v>394999.11377018644</v>
      </c>
      <c r="E44" s="1">
        <v>0</v>
      </c>
      <c r="F44" s="1">
        <v>0</v>
      </c>
      <c r="G44" s="9">
        <f>SUM(PA_FINANCIAL)</f>
        <v>394999.11377018644</v>
      </c>
      <c r="L44" s="6">
        <v>0</v>
      </c>
      <c r="M44" s="1">
        <v>0</v>
      </c>
      <c r="O44" s="1">
        <v>0</v>
      </c>
      <c r="P44" s="1">
        <v>0</v>
      </c>
      <c r="R44" s="1">
        <v>1000000</v>
      </c>
      <c r="S44" s="1">
        <v>0</v>
      </c>
      <c r="U44" s="1">
        <v>0</v>
      </c>
      <c r="V44" s="9">
        <v>0</v>
      </c>
    </row>
    <row r="45" spans="1:22">
      <c r="A45" s="1" t="s">
        <v>66</v>
      </c>
      <c r="B45" s="6">
        <v>0</v>
      </c>
      <c r="C45" s="1">
        <v>0</v>
      </c>
      <c r="D45" s="1">
        <v>0</v>
      </c>
      <c r="E45" s="1">
        <v>0</v>
      </c>
      <c r="F45" s="1">
        <v>0</v>
      </c>
      <c r="G45" s="9">
        <f>SUM(PR_FINANCIAL)</f>
        <v>0</v>
      </c>
      <c r="L45" s="6"/>
      <c r="V45" s="9"/>
    </row>
    <row r="46" spans="1:22">
      <c r="A46" s="1" t="s">
        <v>67</v>
      </c>
      <c r="B46" s="6">
        <v>0</v>
      </c>
      <c r="C46" s="1">
        <v>0</v>
      </c>
      <c r="D46" s="1">
        <v>3197.1472625904426</v>
      </c>
      <c r="E46" s="1">
        <v>0</v>
      </c>
      <c r="F46" s="1">
        <v>0</v>
      </c>
      <c r="G46" s="9">
        <f>SUM(RI_FINANCIAL)</f>
        <v>3197.1472625904426</v>
      </c>
      <c r="L46" s="6"/>
      <c r="V46" s="9"/>
    </row>
    <row r="47" spans="1:22">
      <c r="A47" s="1" t="s">
        <v>68</v>
      </c>
      <c r="B47" s="6">
        <v>0</v>
      </c>
      <c r="C47" s="1">
        <v>0</v>
      </c>
      <c r="D47" s="1">
        <v>205817.4714043815</v>
      </c>
      <c r="E47" s="1">
        <v>0</v>
      </c>
      <c r="F47" s="1">
        <v>0</v>
      </c>
      <c r="G47" s="9">
        <f>SUM(SC_FINANCIAL)</f>
        <v>205817.4714043815</v>
      </c>
      <c r="L47" s="6">
        <v>0</v>
      </c>
      <c r="M47" s="1">
        <v>0</v>
      </c>
      <c r="O47" s="1">
        <v>0</v>
      </c>
      <c r="P47" s="1">
        <v>0</v>
      </c>
      <c r="R47" s="1">
        <v>600000</v>
      </c>
      <c r="S47" s="1">
        <v>0</v>
      </c>
      <c r="U47" s="1">
        <v>0</v>
      </c>
      <c r="V47" s="9">
        <v>0</v>
      </c>
    </row>
    <row r="48" spans="1:22">
      <c r="A48" s="1" t="s">
        <v>69</v>
      </c>
      <c r="B48" s="6">
        <v>0</v>
      </c>
      <c r="C48" s="1">
        <v>0</v>
      </c>
      <c r="D48" s="1">
        <v>1385577.7453399794</v>
      </c>
      <c r="E48" s="1">
        <v>0</v>
      </c>
      <c r="F48" s="1">
        <v>0</v>
      </c>
      <c r="G48" s="9">
        <f>SUM(SD_FINANCIAL)</f>
        <v>1385577.7453399794</v>
      </c>
      <c r="L48" s="6">
        <v>0</v>
      </c>
      <c r="M48" s="1">
        <v>0</v>
      </c>
      <c r="O48" s="1">
        <v>0</v>
      </c>
      <c r="P48" s="1">
        <v>0</v>
      </c>
      <c r="R48" s="1">
        <v>3748806</v>
      </c>
      <c r="S48" s="1">
        <v>1475000</v>
      </c>
      <c r="U48" s="1">
        <v>0</v>
      </c>
      <c r="V48" s="9">
        <v>0</v>
      </c>
    </row>
    <row r="49" spans="1:22">
      <c r="A49" s="1" t="s">
        <v>70</v>
      </c>
      <c r="B49" s="6">
        <v>0</v>
      </c>
      <c r="C49" s="1">
        <v>0</v>
      </c>
      <c r="D49" s="1">
        <v>304483.02869709744</v>
      </c>
      <c r="E49" s="1">
        <v>0</v>
      </c>
      <c r="F49" s="1">
        <v>0</v>
      </c>
      <c r="G49" s="9">
        <f>SUM(TN_FINANCIAL)</f>
        <v>304483.02869709744</v>
      </c>
      <c r="L49" s="6">
        <v>0</v>
      </c>
      <c r="M49" s="1">
        <v>0</v>
      </c>
      <c r="O49" s="1">
        <v>0</v>
      </c>
      <c r="P49" s="1">
        <v>0</v>
      </c>
      <c r="R49" s="1">
        <v>1000000</v>
      </c>
      <c r="S49" s="1">
        <v>0</v>
      </c>
      <c r="U49" s="1">
        <v>0</v>
      </c>
      <c r="V49" s="9">
        <v>0</v>
      </c>
    </row>
    <row r="50" spans="1:22">
      <c r="A50" s="1" t="s">
        <v>71</v>
      </c>
      <c r="B50" s="6">
        <v>0</v>
      </c>
      <c r="C50" s="1">
        <v>0</v>
      </c>
      <c r="D50" s="1">
        <v>999098.45080373227</v>
      </c>
      <c r="E50" s="1">
        <v>0</v>
      </c>
      <c r="F50" s="1">
        <v>0</v>
      </c>
      <c r="G50" s="9">
        <f>SUM(TX_FINANCIAL)</f>
        <v>999098.45080373227</v>
      </c>
      <c r="L50" s="6">
        <v>0</v>
      </c>
      <c r="M50" s="1">
        <v>600000</v>
      </c>
      <c r="O50" s="1">
        <v>0</v>
      </c>
      <c r="P50" s="1">
        <v>0</v>
      </c>
      <c r="R50" s="1">
        <v>3221193.5</v>
      </c>
      <c r="S50" s="1">
        <v>1164901</v>
      </c>
      <c r="U50" s="1">
        <v>0</v>
      </c>
      <c r="V50" s="9">
        <v>0</v>
      </c>
    </row>
    <row r="51" spans="1:22">
      <c r="A51" s="1" t="s">
        <v>72</v>
      </c>
      <c r="B51" s="6">
        <v>0</v>
      </c>
      <c r="C51" s="1">
        <v>0</v>
      </c>
      <c r="D51" s="1">
        <v>41239.544410369781</v>
      </c>
      <c r="E51" s="1">
        <v>0</v>
      </c>
      <c r="F51" s="1">
        <v>0</v>
      </c>
      <c r="G51" s="9">
        <f>SUM(UT_FINANCIAL)</f>
        <v>41239.544410369781</v>
      </c>
      <c r="L51" s="6">
        <v>0</v>
      </c>
      <c r="M51" s="1">
        <v>0</v>
      </c>
      <c r="O51" s="1">
        <v>0</v>
      </c>
      <c r="P51" s="1">
        <v>0</v>
      </c>
      <c r="R51" s="1">
        <v>125000</v>
      </c>
      <c r="S51" s="1">
        <v>0</v>
      </c>
      <c r="U51" s="1">
        <v>0</v>
      </c>
      <c r="V51" s="9">
        <v>0</v>
      </c>
    </row>
    <row r="52" spans="1:22">
      <c r="A52" s="1" t="s">
        <v>73</v>
      </c>
      <c r="B52" s="6">
        <v>0</v>
      </c>
      <c r="C52" s="1">
        <v>0</v>
      </c>
      <c r="D52" s="1">
        <v>9549.0587860707419</v>
      </c>
      <c r="E52" s="1">
        <v>0</v>
      </c>
      <c r="F52" s="1">
        <v>0</v>
      </c>
      <c r="G52" s="9">
        <f>SUM(VT_FINANCIAL)</f>
        <v>9549.0587860707419</v>
      </c>
      <c r="L52" s="6">
        <v>0</v>
      </c>
      <c r="M52" s="1">
        <v>0</v>
      </c>
      <c r="O52" s="1">
        <v>0</v>
      </c>
      <c r="P52" s="1">
        <v>0</v>
      </c>
      <c r="R52" s="1">
        <v>27500</v>
      </c>
      <c r="S52" s="1">
        <v>0</v>
      </c>
      <c r="U52" s="1">
        <v>0</v>
      </c>
      <c r="V52" s="9">
        <v>0</v>
      </c>
    </row>
    <row r="53" spans="1:22">
      <c r="A53" s="1" t="s">
        <v>74</v>
      </c>
      <c r="B53" s="6">
        <v>0</v>
      </c>
      <c r="C53" s="1">
        <v>0</v>
      </c>
      <c r="D53" s="1">
        <v>280134.47212240438</v>
      </c>
      <c r="E53" s="1">
        <v>0</v>
      </c>
      <c r="F53" s="1">
        <v>0</v>
      </c>
      <c r="G53" s="9">
        <f>SUM(VA_FINANCIAL)</f>
        <v>280134.47212240438</v>
      </c>
      <c r="L53" s="6">
        <v>0</v>
      </c>
      <c r="M53" s="1">
        <v>0</v>
      </c>
      <c r="O53" s="1">
        <v>0</v>
      </c>
      <c r="P53" s="1">
        <v>0</v>
      </c>
      <c r="R53" s="1">
        <v>850915</v>
      </c>
      <c r="S53" s="1">
        <v>455000</v>
      </c>
      <c r="U53" s="1">
        <v>0</v>
      </c>
      <c r="V53" s="9">
        <v>0</v>
      </c>
    </row>
    <row r="54" spans="1:22">
      <c r="A54" s="1" t="s">
        <v>75</v>
      </c>
      <c r="B54" s="6">
        <v>0</v>
      </c>
      <c r="C54" s="1">
        <v>0</v>
      </c>
      <c r="D54" s="1">
        <v>3137064.872541381</v>
      </c>
      <c r="E54" s="1">
        <v>0</v>
      </c>
      <c r="F54" s="1">
        <v>0</v>
      </c>
      <c r="G54" s="9">
        <f>SUM(WA_FINANCIAL)</f>
        <v>3137064.872541381</v>
      </c>
      <c r="L54" s="6">
        <v>0</v>
      </c>
      <c r="M54" s="1">
        <v>0</v>
      </c>
      <c r="O54" s="1">
        <v>0</v>
      </c>
      <c r="P54" s="1">
        <v>0</v>
      </c>
      <c r="R54" s="1">
        <v>3000000</v>
      </c>
      <c r="S54" s="1">
        <v>2169430</v>
      </c>
      <c r="U54" s="1">
        <v>0</v>
      </c>
      <c r="V54" s="9">
        <v>0</v>
      </c>
    </row>
    <row r="55" spans="1:22">
      <c r="A55" s="1" t="s">
        <v>76</v>
      </c>
      <c r="B55" s="6">
        <v>0</v>
      </c>
      <c r="C55" s="1">
        <v>0</v>
      </c>
      <c r="D55" s="1">
        <v>82842.771334038349</v>
      </c>
      <c r="E55" s="1">
        <v>0</v>
      </c>
      <c r="F55" s="1">
        <v>0</v>
      </c>
      <c r="G55" s="9">
        <f>SUM(WV_FINANCIAL)</f>
        <v>82842.771334038349</v>
      </c>
      <c r="L55" s="6">
        <v>0</v>
      </c>
      <c r="M55" s="1">
        <v>0</v>
      </c>
      <c r="O55" s="1">
        <v>0</v>
      </c>
      <c r="P55" s="1">
        <v>0</v>
      </c>
      <c r="R55" s="1">
        <v>350000</v>
      </c>
      <c r="S55" s="1">
        <v>280</v>
      </c>
      <c r="U55" s="1">
        <v>0</v>
      </c>
      <c r="V55" s="9">
        <v>0</v>
      </c>
    </row>
    <row r="56" spans="1:22">
      <c r="A56" s="1" t="s">
        <v>77</v>
      </c>
      <c r="B56" s="6">
        <v>0</v>
      </c>
      <c r="C56" s="1">
        <v>0</v>
      </c>
      <c r="D56" s="1">
        <v>62557.916053683613</v>
      </c>
      <c r="E56" s="1">
        <v>0</v>
      </c>
      <c r="F56" s="1">
        <v>0</v>
      </c>
      <c r="G56" s="9">
        <f>SUM(WI_FINANCIAL)</f>
        <v>62557.916053683613</v>
      </c>
      <c r="L56" s="6"/>
      <c r="V56" s="9"/>
    </row>
    <row r="57" spans="1:22">
      <c r="A57" s="1" t="s">
        <v>78</v>
      </c>
      <c r="B57" s="6">
        <v>0</v>
      </c>
      <c r="C57" s="1">
        <v>0</v>
      </c>
      <c r="D57" s="1">
        <v>175996.52870981046</v>
      </c>
      <c r="E57" s="1">
        <v>0</v>
      </c>
      <c r="F57" s="1">
        <v>0</v>
      </c>
      <c r="G57" s="9">
        <f>SUM(WY_FINANCIAL)</f>
        <v>175996.52870981046</v>
      </c>
      <c r="L57" s="6">
        <v>0</v>
      </c>
      <c r="M57" s="1">
        <v>0</v>
      </c>
      <c r="O57" s="1">
        <v>0</v>
      </c>
      <c r="P57" s="1">
        <v>0</v>
      </c>
      <c r="R57" s="1">
        <v>275000</v>
      </c>
      <c r="S57" s="1">
        <v>410327</v>
      </c>
      <c r="U57" s="1">
        <v>0</v>
      </c>
      <c r="V57" s="9">
        <v>0</v>
      </c>
    </row>
    <row r="58" spans="1:22">
      <c r="A58" s="1" t="s">
        <v>79</v>
      </c>
      <c r="B58" s="6">
        <v>0</v>
      </c>
      <c r="C58" s="1">
        <v>0</v>
      </c>
      <c r="D58" s="1">
        <v>196.83893910258433</v>
      </c>
      <c r="E58" s="1">
        <v>0</v>
      </c>
      <c r="F58" s="1">
        <v>0</v>
      </c>
      <c r="G58" s="9">
        <f>SUM(OT_FINANCIAL)</f>
        <v>196.83893910258433</v>
      </c>
      <c r="L58" s="6"/>
      <c r="V58" s="9"/>
    </row>
    <row r="59" spans="1:22">
      <c r="B59" s="6"/>
      <c r="G59" s="9"/>
      <c r="L59" s="6"/>
      <c r="V59" s="9"/>
    </row>
    <row r="60" spans="1:22">
      <c r="A60" s="1" t="s">
        <v>8</v>
      </c>
      <c r="B60" s="6">
        <f>SUM(LIFE)</f>
        <v>0</v>
      </c>
      <c r="C60" s="1">
        <f>SUM(ALLOCATED)</f>
        <v>0</v>
      </c>
      <c r="D60" s="1">
        <f>SUM(HEALTH)</f>
        <v>34222634.49000001</v>
      </c>
      <c r="E60" s="1">
        <f>SUM(UNALLOCATED)</f>
        <v>0</v>
      </c>
      <c r="F60" s="1">
        <f>SUM(LTC)</f>
        <v>0</v>
      </c>
      <c r="G60" s="9">
        <f>SUM(ALL_BLOCKS)</f>
        <v>34222634.49000001</v>
      </c>
      <c r="L60" s="6">
        <f>SUM(LIFE_CALLED)</f>
        <v>9517</v>
      </c>
      <c r="M60" s="1">
        <f>SUM(LIFE_REFUNDED)</f>
        <v>729780</v>
      </c>
      <c r="O60" s="1">
        <f>SUM(ALLOC_CALLED)</f>
        <v>0</v>
      </c>
      <c r="P60" s="1">
        <f>SUM(ALLOC_REFUNDED)</f>
        <v>0</v>
      </c>
      <c r="R60" s="1">
        <f>SUM(HEALTH_CALLED)</f>
        <v>85880466.5</v>
      </c>
      <c r="S60" s="1">
        <f>SUM(HEALTH_REFUNDED)</f>
        <v>30818274</v>
      </c>
      <c r="U60" s="1">
        <f>SUM(UNALLOC_CALLED)</f>
        <v>0</v>
      </c>
      <c r="V60" s="9">
        <f>SUM(UNALLOC_REFUNDED)</f>
        <v>0</v>
      </c>
    </row>
    <row r="61" spans="1:22" ht="5.0999999999999996" customHeight="1">
      <c r="B61" s="6"/>
      <c r="G61" s="9"/>
      <c r="L61" s="6"/>
      <c r="V61" s="9"/>
    </row>
    <row r="62" spans="1:22">
      <c r="B62" s="6"/>
      <c r="G62" s="9"/>
      <c r="L62" s="78" t="s">
        <v>80</v>
      </c>
      <c r="M62" s="79"/>
      <c r="N62" s="79"/>
      <c r="O62" s="79"/>
      <c r="P62" s="79"/>
      <c r="Q62" s="79"/>
      <c r="R62" s="79"/>
      <c r="S62" s="79"/>
      <c r="T62" s="79"/>
      <c r="U62" s="79"/>
      <c r="V62" s="80"/>
    </row>
    <row r="63" spans="1:22">
      <c r="B63" s="6"/>
      <c r="G63" s="9"/>
      <c r="L63" s="81"/>
      <c r="M63" s="79"/>
      <c r="N63" s="79"/>
      <c r="O63" s="79"/>
      <c r="P63" s="79"/>
      <c r="Q63" s="79"/>
      <c r="R63" s="79"/>
      <c r="S63" s="79"/>
      <c r="T63" s="79"/>
      <c r="U63" s="79"/>
      <c r="V63" s="80"/>
    </row>
    <row r="64" spans="1:22">
      <c r="B64" s="8"/>
      <c r="C64" s="5"/>
      <c r="D64" s="5"/>
      <c r="E64" s="5"/>
      <c r="F64" s="5"/>
      <c r="G64" s="11"/>
      <c r="L64" s="82"/>
      <c r="M64" s="83"/>
      <c r="N64" s="83"/>
      <c r="O64" s="83"/>
      <c r="P64" s="83"/>
      <c r="Q64" s="83"/>
      <c r="R64" s="83"/>
      <c r="S64" s="83"/>
      <c r="T64" s="83"/>
      <c r="U64" s="83"/>
      <c r="V64" s="84"/>
    </row>
  </sheetData>
  <mergeCells count="8">
    <mergeCell ref="L62:V64"/>
    <mergeCell ref="A1:G1"/>
    <mergeCell ref="B3:G3"/>
    <mergeCell ref="L3:V3"/>
    <mergeCell ref="L4:M4"/>
    <mergeCell ref="O4:P4"/>
    <mergeCell ref="R4:S4"/>
    <mergeCell ref="U4:V4"/>
  </mergeCells>
  <pageMargins left="0" right="0" top="0" bottom="0" header="0" footer="0"/>
  <pageSetup scale="48" orientation="landscape"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pageSetUpPr fitToPage="1"/>
  </sheetPr>
  <dimension ref="A1:V64"/>
  <sheetViews>
    <sheetView zoomScale="75" workbookViewId="0">
      <selection sqref="A1:G1"/>
    </sheetView>
  </sheetViews>
  <sheetFormatPr defaultColWidth="9.109375" defaultRowHeight="14.4"/>
  <cols>
    <col min="1" max="1" width="20" style="1" customWidth="1"/>
    <col min="2" max="7" width="15" style="1" customWidth="1"/>
    <col min="8" max="8" width="1" style="1" customWidth="1"/>
    <col min="9" max="9" width="30" style="1" customWidth="1"/>
    <col min="10" max="10" width="15" style="1" customWidth="1"/>
    <col min="11" max="11" width="1" style="1" customWidth="1"/>
    <col min="12" max="13" width="15" style="1" customWidth="1"/>
    <col min="14" max="14" width="1" style="1" customWidth="1"/>
    <col min="15" max="16" width="15" style="1" customWidth="1"/>
    <col min="17" max="17" width="1" style="1" customWidth="1"/>
    <col min="18" max="19" width="15" style="1" customWidth="1"/>
    <col min="20" max="20" width="1" style="1" customWidth="1"/>
    <col min="21" max="22" width="15" style="1" customWidth="1"/>
    <col min="23" max="23" width="9.109375" style="1" customWidth="1"/>
    <col min="24" max="16384" width="9.109375" style="1"/>
  </cols>
  <sheetData>
    <row r="1" spans="1:22">
      <c r="A1" s="85" t="s">
        <v>139</v>
      </c>
      <c r="B1" s="79"/>
      <c r="C1" s="79"/>
      <c r="D1" s="79"/>
      <c r="E1" s="79"/>
      <c r="F1" s="79"/>
      <c r="G1" s="79"/>
    </row>
    <row r="3" spans="1:22">
      <c r="B3" s="86" t="s">
        <v>1</v>
      </c>
      <c r="C3" s="87"/>
      <c r="D3" s="87"/>
      <c r="E3" s="87"/>
      <c r="F3" s="87"/>
      <c r="G3" s="88"/>
      <c r="L3" s="89" t="s">
        <v>2</v>
      </c>
      <c r="M3" s="90"/>
      <c r="N3" s="90"/>
      <c r="O3" s="90"/>
      <c r="P3" s="90"/>
      <c r="Q3" s="90"/>
      <c r="R3" s="90"/>
      <c r="S3" s="90"/>
      <c r="T3" s="90"/>
      <c r="U3" s="90"/>
      <c r="V3" s="91"/>
    </row>
    <row r="4" spans="1:22">
      <c r="B4" s="6"/>
      <c r="G4" s="9"/>
      <c r="L4" s="92" t="s">
        <v>3</v>
      </c>
      <c r="M4" s="93"/>
      <c r="N4" s="3"/>
      <c r="O4" s="94" t="s">
        <v>4</v>
      </c>
      <c r="P4" s="93"/>
      <c r="Q4" s="3"/>
      <c r="R4" s="94" t="s">
        <v>5</v>
      </c>
      <c r="S4" s="93"/>
      <c r="T4" s="3"/>
      <c r="U4" s="94" t="s">
        <v>6</v>
      </c>
      <c r="V4" s="95"/>
    </row>
    <row r="5" spans="1:22" ht="60" customHeight="1">
      <c r="B5" s="7" t="s">
        <v>3</v>
      </c>
      <c r="C5" s="4" t="s">
        <v>4</v>
      </c>
      <c r="D5" s="4" t="s">
        <v>5</v>
      </c>
      <c r="E5" s="4" t="s">
        <v>6</v>
      </c>
      <c r="F5" s="4" t="s">
        <v>7</v>
      </c>
      <c r="G5" s="10" t="s">
        <v>8</v>
      </c>
      <c r="L5" s="19" t="s">
        <v>9</v>
      </c>
      <c r="M5" s="18" t="s">
        <v>10</v>
      </c>
      <c r="N5" s="18"/>
      <c r="O5" s="18" t="s">
        <v>9</v>
      </c>
      <c r="P5" s="18" t="s">
        <v>10</v>
      </c>
      <c r="Q5" s="18"/>
      <c r="R5" s="18" t="s">
        <v>9</v>
      </c>
      <c r="S5" s="18" t="s">
        <v>10</v>
      </c>
      <c r="T5" s="18"/>
      <c r="U5" s="18" t="s">
        <v>9</v>
      </c>
      <c r="V5" s="20" t="s">
        <v>10</v>
      </c>
    </row>
    <row r="6" spans="1:22">
      <c r="A6" s="1" t="s">
        <v>11</v>
      </c>
      <c r="B6" s="6">
        <v>0</v>
      </c>
      <c r="C6" s="1">
        <v>441199.44073607604</v>
      </c>
      <c r="D6" s="1">
        <v>0</v>
      </c>
      <c r="E6" s="1">
        <v>0</v>
      </c>
      <c r="F6" s="1">
        <v>0</v>
      </c>
      <c r="G6" s="9">
        <f>SUM(AL_FINANCIAL)</f>
        <v>441199.44073607604</v>
      </c>
      <c r="L6" s="6"/>
      <c r="V6" s="9"/>
    </row>
    <row r="7" spans="1:22">
      <c r="A7" s="1" t="s">
        <v>12</v>
      </c>
      <c r="B7" s="6">
        <v>0</v>
      </c>
      <c r="C7" s="1">
        <v>13721.077526691588</v>
      </c>
      <c r="D7" s="1">
        <v>0</v>
      </c>
      <c r="E7" s="1">
        <v>0</v>
      </c>
      <c r="F7" s="1">
        <v>0</v>
      </c>
      <c r="G7" s="9">
        <f>SUM(AK_FINANCIAL)</f>
        <v>13721.077526691588</v>
      </c>
      <c r="I7" s="12"/>
      <c r="J7" s="15"/>
      <c r="L7" s="6"/>
      <c r="V7" s="9"/>
    </row>
    <row r="8" spans="1:22">
      <c r="A8" s="1" t="s">
        <v>13</v>
      </c>
      <c r="B8" s="6">
        <v>0</v>
      </c>
      <c r="C8" s="1">
        <v>1350463.539241825</v>
      </c>
      <c r="D8" s="1">
        <v>0</v>
      </c>
      <c r="E8" s="1">
        <v>0</v>
      </c>
      <c r="F8" s="1">
        <v>0</v>
      </c>
      <c r="G8" s="9">
        <f>SUM(AZ_FINANCIAL)</f>
        <v>1350463.539241825</v>
      </c>
      <c r="I8" s="13" t="s">
        <v>14</v>
      </c>
      <c r="J8" s="16"/>
      <c r="L8" s="6"/>
      <c r="V8" s="9"/>
    </row>
    <row r="9" spans="1:22">
      <c r="A9" s="1" t="s">
        <v>15</v>
      </c>
      <c r="B9" s="6">
        <v>0</v>
      </c>
      <c r="C9" s="1">
        <v>533606.67904211441</v>
      </c>
      <c r="D9" s="1">
        <v>0</v>
      </c>
      <c r="E9" s="1">
        <v>0</v>
      </c>
      <c r="F9" s="1">
        <v>0</v>
      </c>
      <c r="G9" s="9">
        <f>SUM(AR_FINANCIAL)</f>
        <v>533606.67904211441</v>
      </c>
      <c r="I9" s="13"/>
      <c r="J9" s="16"/>
      <c r="L9" s="6">
        <v>658068</v>
      </c>
      <c r="M9" s="1">
        <v>0</v>
      </c>
      <c r="O9" s="1">
        <v>0</v>
      </c>
      <c r="P9" s="1">
        <v>0</v>
      </c>
      <c r="R9" s="1">
        <v>0</v>
      </c>
      <c r="S9" s="1">
        <v>0</v>
      </c>
      <c r="U9" s="1">
        <v>0</v>
      </c>
      <c r="V9" s="9">
        <v>0</v>
      </c>
    </row>
    <row r="10" spans="1:22">
      <c r="A10" s="1" t="s">
        <v>16</v>
      </c>
      <c r="B10" s="6">
        <v>0</v>
      </c>
      <c r="C10" s="1">
        <v>11045504.054577764</v>
      </c>
      <c r="D10" s="1">
        <v>0</v>
      </c>
      <c r="E10" s="1">
        <v>0</v>
      </c>
      <c r="F10" s="1">
        <v>0</v>
      </c>
      <c r="G10" s="9">
        <f>SUM(CA_FINANCIAL)</f>
        <v>11045504.054577764</v>
      </c>
      <c r="I10" s="13" t="s">
        <v>17</v>
      </c>
      <c r="J10" s="16">
        <v>1335156397.4969995</v>
      </c>
      <c r="L10" s="6">
        <v>0</v>
      </c>
      <c r="M10" s="1">
        <v>0</v>
      </c>
      <c r="O10" s="1">
        <v>15000000</v>
      </c>
      <c r="P10" s="1">
        <v>0</v>
      </c>
      <c r="R10" s="1">
        <v>0</v>
      </c>
      <c r="S10" s="1">
        <v>0</v>
      </c>
      <c r="U10" s="1">
        <v>0</v>
      </c>
      <c r="V10" s="9">
        <v>0</v>
      </c>
    </row>
    <row r="11" spans="1:22">
      <c r="A11" s="1" t="s">
        <v>18</v>
      </c>
      <c r="B11" s="6">
        <v>0</v>
      </c>
      <c r="C11" s="1">
        <v>1820852.8127975594</v>
      </c>
      <c r="D11" s="1">
        <v>0</v>
      </c>
      <c r="E11" s="1">
        <v>0</v>
      </c>
      <c r="F11" s="1">
        <v>0</v>
      </c>
      <c r="G11" s="9">
        <f>SUM(CO_FINANCIAL)</f>
        <v>1820852.8127975594</v>
      </c>
      <c r="I11" s="13"/>
      <c r="J11" s="16"/>
      <c r="L11" s="6">
        <v>0</v>
      </c>
      <c r="M11" s="1">
        <v>0</v>
      </c>
      <c r="O11" s="1">
        <v>2497230</v>
      </c>
      <c r="P11" s="1">
        <v>0</v>
      </c>
      <c r="R11" s="1">
        <v>0</v>
      </c>
      <c r="S11" s="1">
        <v>166536</v>
      </c>
      <c r="U11" s="1">
        <v>0</v>
      </c>
      <c r="V11" s="9">
        <v>0</v>
      </c>
    </row>
    <row r="12" spans="1:22">
      <c r="A12" s="1" t="s">
        <v>19</v>
      </c>
      <c r="B12" s="6">
        <v>0</v>
      </c>
      <c r="C12" s="1">
        <v>0</v>
      </c>
      <c r="D12" s="1">
        <v>0</v>
      </c>
      <c r="E12" s="1">
        <v>0</v>
      </c>
      <c r="F12" s="1">
        <v>0</v>
      </c>
      <c r="G12" s="9">
        <f>SUM(CT_FINANCIAL)</f>
        <v>0</v>
      </c>
      <c r="I12" s="13" t="s">
        <v>20</v>
      </c>
      <c r="J12" s="16"/>
      <c r="L12" s="6"/>
      <c r="V12" s="9"/>
    </row>
    <row r="13" spans="1:22">
      <c r="A13" s="1" t="s">
        <v>21</v>
      </c>
      <c r="B13" s="6">
        <v>0</v>
      </c>
      <c r="C13" s="1">
        <v>137488.26811743391</v>
      </c>
      <c r="D13" s="1">
        <v>0</v>
      </c>
      <c r="E13" s="1">
        <v>0</v>
      </c>
      <c r="F13" s="1">
        <v>0</v>
      </c>
      <c r="G13" s="9">
        <f>SUM(DE_FINANCIAL)</f>
        <v>137488.26811743391</v>
      </c>
      <c r="I13" s="13" t="s">
        <v>22</v>
      </c>
      <c r="J13" s="16">
        <v>215140272.63000038</v>
      </c>
      <c r="L13" s="6"/>
      <c r="V13" s="9"/>
    </row>
    <row r="14" spans="1:22">
      <c r="A14" s="1" t="s">
        <v>23</v>
      </c>
      <c r="B14" s="6">
        <v>0</v>
      </c>
      <c r="C14" s="1">
        <v>44187.575786166664</v>
      </c>
      <c r="D14" s="1">
        <v>0</v>
      </c>
      <c r="E14" s="1">
        <v>0</v>
      </c>
      <c r="F14" s="1">
        <v>0</v>
      </c>
      <c r="G14" s="9">
        <f>SUM(DC_FINANCIAL)</f>
        <v>44187.575786166664</v>
      </c>
      <c r="I14" s="13" t="s">
        <v>24</v>
      </c>
      <c r="J14" s="16">
        <v>2392297.8400000003</v>
      </c>
      <c r="L14" s="6">
        <v>0</v>
      </c>
      <c r="M14" s="1">
        <v>0</v>
      </c>
      <c r="O14" s="1">
        <v>98000</v>
      </c>
      <c r="P14" s="1">
        <v>38000</v>
      </c>
      <c r="R14" s="1">
        <v>0</v>
      </c>
      <c r="S14" s="1">
        <v>0</v>
      </c>
      <c r="U14" s="1">
        <v>0</v>
      </c>
      <c r="V14" s="9">
        <v>0</v>
      </c>
    </row>
    <row r="15" spans="1:22">
      <c r="A15" s="1" t="s">
        <v>25</v>
      </c>
      <c r="B15" s="6">
        <v>0</v>
      </c>
      <c r="C15" s="1">
        <v>7347891.4385647476</v>
      </c>
      <c r="D15" s="1">
        <v>0</v>
      </c>
      <c r="E15" s="1">
        <v>0</v>
      </c>
      <c r="F15" s="1">
        <v>0</v>
      </c>
      <c r="G15" s="9">
        <f>SUM(FL_FINANCIAL)</f>
        <v>7347891.4385647476</v>
      </c>
      <c r="I15" s="13" t="s">
        <v>26</v>
      </c>
      <c r="J15" s="16">
        <v>3229303.9600000014</v>
      </c>
      <c r="L15" s="6"/>
      <c r="V15" s="9"/>
    </row>
    <row r="16" spans="1:22">
      <c r="A16" s="1" t="s">
        <v>27</v>
      </c>
      <c r="B16" s="6">
        <v>0</v>
      </c>
      <c r="C16" s="1">
        <v>1432096.882019534</v>
      </c>
      <c r="D16" s="1">
        <v>0</v>
      </c>
      <c r="E16" s="1">
        <v>0</v>
      </c>
      <c r="F16" s="1">
        <v>0</v>
      </c>
      <c r="G16" s="9">
        <f>SUM(GA_FINANCIAL)</f>
        <v>1432096.882019534</v>
      </c>
      <c r="I16" s="13" t="s">
        <v>28</v>
      </c>
      <c r="J16" s="16">
        <v>0</v>
      </c>
      <c r="L16" s="6"/>
      <c r="V16" s="9"/>
    </row>
    <row r="17" spans="1:22">
      <c r="A17" s="1" t="s">
        <v>29</v>
      </c>
      <c r="B17" s="6">
        <v>0</v>
      </c>
      <c r="C17" s="1">
        <v>78193.47801066727</v>
      </c>
      <c r="D17" s="1">
        <v>0</v>
      </c>
      <c r="E17" s="1">
        <v>0</v>
      </c>
      <c r="F17" s="1">
        <v>0</v>
      </c>
      <c r="G17" s="9">
        <f>SUM(HI_FINANCIAL)</f>
        <v>78193.47801066727</v>
      </c>
      <c r="I17" s="13"/>
      <c r="J17" s="16"/>
      <c r="L17" s="6"/>
      <c r="V17" s="9"/>
    </row>
    <row r="18" spans="1:22">
      <c r="A18" s="1" t="s">
        <v>30</v>
      </c>
      <c r="B18" s="6">
        <v>0</v>
      </c>
      <c r="C18" s="1">
        <v>124634.00081114178</v>
      </c>
      <c r="D18" s="1">
        <v>0</v>
      </c>
      <c r="E18" s="1">
        <v>0</v>
      </c>
      <c r="F18" s="1">
        <v>0</v>
      </c>
      <c r="G18" s="9">
        <f>SUM(ID_FINANCIAL)</f>
        <v>124634.00081114178</v>
      </c>
      <c r="I18" s="13" t="s">
        <v>31</v>
      </c>
      <c r="J18" s="16"/>
      <c r="L18" s="6"/>
      <c r="V18" s="9"/>
    </row>
    <row r="19" spans="1:22">
      <c r="A19" s="1" t="s">
        <v>32</v>
      </c>
      <c r="B19" s="6">
        <v>0</v>
      </c>
      <c r="C19" s="1">
        <v>2214483.4046390392</v>
      </c>
      <c r="D19" s="1">
        <v>0</v>
      </c>
      <c r="E19" s="1">
        <v>0</v>
      </c>
      <c r="F19" s="1">
        <v>0</v>
      </c>
      <c r="G19" s="9">
        <f>SUM(IL_FINANCIAL)</f>
        <v>2214483.4046390392</v>
      </c>
      <c r="I19" s="13" t="s">
        <v>33</v>
      </c>
      <c r="J19" s="16">
        <v>1025571208.7099997</v>
      </c>
      <c r="L19" s="6">
        <v>0</v>
      </c>
      <c r="M19" s="1">
        <v>0</v>
      </c>
      <c r="O19" s="1">
        <v>3500000</v>
      </c>
      <c r="P19" s="1">
        <v>1385000</v>
      </c>
      <c r="R19" s="1">
        <v>0</v>
      </c>
      <c r="S19" s="1">
        <v>0</v>
      </c>
      <c r="U19" s="1">
        <v>0</v>
      </c>
      <c r="V19" s="9">
        <v>0</v>
      </c>
    </row>
    <row r="20" spans="1:22">
      <c r="A20" s="1" t="s">
        <v>34</v>
      </c>
      <c r="B20" s="6">
        <v>0</v>
      </c>
      <c r="C20" s="1">
        <v>5434807.3297822597</v>
      </c>
      <c r="D20" s="1">
        <v>0</v>
      </c>
      <c r="E20" s="1">
        <v>0</v>
      </c>
      <c r="F20" s="1">
        <v>0</v>
      </c>
      <c r="G20" s="9">
        <f>SUM(IN_FINANCIAL)</f>
        <v>5434807.3297822597</v>
      </c>
      <c r="I20" s="13" t="s">
        <v>35</v>
      </c>
      <c r="J20" s="16">
        <v>225230405.92700028</v>
      </c>
      <c r="L20" s="6"/>
      <c r="V20" s="9"/>
    </row>
    <row r="21" spans="1:22">
      <c r="A21" s="1" t="s">
        <v>36</v>
      </c>
      <c r="B21" s="6">
        <v>0</v>
      </c>
      <c r="C21" s="1">
        <v>1093669.3579228101</v>
      </c>
      <c r="D21" s="1">
        <v>0</v>
      </c>
      <c r="E21" s="1">
        <v>0</v>
      </c>
      <c r="F21" s="1">
        <v>0</v>
      </c>
      <c r="G21" s="9">
        <f>SUM(IA_FINANCIAL)</f>
        <v>1093669.3579228101</v>
      </c>
      <c r="I21" s="13" t="s">
        <v>37</v>
      </c>
      <c r="J21" s="16"/>
      <c r="L21" s="6"/>
      <c r="V21" s="9"/>
    </row>
    <row r="22" spans="1:22">
      <c r="A22" s="1" t="s">
        <v>38</v>
      </c>
      <c r="B22" s="6">
        <v>0</v>
      </c>
      <c r="C22" s="1">
        <v>719936.07210268383</v>
      </c>
      <c r="D22" s="1">
        <v>0</v>
      </c>
      <c r="E22" s="1">
        <v>0</v>
      </c>
      <c r="F22" s="1">
        <v>0</v>
      </c>
      <c r="G22" s="9">
        <f>SUM(KS_FINANCIAL)</f>
        <v>719936.07210268383</v>
      </c>
      <c r="I22" s="13" t="s">
        <v>39</v>
      </c>
      <c r="J22" s="16">
        <v>17486425.390000004</v>
      </c>
      <c r="L22" s="6"/>
      <c r="V22" s="9"/>
    </row>
    <row r="23" spans="1:22">
      <c r="A23" s="1" t="s">
        <v>40</v>
      </c>
      <c r="B23" s="6">
        <v>0</v>
      </c>
      <c r="C23" s="1">
        <v>475981.95413519465</v>
      </c>
      <c r="D23" s="1">
        <v>0</v>
      </c>
      <c r="E23" s="1">
        <v>0</v>
      </c>
      <c r="F23" s="1">
        <v>0</v>
      </c>
      <c r="G23" s="9">
        <f>SUM(KY_FINANCIAL)</f>
        <v>475981.95413519465</v>
      </c>
      <c r="I23" s="13" t="s">
        <v>41</v>
      </c>
      <c r="J23" s="16"/>
      <c r="L23" s="6"/>
      <c r="V23" s="9"/>
    </row>
    <row r="24" spans="1:22">
      <c r="A24" s="1" t="s">
        <v>42</v>
      </c>
      <c r="B24" s="6">
        <v>0</v>
      </c>
      <c r="C24" s="1">
        <v>206105.03961592412</v>
      </c>
      <c r="D24" s="1">
        <v>0</v>
      </c>
      <c r="E24" s="1">
        <v>0</v>
      </c>
      <c r="F24" s="1">
        <v>0</v>
      </c>
      <c r="G24" s="9">
        <f>SUM(LA_FINANCIAL)</f>
        <v>206105.03961592412</v>
      </c>
      <c r="I24" s="13" t="s">
        <v>43</v>
      </c>
      <c r="J24" s="16">
        <v>191306153.66000003</v>
      </c>
      <c r="L24" s="6">
        <v>42570</v>
      </c>
      <c r="M24" s="1">
        <v>0</v>
      </c>
      <c r="O24" s="1">
        <v>740430</v>
      </c>
      <c r="P24" s="1">
        <v>0</v>
      </c>
      <c r="R24" s="1">
        <v>0</v>
      </c>
      <c r="S24" s="1">
        <v>0</v>
      </c>
      <c r="U24" s="1">
        <v>0</v>
      </c>
      <c r="V24" s="9">
        <v>0</v>
      </c>
    </row>
    <row r="25" spans="1:22">
      <c r="A25" s="1" t="s">
        <v>44</v>
      </c>
      <c r="B25" s="6">
        <v>0</v>
      </c>
      <c r="C25" s="1">
        <v>0</v>
      </c>
      <c r="D25" s="1">
        <v>0</v>
      </c>
      <c r="E25" s="1">
        <v>0</v>
      </c>
      <c r="F25" s="1">
        <v>0</v>
      </c>
      <c r="G25" s="9">
        <f>SUM(ME_FINANCIAL)</f>
        <v>0</v>
      </c>
      <c r="I25" s="13"/>
      <c r="J25" s="16"/>
      <c r="L25" s="6"/>
      <c r="V25" s="9"/>
    </row>
    <row r="26" spans="1:22">
      <c r="A26" s="1" t="s">
        <v>45</v>
      </c>
      <c r="B26" s="6">
        <v>0</v>
      </c>
      <c r="C26" s="1">
        <v>385274.56798442395</v>
      </c>
      <c r="D26" s="1">
        <v>0</v>
      </c>
      <c r="E26" s="1">
        <v>0</v>
      </c>
      <c r="F26" s="1">
        <v>0</v>
      </c>
      <c r="G26" s="9">
        <f>SUM(MD_FINANCIAL)</f>
        <v>385274.56798442395</v>
      </c>
      <c r="I26" s="13" t="s">
        <v>46</v>
      </c>
      <c r="J26" s="16">
        <f>SUM(ADD_FINANCIAL)-SUM(LESS_FINANCIAL)</f>
        <v>96324078.239999533</v>
      </c>
      <c r="L26" s="6"/>
      <c r="V26" s="9"/>
    </row>
    <row r="27" spans="1:22">
      <c r="A27" s="1" t="s">
        <v>47</v>
      </c>
      <c r="B27" s="6">
        <v>0</v>
      </c>
      <c r="C27" s="1">
        <v>0</v>
      </c>
      <c r="D27" s="1">
        <v>0</v>
      </c>
      <c r="E27" s="1">
        <v>0</v>
      </c>
      <c r="F27" s="1">
        <v>0</v>
      </c>
      <c r="G27" s="9">
        <f>SUM(MA_FINANCIAL)</f>
        <v>0</v>
      </c>
      <c r="I27" s="13" t="s">
        <v>48</v>
      </c>
      <c r="J27" s="16">
        <f>SUM(ALL_BLOCKS)</f>
        <v>96324078.240000188</v>
      </c>
      <c r="L27" s="6"/>
      <c r="V27" s="9"/>
    </row>
    <row r="28" spans="1:22">
      <c r="A28" s="1" t="s">
        <v>49</v>
      </c>
      <c r="B28" s="6">
        <v>0</v>
      </c>
      <c r="C28" s="1">
        <v>5585603.0650490904</v>
      </c>
      <c r="D28" s="1">
        <v>0</v>
      </c>
      <c r="E28" s="1">
        <v>0</v>
      </c>
      <c r="F28" s="1">
        <v>0</v>
      </c>
      <c r="G28" s="9">
        <f>SUM(MI_FINANCIAL)</f>
        <v>5585603.0650490904</v>
      </c>
      <c r="I28" s="14"/>
      <c r="J28" s="17"/>
      <c r="L28" s="6">
        <v>0</v>
      </c>
      <c r="M28" s="1">
        <v>0</v>
      </c>
      <c r="O28" s="1">
        <v>6000000</v>
      </c>
      <c r="P28" s="1">
        <v>0</v>
      </c>
      <c r="R28" s="1">
        <v>0</v>
      </c>
      <c r="S28" s="1">
        <v>0</v>
      </c>
      <c r="U28" s="1">
        <v>0</v>
      </c>
      <c r="V28" s="9">
        <v>0</v>
      </c>
    </row>
    <row r="29" spans="1:22">
      <c r="A29" s="1" t="s">
        <v>50</v>
      </c>
      <c r="B29" s="6">
        <v>0</v>
      </c>
      <c r="C29" s="1">
        <v>2615520.6349807736</v>
      </c>
      <c r="D29" s="1">
        <v>0</v>
      </c>
      <c r="E29" s="1">
        <v>0</v>
      </c>
      <c r="F29" s="1">
        <v>0</v>
      </c>
      <c r="G29" s="9">
        <f>SUM(MN_FINANCIAL)</f>
        <v>2615520.6349807736</v>
      </c>
      <c r="L29" s="6"/>
      <c r="V29" s="9"/>
    </row>
    <row r="30" spans="1:22">
      <c r="A30" s="1" t="s">
        <v>51</v>
      </c>
      <c r="B30" s="6">
        <v>0</v>
      </c>
      <c r="C30" s="1">
        <v>165803.13535214105</v>
      </c>
      <c r="D30" s="1">
        <v>0</v>
      </c>
      <c r="E30" s="1">
        <v>0</v>
      </c>
      <c r="F30" s="1">
        <v>0</v>
      </c>
      <c r="G30" s="9">
        <f>SUM(MS_FINANCIAL)</f>
        <v>165803.13535214105</v>
      </c>
      <c r="L30" s="6"/>
      <c r="V30" s="9"/>
    </row>
    <row r="31" spans="1:22">
      <c r="A31" s="1" t="s">
        <v>52</v>
      </c>
      <c r="B31" s="6">
        <v>0</v>
      </c>
      <c r="C31" s="1">
        <v>569489.89830246451</v>
      </c>
      <c r="D31" s="1">
        <v>0</v>
      </c>
      <c r="E31" s="1">
        <v>0</v>
      </c>
      <c r="F31" s="1">
        <v>0</v>
      </c>
      <c r="G31" s="9">
        <f>SUM(MO_FINANCIAL)</f>
        <v>569489.89830246451</v>
      </c>
      <c r="L31" s="6"/>
      <c r="V31" s="9"/>
    </row>
    <row r="32" spans="1:22">
      <c r="A32" s="1" t="s">
        <v>53</v>
      </c>
      <c r="B32" s="6">
        <v>0</v>
      </c>
      <c r="C32" s="1">
        <v>48024.435273782714</v>
      </c>
      <c r="D32" s="1">
        <v>0</v>
      </c>
      <c r="E32" s="1">
        <v>0</v>
      </c>
      <c r="F32" s="1">
        <v>0</v>
      </c>
      <c r="G32" s="9">
        <f>SUM(MT_FINANCIAL)</f>
        <v>48024.435273782714</v>
      </c>
      <c r="L32" s="6"/>
      <c r="V32" s="9"/>
    </row>
    <row r="33" spans="1:22">
      <c r="A33" s="1" t="s">
        <v>54</v>
      </c>
      <c r="B33" s="6">
        <v>0</v>
      </c>
      <c r="C33" s="1">
        <v>1044769.7743645185</v>
      </c>
      <c r="D33" s="1">
        <v>0</v>
      </c>
      <c r="E33" s="1">
        <v>0</v>
      </c>
      <c r="F33" s="1">
        <v>0</v>
      </c>
      <c r="G33" s="9">
        <f>SUM(NE_FINANCIAL)</f>
        <v>1044769.7743645185</v>
      </c>
      <c r="L33" s="6"/>
      <c r="V33" s="9"/>
    </row>
    <row r="34" spans="1:22">
      <c r="A34" s="1" t="s">
        <v>55</v>
      </c>
      <c r="B34" s="6">
        <v>0</v>
      </c>
      <c r="C34" s="1">
        <v>590597.49931584927</v>
      </c>
      <c r="D34" s="1">
        <v>0</v>
      </c>
      <c r="E34" s="1">
        <v>0</v>
      </c>
      <c r="F34" s="1">
        <v>0</v>
      </c>
      <c r="G34" s="9">
        <f>SUM(NV_FINANCIAL)</f>
        <v>590597.49931584927</v>
      </c>
      <c r="L34" s="6">
        <v>0</v>
      </c>
      <c r="M34" s="1">
        <v>0</v>
      </c>
      <c r="O34" s="1">
        <v>815000</v>
      </c>
      <c r="P34" s="1">
        <v>0</v>
      </c>
      <c r="R34" s="1">
        <v>0</v>
      </c>
      <c r="S34" s="1">
        <v>0</v>
      </c>
      <c r="U34" s="1">
        <v>0</v>
      </c>
      <c r="V34" s="9">
        <v>0</v>
      </c>
    </row>
    <row r="35" spans="1:22">
      <c r="A35" s="1" t="s">
        <v>56</v>
      </c>
      <c r="B35" s="6">
        <v>0</v>
      </c>
      <c r="C35" s="1">
        <v>0</v>
      </c>
      <c r="D35" s="1">
        <v>0</v>
      </c>
      <c r="E35" s="1">
        <v>0</v>
      </c>
      <c r="F35" s="1">
        <v>0</v>
      </c>
      <c r="G35" s="9">
        <f>SUM(NH_FINANCIAL)</f>
        <v>0</v>
      </c>
      <c r="L35" s="6"/>
      <c r="V35" s="9"/>
    </row>
    <row r="36" spans="1:22">
      <c r="A36" s="1" t="s">
        <v>57</v>
      </c>
      <c r="B36" s="6">
        <v>0</v>
      </c>
      <c r="C36" s="1">
        <v>0</v>
      </c>
      <c r="D36" s="1">
        <v>0</v>
      </c>
      <c r="E36" s="1">
        <v>0</v>
      </c>
      <c r="F36" s="1">
        <v>0</v>
      </c>
      <c r="G36" s="9">
        <f>SUM(NJ_FINANCIAL)</f>
        <v>0</v>
      </c>
      <c r="L36" s="6"/>
      <c r="V36" s="9"/>
    </row>
    <row r="37" spans="1:22">
      <c r="A37" s="1" t="s">
        <v>58</v>
      </c>
      <c r="B37" s="6">
        <v>0</v>
      </c>
      <c r="C37" s="1">
        <v>182600.75097246657</v>
      </c>
      <c r="D37" s="1">
        <v>0</v>
      </c>
      <c r="E37" s="1">
        <v>0</v>
      </c>
      <c r="F37" s="1">
        <v>0</v>
      </c>
      <c r="G37" s="9">
        <f>SUM(NM_FINANCIAL)</f>
        <v>182600.75097246657</v>
      </c>
      <c r="L37" s="6">
        <v>0</v>
      </c>
      <c r="M37" s="1">
        <v>0</v>
      </c>
      <c r="O37" s="1">
        <v>139987</v>
      </c>
      <c r="P37" s="1">
        <v>0</v>
      </c>
      <c r="R37" s="1">
        <v>0</v>
      </c>
      <c r="S37" s="1">
        <v>0</v>
      </c>
      <c r="U37" s="1">
        <v>0</v>
      </c>
      <c r="V37" s="9">
        <v>0</v>
      </c>
    </row>
    <row r="38" spans="1:22">
      <c r="A38" s="1" t="s">
        <v>59</v>
      </c>
      <c r="B38" s="6">
        <v>0</v>
      </c>
      <c r="C38" s="1">
        <v>0</v>
      </c>
      <c r="D38" s="1">
        <v>0</v>
      </c>
      <c r="E38" s="1">
        <v>0</v>
      </c>
      <c r="F38" s="1">
        <v>0</v>
      </c>
      <c r="G38" s="9">
        <f>SUM(NY_FINANCIAL)</f>
        <v>0</v>
      </c>
      <c r="L38" s="6"/>
      <c r="V38" s="9"/>
    </row>
    <row r="39" spans="1:22">
      <c r="A39" s="1" t="s">
        <v>60</v>
      </c>
      <c r="B39" s="6">
        <v>0</v>
      </c>
      <c r="C39" s="1">
        <v>5751689.9228839763</v>
      </c>
      <c r="D39" s="1">
        <v>0</v>
      </c>
      <c r="E39" s="1">
        <v>0</v>
      </c>
      <c r="F39" s="1">
        <v>0</v>
      </c>
      <c r="G39" s="9">
        <f>SUM(NC_FINANCIAL)</f>
        <v>5751689.9228839763</v>
      </c>
      <c r="L39" s="6">
        <v>0</v>
      </c>
      <c r="M39" s="1">
        <v>6000</v>
      </c>
      <c r="O39" s="1">
        <v>7000000</v>
      </c>
      <c r="P39" s="1">
        <v>1494000</v>
      </c>
      <c r="R39" s="1">
        <v>0</v>
      </c>
      <c r="S39" s="1">
        <v>0</v>
      </c>
      <c r="U39" s="1">
        <v>0</v>
      </c>
      <c r="V39" s="9">
        <v>0</v>
      </c>
    </row>
    <row r="40" spans="1:22">
      <c r="A40" s="1" t="s">
        <v>61</v>
      </c>
      <c r="B40" s="6">
        <v>0</v>
      </c>
      <c r="C40" s="1">
        <v>89699.359404648785</v>
      </c>
      <c r="D40" s="1">
        <v>0</v>
      </c>
      <c r="E40" s="1">
        <v>0</v>
      </c>
      <c r="F40" s="1">
        <v>0</v>
      </c>
      <c r="G40" s="9">
        <f>SUM(ND_FINANCIAL)</f>
        <v>89699.359404648785</v>
      </c>
      <c r="L40" s="6">
        <v>0</v>
      </c>
      <c r="M40" s="1">
        <v>0</v>
      </c>
      <c r="O40" s="1">
        <v>125000</v>
      </c>
      <c r="P40" s="1">
        <v>0</v>
      </c>
      <c r="R40" s="1">
        <v>0</v>
      </c>
      <c r="S40" s="1">
        <v>0</v>
      </c>
      <c r="U40" s="1">
        <v>0</v>
      </c>
      <c r="V40" s="9">
        <v>0</v>
      </c>
    </row>
    <row r="41" spans="1:22">
      <c r="A41" s="1" t="s">
        <v>62</v>
      </c>
      <c r="B41" s="6">
        <v>0</v>
      </c>
      <c r="C41" s="1">
        <v>5072124.0030464167</v>
      </c>
      <c r="D41" s="1">
        <v>0</v>
      </c>
      <c r="E41" s="1">
        <v>0</v>
      </c>
      <c r="F41" s="1">
        <v>0</v>
      </c>
      <c r="G41" s="9">
        <f>SUM(OH_FINANCIAL)</f>
        <v>5072124.0030464167</v>
      </c>
      <c r="L41" s="6">
        <v>0</v>
      </c>
      <c r="M41" s="1">
        <v>0</v>
      </c>
      <c r="O41" s="1">
        <v>6900000</v>
      </c>
      <c r="P41" s="1">
        <v>0</v>
      </c>
      <c r="R41" s="1">
        <v>0</v>
      </c>
      <c r="S41" s="1">
        <v>0</v>
      </c>
      <c r="U41" s="1">
        <v>0</v>
      </c>
      <c r="V41" s="9">
        <v>0</v>
      </c>
    </row>
    <row r="42" spans="1:22">
      <c r="A42" s="1" t="s">
        <v>63</v>
      </c>
      <c r="B42" s="6">
        <v>0</v>
      </c>
      <c r="C42" s="1">
        <v>5587378.8678274024</v>
      </c>
      <c r="D42" s="1">
        <v>0</v>
      </c>
      <c r="E42" s="1">
        <v>0</v>
      </c>
      <c r="F42" s="1">
        <v>0</v>
      </c>
      <c r="G42" s="9">
        <f>SUM(OK_FINANCIAL)</f>
        <v>5587378.8678274024</v>
      </c>
      <c r="L42" s="6">
        <v>0</v>
      </c>
      <c r="M42" s="1">
        <v>0</v>
      </c>
      <c r="O42" s="1">
        <v>7350000</v>
      </c>
      <c r="P42" s="1">
        <v>0</v>
      </c>
      <c r="R42" s="1">
        <v>0</v>
      </c>
      <c r="S42" s="1">
        <v>1550000</v>
      </c>
      <c r="U42" s="1">
        <v>0</v>
      </c>
      <c r="V42" s="9">
        <v>0</v>
      </c>
    </row>
    <row r="43" spans="1:22">
      <c r="A43" s="1" t="s">
        <v>64</v>
      </c>
      <c r="B43" s="6">
        <v>0</v>
      </c>
      <c r="C43" s="1">
        <v>181141.54561910301</v>
      </c>
      <c r="D43" s="1">
        <v>0</v>
      </c>
      <c r="E43" s="1">
        <v>0</v>
      </c>
      <c r="F43" s="1">
        <v>0</v>
      </c>
      <c r="G43" s="9">
        <f>SUM(OR_FINANCIAL)</f>
        <v>181141.54561910301</v>
      </c>
      <c r="L43" s="6"/>
      <c r="V43" s="9"/>
    </row>
    <row r="44" spans="1:22">
      <c r="A44" s="1" t="s">
        <v>65</v>
      </c>
      <c r="B44" s="6">
        <v>0</v>
      </c>
      <c r="C44" s="1">
        <v>3183440.532633353</v>
      </c>
      <c r="D44" s="1">
        <v>0</v>
      </c>
      <c r="E44" s="1">
        <v>0</v>
      </c>
      <c r="F44" s="1">
        <v>0</v>
      </c>
      <c r="G44" s="9">
        <f>SUM(PA_FINANCIAL)</f>
        <v>3183440.532633353</v>
      </c>
      <c r="L44" s="6"/>
      <c r="V44" s="9"/>
    </row>
    <row r="45" spans="1:22">
      <c r="A45" s="1" t="s">
        <v>66</v>
      </c>
      <c r="B45" s="6">
        <v>0</v>
      </c>
      <c r="C45" s="1">
        <v>0</v>
      </c>
      <c r="D45" s="1">
        <v>0</v>
      </c>
      <c r="E45" s="1">
        <v>0</v>
      </c>
      <c r="F45" s="1">
        <v>0</v>
      </c>
      <c r="G45" s="9">
        <f>SUM(PR_FINANCIAL)</f>
        <v>0</v>
      </c>
      <c r="L45" s="6"/>
      <c r="V45" s="9"/>
    </row>
    <row r="46" spans="1:22">
      <c r="A46" s="1" t="s">
        <v>67</v>
      </c>
      <c r="B46" s="6">
        <v>0</v>
      </c>
      <c r="C46" s="1">
        <v>0</v>
      </c>
      <c r="D46" s="1">
        <v>0</v>
      </c>
      <c r="E46" s="1">
        <v>0</v>
      </c>
      <c r="F46" s="1">
        <v>0</v>
      </c>
      <c r="G46" s="9">
        <f>SUM(RI_FINANCIAL)</f>
        <v>0</v>
      </c>
      <c r="L46" s="6"/>
      <c r="V46" s="9"/>
    </row>
    <row r="47" spans="1:22">
      <c r="A47" s="1" t="s">
        <v>68</v>
      </c>
      <c r="B47" s="6">
        <v>0</v>
      </c>
      <c r="C47" s="1">
        <v>373524.19764700416</v>
      </c>
      <c r="D47" s="1">
        <v>0</v>
      </c>
      <c r="E47" s="1">
        <v>0</v>
      </c>
      <c r="F47" s="1">
        <v>0</v>
      </c>
      <c r="G47" s="9">
        <f>SUM(SC_FINANCIAL)</f>
        <v>373524.19764700416</v>
      </c>
      <c r="L47" s="6"/>
      <c r="V47" s="9"/>
    </row>
    <row r="48" spans="1:22">
      <c r="A48" s="1" t="s">
        <v>69</v>
      </c>
      <c r="B48" s="6">
        <v>0</v>
      </c>
      <c r="C48" s="1">
        <v>0</v>
      </c>
      <c r="D48" s="1">
        <v>0</v>
      </c>
      <c r="E48" s="1">
        <v>0</v>
      </c>
      <c r="F48" s="1">
        <v>0</v>
      </c>
      <c r="G48" s="9">
        <f>SUM(SD_FINANCIAL)</f>
        <v>0</v>
      </c>
      <c r="L48" s="6"/>
      <c r="V48" s="9"/>
    </row>
    <row r="49" spans="1:22">
      <c r="A49" s="1" t="s">
        <v>70</v>
      </c>
      <c r="B49" s="6">
        <v>0</v>
      </c>
      <c r="C49" s="1">
        <v>186489.63630871044</v>
      </c>
      <c r="D49" s="1">
        <v>0</v>
      </c>
      <c r="E49" s="1">
        <v>0</v>
      </c>
      <c r="F49" s="1">
        <v>0</v>
      </c>
      <c r="G49" s="9">
        <f>SUM(TN_FINANCIAL)</f>
        <v>186489.63630871044</v>
      </c>
      <c r="L49" s="6"/>
      <c r="V49" s="9"/>
    </row>
    <row r="50" spans="1:22">
      <c r="A50" s="1" t="s">
        <v>71</v>
      </c>
      <c r="B50" s="6">
        <v>0</v>
      </c>
      <c r="C50" s="1">
        <v>14859188.828672901</v>
      </c>
      <c r="D50" s="1">
        <v>0</v>
      </c>
      <c r="E50" s="1">
        <v>0</v>
      </c>
      <c r="F50" s="1">
        <v>0</v>
      </c>
      <c r="G50" s="9">
        <f>SUM(TX_FINANCIAL)</f>
        <v>14859188.828672901</v>
      </c>
      <c r="L50" s="6">
        <v>0</v>
      </c>
      <c r="M50" s="1">
        <v>0</v>
      </c>
      <c r="O50" s="1">
        <v>20000000</v>
      </c>
      <c r="P50" s="1">
        <v>7000000</v>
      </c>
      <c r="R50" s="1">
        <v>0</v>
      </c>
      <c r="S50" s="1">
        <v>0</v>
      </c>
      <c r="U50" s="1">
        <v>0</v>
      </c>
      <c r="V50" s="9">
        <v>0</v>
      </c>
    </row>
    <row r="51" spans="1:22">
      <c r="A51" s="1" t="s">
        <v>72</v>
      </c>
      <c r="B51" s="6">
        <v>0</v>
      </c>
      <c r="C51" s="1">
        <v>255610.44491585807</v>
      </c>
      <c r="D51" s="1">
        <v>0</v>
      </c>
      <c r="E51" s="1">
        <v>0</v>
      </c>
      <c r="F51" s="1">
        <v>0</v>
      </c>
      <c r="G51" s="9">
        <f>SUM(UT_FINANCIAL)</f>
        <v>255610.44491585807</v>
      </c>
      <c r="L51" s="6">
        <v>0</v>
      </c>
      <c r="M51" s="1">
        <v>0</v>
      </c>
      <c r="O51" s="1">
        <v>350000</v>
      </c>
      <c r="P51" s="1">
        <v>0</v>
      </c>
      <c r="R51" s="1">
        <v>0</v>
      </c>
      <c r="S51" s="1">
        <v>0</v>
      </c>
      <c r="U51" s="1">
        <v>0</v>
      </c>
      <c r="V51" s="9">
        <v>0</v>
      </c>
    </row>
    <row r="52" spans="1:22">
      <c r="A52" s="1" t="s">
        <v>73</v>
      </c>
      <c r="B52" s="6">
        <v>0</v>
      </c>
      <c r="C52" s="1">
        <v>0</v>
      </c>
      <c r="D52" s="1">
        <v>0</v>
      </c>
      <c r="E52" s="1">
        <v>0</v>
      </c>
      <c r="F52" s="1">
        <v>0</v>
      </c>
      <c r="G52" s="9">
        <f>SUM(VT_FINANCIAL)</f>
        <v>0</v>
      </c>
      <c r="L52" s="6"/>
      <c r="V52" s="9"/>
    </row>
    <row r="53" spans="1:22">
      <c r="A53" s="1" t="s">
        <v>74</v>
      </c>
      <c r="B53" s="6">
        <v>0</v>
      </c>
      <c r="C53" s="1">
        <v>2022957.2093551904</v>
      </c>
      <c r="D53" s="1">
        <v>0</v>
      </c>
      <c r="E53" s="1">
        <v>0</v>
      </c>
      <c r="F53" s="1">
        <v>0</v>
      </c>
      <c r="G53" s="9">
        <f>SUM(VA_FINANCIAL)</f>
        <v>2022957.2093551904</v>
      </c>
      <c r="L53" s="6"/>
      <c r="V53" s="9"/>
    </row>
    <row r="54" spans="1:22">
      <c r="A54" s="1" t="s">
        <v>75</v>
      </c>
      <c r="B54" s="6">
        <v>0</v>
      </c>
      <c r="C54" s="1">
        <v>7189662.7930137757</v>
      </c>
      <c r="D54" s="1">
        <v>0</v>
      </c>
      <c r="E54" s="1">
        <v>0</v>
      </c>
      <c r="F54" s="1">
        <v>0</v>
      </c>
      <c r="G54" s="9">
        <f>SUM(WA_FINANCIAL)</f>
        <v>7189662.7930137757</v>
      </c>
      <c r="L54" s="6">
        <v>0</v>
      </c>
      <c r="M54" s="1">
        <v>0</v>
      </c>
      <c r="O54" s="1">
        <v>10000000</v>
      </c>
      <c r="P54" s="1">
        <v>0</v>
      </c>
      <c r="R54" s="1">
        <v>0</v>
      </c>
      <c r="S54" s="1">
        <v>0</v>
      </c>
      <c r="U54" s="1">
        <v>0</v>
      </c>
      <c r="V54" s="9">
        <v>0</v>
      </c>
    </row>
    <row r="55" spans="1:22">
      <c r="A55" s="1" t="s">
        <v>76</v>
      </c>
      <c r="B55" s="6">
        <v>0</v>
      </c>
      <c r="C55" s="1">
        <v>1256542.8921331728</v>
      </c>
      <c r="D55" s="1">
        <v>0</v>
      </c>
      <c r="E55" s="1">
        <v>0</v>
      </c>
      <c r="F55" s="1">
        <v>0</v>
      </c>
      <c r="G55" s="9">
        <f>SUM(WV_FINANCIAL)</f>
        <v>1256542.8921331728</v>
      </c>
      <c r="L55" s="6">
        <v>0</v>
      </c>
      <c r="M55" s="1">
        <v>0</v>
      </c>
      <c r="O55" s="1">
        <v>1500000</v>
      </c>
      <c r="P55" s="1">
        <v>375000</v>
      </c>
      <c r="R55" s="1">
        <v>0</v>
      </c>
      <c r="S55" s="1">
        <v>0</v>
      </c>
      <c r="U55" s="1">
        <v>0</v>
      </c>
      <c r="V55" s="9">
        <v>0</v>
      </c>
    </row>
    <row r="56" spans="1:22">
      <c r="A56" s="1" t="s">
        <v>77</v>
      </c>
      <c r="B56" s="6">
        <v>0</v>
      </c>
      <c r="C56" s="1">
        <v>4571198.623743277</v>
      </c>
      <c r="D56" s="1">
        <v>0</v>
      </c>
      <c r="E56" s="1">
        <v>0</v>
      </c>
      <c r="F56" s="1">
        <v>0</v>
      </c>
      <c r="G56" s="9">
        <f>SUM(WI_FINANCIAL)</f>
        <v>4571198.623743277</v>
      </c>
      <c r="L56" s="6">
        <v>0</v>
      </c>
      <c r="M56" s="1">
        <v>0</v>
      </c>
      <c r="O56" s="1">
        <v>6000000</v>
      </c>
      <c r="P56" s="1">
        <v>0</v>
      </c>
      <c r="R56" s="1">
        <v>0</v>
      </c>
      <c r="S56" s="1">
        <v>0</v>
      </c>
      <c r="U56" s="1">
        <v>0</v>
      </c>
      <c r="V56" s="9">
        <v>0</v>
      </c>
    </row>
    <row r="57" spans="1:22">
      <c r="A57" s="1" t="s">
        <v>78</v>
      </c>
      <c r="B57" s="6">
        <v>0</v>
      </c>
      <c r="C57" s="1">
        <v>40923.215770269198</v>
      </c>
      <c r="D57" s="1">
        <v>0</v>
      </c>
      <c r="E57" s="1">
        <v>0</v>
      </c>
      <c r="F57" s="1">
        <v>0</v>
      </c>
      <c r="G57" s="9">
        <f>SUM(WY_FINANCIAL)</f>
        <v>40923.215770269198</v>
      </c>
      <c r="L57" s="6"/>
      <c r="V57" s="9"/>
    </row>
    <row r="58" spans="1:22">
      <c r="A58" s="1" t="s">
        <v>79</v>
      </c>
      <c r="B58" s="6">
        <v>0</v>
      </c>
      <c r="C58" s="1">
        <v>0</v>
      </c>
      <c r="D58" s="1">
        <v>0</v>
      </c>
      <c r="E58" s="1">
        <v>0</v>
      </c>
      <c r="F58" s="1">
        <v>0</v>
      </c>
      <c r="G58" s="9">
        <f>SUM(OT_FINANCIAL)</f>
        <v>0</v>
      </c>
      <c r="L58" s="6"/>
      <c r="V58" s="9"/>
    </row>
    <row r="59" spans="1:22">
      <c r="B59" s="6"/>
      <c r="G59" s="9"/>
      <c r="L59" s="6"/>
      <c r="V59" s="9"/>
    </row>
    <row r="60" spans="1:22">
      <c r="A60" s="1" t="s">
        <v>8</v>
      </c>
      <c r="B60" s="6">
        <f>SUM(LIFE)</f>
        <v>0</v>
      </c>
      <c r="C60" s="1">
        <f>SUM(ALLOCATED)</f>
        <v>96324078.240000188</v>
      </c>
      <c r="D60" s="1">
        <f>SUM(HEALTH)</f>
        <v>0</v>
      </c>
      <c r="E60" s="1">
        <f>SUM(UNALLOCATED)</f>
        <v>0</v>
      </c>
      <c r="F60" s="1">
        <f>SUM(LTC)</f>
        <v>0</v>
      </c>
      <c r="G60" s="9">
        <f>SUM(ALL_BLOCKS)</f>
        <v>96324078.240000188</v>
      </c>
      <c r="L60" s="6">
        <f>SUM(LIFE_CALLED)</f>
        <v>700638</v>
      </c>
      <c r="M60" s="1">
        <f>SUM(LIFE_REFUNDED)</f>
        <v>6000</v>
      </c>
      <c r="O60" s="1">
        <f>SUM(ALLOC_CALLED)</f>
        <v>88015647</v>
      </c>
      <c r="P60" s="1">
        <f>SUM(ALLOC_REFUNDED)</f>
        <v>10292000</v>
      </c>
      <c r="R60" s="1">
        <f>SUM(HEALTH_CALLED)</f>
        <v>0</v>
      </c>
      <c r="S60" s="1">
        <f>SUM(HEALTH_REFUNDED)</f>
        <v>1716536</v>
      </c>
      <c r="U60" s="1">
        <f>SUM(UNALLOC_CALLED)</f>
        <v>0</v>
      </c>
      <c r="V60" s="9">
        <f>SUM(UNALLOC_REFUNDED)</f>
        <v>0</v>
      </c>
    </row>
    <row r="61" spans="1:22" ht="5.0999999999999996" customHeight="1">
      <c r="B61" s="6"/>
      <c r="G61" s="9"/>
      <c r="L61" s="6"/>
      <c r="V61" s="9"/>
    </row>
    <row r="62" spans="1:22">
      <c r="B62" s="6"/>
      <c r="G62" s="9"/>
      <c r="L62" s="78" t="s">
        <v>80</v>
      </c>
      <c r="M62" s="79"/>
      <c r="N62" s="79"/>
      <c r="O62" s="79"/>
      <c r="P62" s="79"/>
      <c r="Q62" s="79"/>
      <c r="R62" s="79"/>
      <c r="S62" s="79"/>
      <c r="T62" s="79"/>
      <c r="U62" s="79"/>
      <c r="V62" s="80"/>
    </row>
    <row r="63" spans="1:22">
      <c r="B63" s="6"/>
      <c r="G63" s="9"/>
      <c r="L63" s="81"/>
      <c r="M63" s="79"/>
      <c r="N63" s="79"/>
      <c r="O63" s="79"/>
      <c r="P63" s="79"/>
      <c r="Q63" s="79"/>
      <c r="R63" s="79"/>
      <c r="S63" s="79"/>
      <c r="T63" s="79"/>
      <c r="U63" s="79"/>
      <c r="V63" s="80"/>
    </row>
    <row r="64" spans="1:22">
      <c r="B64" s="8"/>
      <c r="C64" s="5"/>
      <c r="D64" s="5"/>
      <c r="E64" s="5"/>
      <c r="F64" s="5"/>
      <c r="G64" s="11"/>
      <c r="L64" s="82"/>
      <c r="M64" s="83"/>
      <c r="N64" s="83"/>
      <c r="O64" s="83"/>
      <c r="P64" s="83"/>
      <c r="Q64" s="83"/>
      <c r="R64" s="83"/>
      <c r="S64" s="83"/>
      <c r="T64" s="83"/>
      <c r="U64" s="83"/>
      <c r="V64" s="84"/>
    </row>
  </sheetData>
  <mergeCells count="8">
    <mergeCell ref="L62:V64"/>
    <mergeCell ref="A1:G1"/>
    <mergeCell ref="B3:G3"/>
    <mergeCell ref="L3:V3"/>
    <mergeCell ref="L4:M4"/>
    <mergeCell ref="O4:P4"/>
    <mergeCell ref="R4:S4"/>
    <mergeCell ref="U4:V4"/>
  </mergeCells>
  <pageMargins left="0" right="0" top="0" bottom="0" header="0" footer="0"/>
  <pageSetup scale="48"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pageSetUpPr fitToPage="1"/>
  </sheetPr>
  <dimension ref="A1:V64"/>
  <sheetViews>
    <sheetView zoomScale="75" workbookViewId="0">
      <selection sqref="A1:G1"/>
    </sheetView>
  </sheetViews>
  <sheetFormatPr defaultColWidth="9.109375" defaultRowHeight="14.4"/>
  <cols>
    <col min="1" max="1" width="20" style="1" customWidth="1"/>
    <col min="2" max="7" width="15" style="1" customWidth="1"/>
    <col min="8" max="8" width="1" style="1" customWidth="1"/>
    <col min="9" max="9" width="30" style="1" customWidth="1"/>
    <col min="10" max="10" width="15" style="1" customWidth="1"/>
    <col min="11" max="11" width="1" style="1" customWidth="1"/>
    <col min="12" max="13" width="15" style="1" customWidth="1"/>
    <col min="14" max="14" width="1" style="1" customWidth="1"/>
    <col min="15" max="16" width="15" style="1" customWidth="1"/>
    <col min="17" max="17" width="1" style="1" customWidth="1"/>
    <col min="18" max="19" width="15" style="1" customWidth="1"/>
    <col min="20" max="20" width="1" style="1" customWidth="1"/>
    <col min="21" max="22" width="15" style="1" customWidth="1"/>
    <col min="23" max="23" width="9.109375" style="1" customWidth="1"/>
    <col min="24" max="16384" width="9.109375" style="1"/>
  </cols>
  <sheetData>
    <row r="1" spans="1:22">
      <c r="A1" s="85" t="s">
        <v>140</v>
      </c>
      <c r="B1" s="79"/>
      <c r="C1" s="79"/>
      <c r="D1" s="79"/>
      <c r="E1" s="79"/>
      <c r="F1" s="79"/>
      <c r="G1" s="79"/>
    </row>
    <row r="3" spans="1:22">
      <c r="B3" s="86" t="s">
        <v>1</v>
      </c>
      <c r="C3" s="87"/>
      <c r="D3" s="87"/>
      <c r="E3" s="87"/>
      <c r="F3" s="87"/>
      <c r="G3" s="88"/>
      <c r="L3" s="89" t="s">
        <v>2</v>
      </c>
      <c r="M3" s="90"/>
      <c r="N3" s="90"/>
      <c r="O3" s="90"/>
      <c r="P3" s="90"/>
      <c r="Q3" s="90"/>
      <c r="R3" s="90"/>
      <c r="S3" s="90"/>
      <c r="T3" s="90"/>
      <c r="U3" s="90"/>
      <c r="V3" s="91"/>
    </row>
    <row r="4" spans="1:22">
      <c r="B4" s="6"/>
      <c r="G4" s="9"/>
      <c r="L4" s="92" t="s">
        <v>3</v>
      </c>
      <c r="M4" s="93"/>
      <c r="N4" s="3"/>
      <c r="O4" s="94" t="s">
        <v>4</v>
      </c>
      <c r="P4" s="93"/>
      <c r="Q4" s="3"/>
      <c r="R4" s="94" t="s">
        <v>5</v>
      </c>
      <c r="S4" s="93"/>
      <c r="T4" s="3"/>
      <c r="U4" s="94" t="s">
        <v>6</v>
      </c>
      <c r="V4" s="95"/>
    </row>
    <row r="5" spans="1:22" ht="60" customHeight="1">
      <c r="B5" s="7" t="s">
        <v>3</v>
      </c>
      <c r="C5" s="4" t="s">
        <v>4</v>
      </c>
      <c r="D5" s="4" t="s">
        <v>5</v>
      </c>
      <c r="E5" s="4" t="s">
        <v>6</v>
      </c>
      <c r="F5" s="4" t="s">
        <v>7</v>
      </c>
      <c r="G5" s="10" t="s">
        <v>8</v>
      </c>
      <c r="L5" s="19" t="s">
        <v>9</v>
      </c>
      <c r="M5" s="18" t="s">
        <v>10</v>
      </c>
      <c r="N5" s="18"/>
      <c r="O5" s="18" t="s">
        <v>9</v>
      </c>
      <c r="P5" s="18" t="s">
        <v>10</v>
      </c>
      <c r="Q5" s="18"/>
      <c r="R5" s="18" t="s">
        <v>9</v>
      </c>
      <c r="S5" s="18" t="s">
        <v>10</v>
      </c>
      <c r="T5" s="18"/>
      <c r="U5" s="18" t="s">
        <v>9</v>
      </c>
      <c r="V5" s="20" t="s">
        <v>10</v>
      </c>
    </row>
    <row r="6" spans="1:22">
      <c r="A6" s="1" t="s">
        <v>11</v>
      </c>
      <c r="B6" s="6">
        <v>0</v>
      </c>
      <c r="C6" s="1">
        <v>0</v>
      </c>
      <c r="D6" s="1">
        <v>1980.4884825230984</v>
      </c>
      <c r="E6" s="1">
        <v>0</v>
      </c>
      <c r="F6" s="1">
        <v>0</v>
      </c>
      <c r="G6" s="9">
        <f>SUM(AL_FINANCIAL)</f>
        <v>1980.4884825230984</v>
      </c>
      <c r="L6" s="6"/>
      <c r="V6" s="9"/>
    </row>
    <row r="7" spans="1:22">
      <c r="A7" s="1" t="s">
        <v>12</v>
      </c>
      <c r="B7" s="6">
        <v>0</v>
      </c>
      <c r="C7" s="1">
        <v>0</v>
      </c>
      <c r="D7" s="1">
        <v>0</v>
      </c>
      <c r="E7" s="1">
        <v>0</v>
      </c>
      <c r="F7" s="1">
        <v>0</v>
      </c>
      <c r="G7" s="9">
        <f>SUM(AK_FINANCIAL)</f>
        <v>0</v>
      </c>
      <c r="I7" s="12"/>
      <c r="J7" s="15"/>
      <c r="L7" s="6"/>
      <c r="V7" s="9"/>
    </row>
    <row r="8" spans="1:22">
      <c r="A8" s="1" t="s">
        <v>13</v>
      </c>
      <c r="B8" s="6">
        <v>0</v>
      </c>
      <c r="C8" s="1">
        <v>0</v>
      </c>
      <c r="D8" s="1">
        <v>502924.20300972625</v>
      </c>
      <c r="E8" s="1">
        <v>0</v>
      </c>
      <c r="F8" s="1">
        <v>0</v>
      </c>
      <c r="G8" s="9">
        <f>SUM(AZ_FINANCIAL)</f>
        <v>502924.20300972625</v>
      </c>
      <c r="I8" s="13" t="s">
        <v>14</v>
      </c>
      <c r="J8" s="16"/>
      <c r="L8" s="6"/>
      <c r="V8" s="9"/>
    </row>
    <row r="9" spans="1:22">
      <c r="A9" s="1" t="s">
        <v>15</v>
      </c>
      <c r="B9" s="6">
        <v>0</v>
      </c>
      <c r="C9" s="1">
        <v>0</v>
      </c>
      <c r="D9" s="1">
        <v>274591.90709917061</v>
      </c>
      <c r="E9" s="1">
        <v>0</v>
      </c>
      <c r="F9" s="1">
        <v>0</v>
      </c>
      <c r="G9" s="9">
        <f>SUM(AR_FINANCIAL)</f>
        <v>274591.90709917061</v>
      </c>
      <c r="I9" s="13"/>
      <c r="J9" s="16"/>
      <c r="L9" s="6"/>
      <c r="V9" s="9"/>
    </row>
    <row r="10" spans="1:22">
      <c r="A10" s="1" t="s">
        <v>16</v>
      </c>
      <c r="B10" s="6">
        <v>0</v>
      </c>
      <c r="C10" s="1">
        <v>0</v>
      </c>
      <c r="D10" s="1">
        <v>1457938.7685563592</v>
      </c>
      <c r="E10" s="1">
        <v>0</v>
      </c>
      <c r="F10" s="1">
        <v>0</v>
      </c>
      <c r="G10" s="9">
        <f>SUM(CA_FINANCIAL)</f>
        <v>1457938.7685563592</v>
      </c>
      <c r="I10" s="13" t="s">
        <v>17</v>
      </c>
      <c r="J10" s="16">
        <v>14469502.151535774</v>
      </c>
      <c r="L10" s="6">
        <v>0</v>
      </c>
      <c r="M10" s="1">
        <v>0</v>
      </c>
      <c r="O10" s="1">
        <v>0</v>
      </c>
      <c r="P10" s="1">
        <v>0</v>
      </c>
      <c r="R10" s="1">
        <v>1762281</v>
      </c>
      <c r="S10" s="1">
        <v>0</v>
      </c>
      <c r="U10" s="1">
        <v>0</v>
      </c>
      <c r="V10" s="9">
        <v>0</v>
      </c>
    </row>
    <row r="11" spans="1:22">
      <c r="A11" s="1" t="s">
        <v>18</v>
      </c>
      <c r="B11" s="6">
        <v>0</v>
      </c>
      <c r="C11" s="1">
        <v>0</v>
      </c>
      <c r="D11" s="1">
        <v>92417.76815489291</v>
      </c>
      <c r="E11" s="1">
        <v>0</v>
      </c>
      <c r="F11" s="1">
        <v>0</v>
      </c>
      <c r="G11" s="9">
        <f>SUM(CO_FINANCIAL)</f>
        <v>92417.76815489291</v>
      </c>
      <c r="I11" s="13"/>
      <c r="J11" s="16"/>
      <c r="L11" s="6">
        <v>0</v>
      </c>
      <c r="M11" s="1">
        <v>0</v>
      </c>
      <c r="O11" s="1">
        <v>0</v>
      </c>
      <c r="P11" s="1">
        <v>0</v>
      </c>
      <c r="R11" s="1">
        <v>130000</v>
      </c>
      <c r="S11" s="1">
        <v>0</v>
      </c>
      <c r="U11" s="1">
        <v>0</v>
      </c>
      <c r="V11" s="9">
        <v>0</v>
      </c>
    </row>
    <row r="12" spans="1:22">
      <c r="A12" s="1" t="s">
        <v>19</v>
      </c>
      <c r="B12" s="6">
        <v>0</v>
      </c>
      <c r="C12" s="1">
        <v>0</v>
      </c>
      <c r="D12" s="1">
        <v>204605.30353681487</v>
      </c>
      <c r="E12" s="1">
        <v>0</v>
      </c>
      <c r="F12" s="1">
        <v>0</v>
      </c>
      <c r="G12" s="9">
        <f>SUM(CT_FINANCIAL)</f>
        <v>204605.30353681487</v>
      </c>
      <c r="I12" s="13" t="s">
        <v>20</v>
      </c>
      <c r="J12" s="16"/>
      <c r="L12" s="6">
        <v>0</v>
      </c>
      <c r="M12" s="1">
        <v>0</v>
      </c>
      <c r="O12" s="1">
        <v>0</v>
      </c>
      <c r="P12" s="1">
        <v>0</v>
      </c>
      <c r="R12" s="1">
        <v>296801</v>
      </c>
      <c r="S12" s="1">
        <v>0</v>
      </c>
      <c r="U12" s="1">
        <v>0</v>
      </c>
      <c r="V12" s="9">
        <v>0</v>
      </c>
    </row>
    <row r="13" spans="1:22">
      <c r="A13" s="1" t="s">
        <v>21</v>
      </c>
      <c r="B13" s="6">
        <v>0</v>
      </c>
      <c r="C13" s="1">
        <v>0</v>
      </c>
      <c r="D13" s="1">
        <v>56852.396670579765</v>
      </c>
      <c r="E13" s="1">
        <v>0</v>
      </c>
      <c r="F13" s="1">
        <v>0</v>
      </c>
      <c r="G13" s="9">
        <f>SUM(DE_FINANCIAL)</f>
        <v>56852.396670579765</v>
      </c>
      <c r="I13" s="13" t="s">
        <v>22</v>
      </c>
      <c r="J13" s="16">
        <v>12500</v>
      </c>
      <c r="L13" s="6"/>
      <c r="V13" s="9"/>
    </row>
    <row r="14" spans="1:22">
      <c r="A14" s="1" t="s">
        <v>23</v>
      </c>
      <c r="B14" s="6">
        <v>0</v>
      </c>
      <c r="C14" s="1">
        <v>0</v>
      </c>
      <c r="D14" s="1">
        <v>0</v>
      </c>
      <c r="E14" s="1">
        <v>0</v>
      </c>
      <c r="F14" s="1">
        <v>0</v>
      </c>
      <c r="G14" s="9">
        <f>SUM(DC_FINANCIAL)</f>
        <v>0</v>
      </c>
      <c r="I14" s="13" t="s">
        <v>24</v>
      </c>
      <c r="J14" s="16">
        <v>509231.34999999986</v>
      </c>
      <c r="L14" s="6"/>
      <c r="V14" s="9"/>
    </row>
    <row r="15" spans="1:22">
      <c r="A15" s="1" t="s">
        <v>25</v>
      </c>
      <c r="B15" s="6">
        <v>0</v>
      </c>
      <c r="C15" s="1">
        <v>0</v>
      </c>
      <c r="D15" s="1">
        <v>964431.76033489231</v>
      </c>
      <c r="E15" s="1">
        <v>0</v>
      </c>
      <c r="F15" s="1">
        <v>0</v>
      </c>
      <c r="G15" s="9">
        <f>SUM(FL_FINANCIAL)</f>
        <v>964431.76033489231</v>
      </c>
      <c r="I15" s="13" t="s">
        <v>26</v>
      </c>
      <c r="J15" s="16">
        <v>519894.27137430361</v>
      </c>
      <c r="L15" s="6">
        <v>0</v>
      </c>
      <c r="M15" s="1">
        <v>0</v>
      </c>
      <c r="O15" s="1">
        <v>0</v>
      </c>
      <c r="P15" s="1">
        <v>0</v>
      </c>
      <c r="R15" s="1">
        <v>1100000</v>
      </c>
      <c r="S15" s="1">
        <v>0</v>
      </c>
      <c r="U15" s="1">
        <v>0</v>
      </c>
      <c r="V15" s="9">
        <v>0</v>
      </c>
    </row>
    <row r="16" spans="1:22">
      <c r="A16" s="1" t="s">
        <v>27</v>
      </c>
      <c r="B16" s="6">
        <v>0</v>
      </c>
      <c r="C16" s="1">
        <v>0</v>
      </c>
      <c r="D16" s="1">
        <v>117364.95642802818</v>
      </c>
      <c r="E16" s="1">
        <v>0</v>
      </c>
      <c r="F16" s="1">
        <v>0</v>
      </c>
      <c r="G16" s="9">
        <f>SUM(GA_FINANCIAL)</f>
        <v>117364.95642802818</v>
      </c>
      <c r="I16" s="13" t="s">
        <v>28</v>
      </c>
      <c r="J16" s="16">
        <v>0</v>
      </c>
      <c r="L16" s="6"/>
      <c r="V16" s="9"/>
    </row>
    <row r="17" spans="1:22">
      <c r="A17" s="1" t="s">
        <v>29</v>
      </c>
      <c r="B17" s="6">
        <v>0</v>
      </c>
      <c r="C17" s="1">
        <v>0</v>
      </c>
      <c r="D17" s="1">
        <v>274592.59709917061</v>
      </c>
      <c r="E17" s="1">
        <v>0</v>
      </c>
      <c r="F17" s="1">
        <v>0</v>
      </c>
      <c r="G17" s="9">
        <f>SUM(HI_FINANCIAL)</f>
        <v>274592.59709917061</v>
      </c>
      <c r="I17" s="13"/>
      <c r="J17" s="16"/>
      <c r="L17" s="6"/>
      <c r="V17" s="9"/>
    </row>
    <row r="18" spans="1:22">
      <c r="A18" s="1" t="s">
        <v>30</v>
      </c>
      <c r="B18" s="6">
        <v>0</v>
      </c>
      <c r="C18" s="1">
        <v>0</v>
      </c>
      <c r="D18" s="1">
        <v>0</v>
      </c>
      <c r="E18" s="1">
        <v>0</v>
      </c>
      <c r="F18" s="1">
        <v>0</v>
      </c>
      <c r="G18" s="9">
        <f>SUM(ID_FINANCIAL)</f>
        <v>0</v>
      </c>
      <c r="I18" s="13" t="s">
        <v>31</v>
      </c>
      <c r="J18" s="16"/>
      <c r="L18" s="6"/>
      <c r="V18" s="9"/>
    </row>
    <row r="19" spans="1:22">
      <c r="A19" s="1" t="s">
        <v>32</v>
      </c>
      <c r="B19" s="6">
        <v>0</v>
      </c>
      <c r="C19" s="1">
        <v>0</v>
      </c>
      <c r="D19" s="1">
        <v>571059.13207295339</v>
      </c>
      <c r="E19" s="1">
        <v>0</v>
      </c>
      <c r="F19" s="1">
        <v>0</v>
      </c>
      <c r="G19" s="9">
        <f>SUM(IL_FINANCIAL)</f>
        <v>571059.13207295339</v>
      </c>
      <c r="I19" s="13" t="s">
        <v>33</v>
      </c>
      <c r="J19" s="16">
        <v>0</v>
      </c>
      <c r="L19" s="6">
        <v>0</v>
      </c>
      <c r="M19" s="1">
        <v>0</v>
      </c>
      <c r="O19" s="1">
        <v>0</v>
      </c>
      <c r="P19" s="1">
        <v>0</v>
      </c>
      <c r="R19" s="1">
        <v>800000</v>
      </c>
      <c r="S19" s="1">
        <v>0</v>
      </c>
      <c r="U19" s="1">
        <v>0</v>
      </c>
      <c r="V19" s="9">
        <v>0</v>
      </c>
    </row>
    <row r="20" spans="1:22">
      <c r="A20" s="1" t="s">
        <v>34</v>
      </c>
      <c r="B20" s="6">
        <v>0</v>
      </c>
      <c r="C20" s="1">
        <v>0</v>
      </c>
      <c r="D20" s="1">
        <v>78056.565361961679</v>
      </c>
      <c r="E20" s="1">
        <v>0</v>
      </c>
      <c r="F20" s="1">
        <v>0</v>
      </c>
      <c r="G20" s="9">
        <f>SUM(IN_FINANCIAL)</f>
        <v>78056.565361961679</v>
      </c>
      <c r="I20" s="13" t="s">
        <v>35</v>
      </c>
      <c r="J20" s="16">
        <v>-65342.44294836402</v>
      </c>
      <c r="L20" s="6"/>
      <c r="V20" s="9"/>
    </row>
    <row r="21" spans="1:22">
      <c r="A21" s="1" t="s">
        <v>36</v>
      </c>
      <c r="B21" s="6">
        <v>0</v>
      </c>
      <c r="C21" s="1">
        <v>0</v>
      </c>
      <c r="D21" s="1">
        <v>73923.033319645125</v>
      </c>
      <c r="E21" s="1">
        <v>0</v>
      </c>
      <c r="F21" s="1">
        <v>0</v>
      </c>
      <c r="G21" s="9">
        <f>SUM(IA_FINANCIAL)</f>
        <v>73923.033319645125</v>
      </c>
      <c r="I21" s="13" t="s">
        <v>37</v>
      </c>
      <c r="J21" s="16"/>
      <c r="L21" s="6"/>
      <c r="V21" s="9"/>
    </row>
    <row r="22" spans="1:22">
      <c r="A22" s="1" t="s">
        <v>38</v>
      </c>
      <c r="B22" s="6">
        <v>0</v>
      </c>
      <c r="C22" s="1">
        <v>0</v>
      </c>
      <c r="D22" s="1">
        <v>0</v>
      </c>
      <c r="E22" s="1">
        <v>0</v>
      </c>
      <c r="F22" s="1">
        <v>0</v>
      </c>
      <c r="G22" s="9">
        <f>SUM(KS_FINANCIAL)</f>
        <v>0</v>
      </c>
      <c r="I22" s="13" t="s">
        <v>39</v>
      </c>
      <c r="J22" s="16">
        <v>-914193.94212117034</v>
      </c>
      <c r="L22" s="6"/>
      <c r="V22" s="9"/>
    </row>
    <row r="23" spans="1:22">
      <c r="A23" s="1" t="s">
        <v>40</v>
      </c>
      <c r="B23" s="6">
        <v>0</v>
      </c>
      <c r="C23" s="1">
        <v>0</v>
      </c>
      <c r="D23" s="1">
        <v>107049.76472263463</v>
      </c>
      <c r="E23" s="1">
        <v>0</v>
      </c>
      <c r="F23" s="1">
        <v>0</v>
      </c>
      <c r="G23" s="9">
        <f>SUM(KY_FINANCIAL)</f>
        <v>107049.76472263463</v>
      </c>
      <c r="I23" s="13" t="s">
        <v>41</v>
      </c>
      <c r="J23" s="16"/>
      <c r="L23" s="6"/>
      <c r="V23" s="9"/>
    </row>
    <row r="24" spans="1:22">
      <c r="A24" s="1" t="s">
        <v>42</v>
      </c>
      <c r="B24" s="6">
        <v>0</v>
      </c>
      <c r="C24" s="1">
        <v>0</v>
      </c>
      <c r="D24" s="1">
        <v>75400.575351431733</v>
      </c>
      <c r="E24" s="1">
        <v>0</v>
      </c>
      <c r="F24" s="1">
        <v>0</v>
      </c>
      <c r="G24" s="9">
        <f>SUM(LA_FINANCIAL)</f>
        <v>75400.575351431733</v>
      </c>
      <c r="I24" s="13" t="s">
        <v>43</v>
      </c>
      <c r="J24" s="16">
        <v>2970819.3260990791</v>
      </c>
      <c r="L24" s="6"/>
      <c r="V24" s="9"/>
    </row>
    <row r="25" spans="1:22">
      <c r="A25" s="1" t="s">
        <v>44</v>
      </c>
      <c r="B25" s="6">
        <v>0</v>
      </c>
      <c r="C25" s="1">
        <v>0</v>
      </c>
      <c r="D25" s="1">
        <v>80.854304181011344</v>
      </c>
      <c r="E25" s="1">
        <v>0</v>
      </c>
      <c r="F25" s="1">
        <v>0</v>
      </c>
      <c r="G25" s="9">
        <f>SUM(ME_FINANCIAL)</f>
        <v>80.854304181011344</v>
      </c>
      <c r="I25" s="13"/>
      <c r="J25" s="16"/>
      <c r="L25" s="6"/>
      <c r="V25" s="9"/>
    </row>
    <row r="26" spans="1:22">
      <c r="A26" s="1" t="s">
        <v>45</v>
      </c>
      <c r="B26" s="6">
        <v>0</v>
      </c>
      <c r="C26" s="1">
        <v>0</v>
      </c>
      <c r="D26" s="1">
        <v>716479.75926848722</v>
      </c>
      <c r="E26" s="1">
        <v>0</v>
      </c>
      <c r="F26" s="1">
        <v>0</v>
      </c>
      <c r="G26" s="9">
        <f>SUM(MD_FINANCIAL)</f>
        <v>716479.75926848722</v>
      </c>
      <c r="I26" s="13" t="s">
        <v>46</v>
      </c>
      <c r="J26" s="16">
        <f>SUM(ADD_FINANCIAL)-SUM(LESS_FINANCIAL)</f>
        <v>13519844.831880532</v>
      </c>
      <c r="L26" s="6">
        <v>0</v>
      </c>
      <c r="M26" s="1">
        <v>0</v>
      </c>
      <c r="O26" s="1">
        <v>0</v>
      </c>
      <c r="P26" s="1">
        <v>0</v>
      </c>
      <c r="R26" s="1">
        <v>1000000</v>
      </c>
      <c r="S26" s="1">
        <v>0</v>
      </c>
      <c r="U26" s="1">
        <v>0</v>
      </c>
      <c r="V26" s="9">
        <v>0</v>
      </c>
    </row>
    <row r="27" spans="1:22">
      <c r="A27" s="1" t="s">
        <v>47</v>
      </c>
      <c r="B27" s="6">
        <v>0</v>
      </c>
      <c r="C27" s="1">
        <v>0</v>
      </c>
      <c r="D27" s="1">
        <v>151176.1552412259</v>
      </c>
      <c r="E27" s="1">
        <v>0</v>
      </c>
      <c r="F27" s="1">
        <v>0</v>
      </c>
      <c r="G27" s="9">
        <f>SUM(MA_FINANCIAL)</f>
        <v>151176.1552412259</v>
      </c>
      <c r="I27" s="13" t="s">
        <v>48</v>
      </c>
      <c r="J27" s="16">
        <f>SUM(ALL_BLOCKS)</f>
        <v>13519844.831880532</v>
      </c>
      <c r="L27" s="6"/>
      <c r="V27" s="9"/>
    </row>
    <row r="28" spans="1:22">
      <c r="A28" s="1" t="s">
        <v>49</v>
      </c>
      <c r="B28" s="6">
        <v>0</v>
      </c>
      <c r="C28" s="1">
        <v>0</v>
      </c>
      <c r="D28" s="1">
        <v>1000645.5566337371</v>
      </c>
      <c r="E28" s="1">
        <v>0</v>
      </c>
      <c r="F28" s="1">
        <v>0</v>
      </c>
      <c r="G28" s="9">
        <f>SUM(MI_FINANCIAL)</f>
        <v>1000645.5566337371</v>
      </c>
      <c r="I28" s="14"/>
      <c r="J28" s="17"/>
      <c r="L28" s="6"/>
      <c r="V28" s="9"/>
    </row>
    <row r="29" spans="1:22">
      <c r="A29" s="1" t="s">
        <v>50</v>
      </c>
      <c r="B29" s="6">
        <v>0</v>
      </c>
      <c r="C29" s="1">
        <v>0</v>
      </c>
      <c r="D29" s="1">
        <v>224541.14513643112</v>
      </c>
      <c r="E29" s="1">
        <v>0</v>
      </c>
      <c r="F29" s="1">
        <v>0</v>
      </c>
      <c r="G29" s="9">
        <f>SUM(MN_FINANCIAL)</f>
        <v>224541.14513643112</v>
      </c>
      <c r="L29" s="6"/>
      <c r="V29" s="9"/>
    </row>
    <row r="30" spans="1:22">
      <c r="A30" s="1" t="s">
        <v>51</v>
      </c>
      <c r="B30" s="6">
        <v>0</v>
      </c>
      <c r="C30" s="1">
        <v>0</v>
      </c>
      <c r="D30" s="1">
        <v>27313.864283394138</v>
      </c>
      <c r="E30" s="1">
        <v>0</v>
      </c>
      <c r="F30" s="1">
        <v>0</v>
      </c>
      <c r="G30" s="9">
        <f>SUM(MS_FINANCIAL)</f>
        <v>27313.864283394138</v>
      </c>
      <c r="L30" s="6"/>
      <c r="V30" s="9"/>
    </row>
    <row r="31" spans="1:22">
      <c r="A31" s="1" t="s">
        <v>52</v>
      </c>
      <c r="B31" s="6">
        <v>0</v>
      </c>
      <c r="C31" s="1">
        <v>0</v>
      </c>
      <c r="D31" s="1">
        <v>123411.45248331515</v>
      </c>
      <c r="E31" s="1">
        <v>0</v>
      </c>
      <c r="F31" s="1">
        <v>0</v>
      </c>
      <c r="G31" s="9">
        <f>SUM(MO_FINANCIAL)</f>
        <v>123411.45248331515</v>
      </c>
      <c r="L31" s="6"/>
      <c r="V31" s="9"/>
    </row>
    <row r="32" spans="1:22">
      <c r="A32" s="1" t="s">
        <v>53</v>
      </c>
      <c r="B32" s="6">
        <v>0</v>
      </c>
      <c r="C32" s="1">
        <v>0</v>
      </c>
      <c r="D32" s="1">
        <v>0</v>
      </c>
      <c r="E32" s="1">
        <v>0</v>
      </c>
      <c r="F32" s="1">
        <v>0</v>
      </c>
      <c r="G32" s="9">
        <f>SUM(MT_FINANCIAL)</f>
        <v>0</v>
      </c>
      <c r="L32" s="6"/>
      <c r="V32" s="9"/>
    </row>
    <row r="33" spans="1:22">
      <c r="A33" s="1" t="s">
        <v>54</v>
      </c>
      <c r="B33" s="6">
        <v>0</v>
      </c>
      <c r="C33" s="1">
        <v>0</v>
      </c>
      <c r="D33" s="1">
        <v>0</v>
      </c>
      <c r="E33" s="1">
        <v>0</v>
      </c>
      <c r="F33" s="1">
        <v>0</v>
      </c>
      <c r="G33" s="9">
        <f>SUM(NE_FINANCIAL)</f>
        <v>0</v>
      </c>
      <c r="L33" s="6"/>
      <c r="V33" s="9"/>
    </row>
    <row r="34" spans="1:22">
      <c r="A34" s="1" t="s">
        <v>55</v>
      </c>
      <c r="B34" s="6">
        <v>0</v>
      </c>
      <c r="C34" s="1">
        <v>0</v>
      </c>
      <c r="D34" s="1">
        <v>196873.01921659263</v>
      </c>
      <c r="E34" s="1">
        <v>0</v>
      </c>
      <c r="F34" s="1">
        <v>0</v>
      </c>
      <c r="G34" s="9">
        <f>SUM(NV_FINANCIAL)</f>
        <v>196873.01921659263</v>
      </c>
      <c r="L34" s="6"/>
      <c r="V34" s="9"/>
    </row>
    <row r="35" spans="1:22">
      <c r="A35" s="1" t="s">
        <v>56</v>
      </c>
      <c r="B35" s="6">
        <v>0</v>
      </c>
      <c r="C35" s="1">
        <v>0</v>
      </c>
      <c r="D35" s="1">
        <v>159356.25269316026</v>
      </c>
      <c r="E35" s="1">
        <v>0</v>
      </c>
      <c r="F35" s="1">
        <v>0</v>
      </c>
      <c r="G35" s="9">
        <f>SUM(NH_FINANCIAL)</f>
        <v>159356.25269316026</v>
      </c>
      <c r="L35" s="6">
        <v>0</v>
      </c>
      <c r="M35" s="1">
        <v>0</v>
      </c>
      <c r="O35" s="1">
        <v>0</v>
      </c>
      <c r="P35" s="1">
        <v>0</v>
      </c>
      <c r="R35" s="1">
        <v>167065</v>
      </c>
      <c r="S35" s="1">
        <v>0</v>
      </c>
      <c r="U35" s="1">
        <v>0</v>
      </c>
      <c r="V35" s="9">
        <v>0</v>
      </c>
    </row>
    <row r="36" spans="1:22">
      <c r="A36" s="1" t="s">
        <v>57</v>
      </c>
      <c r="B36" s="6">
        <v>0</v>
      </c>
      <c r="C36" s="1">
        <v>0</v>
      </c>
      <c r="D36" s="1">
        <v>513862.15560747852</v>
      </c>
      <c r="E36" s="1">
        <v>0</v>
      </c>
      <c r="F36" s="1">
        <v>0</v>
      </c>
      <c r="G36" s="9">
        <f>SUM(NJ_FINANCIAL)</f>
        <v>513862.15560747852</v>
      </c>
      <c r="L36" s="6"/>
      <c r="V36" s="9"/>
    </row>
    <row r="37" spans="1:22">
      <c r="A37" s="1" t="s">
        <v>58</v>
      </c>
      <c r="B37" s="6">
        <v>0</v>
      </c>
      <c r="C37" s="1">
        <v>0</v>
      </c>
      <c r="D37" s="1">
        <v>232213.22278058683</v>
      </c>
      <c r="E37" s="1">
        <v>0</v>
      </c>
      <c r="F37" s="1">
        <v>0</v>
      </c>
      <c r="G37" s="9">
        <f>SUM(NM_FINANCIAL)</f>
        <v>232213.22278058683</v>
      </c>
      <c r="L37" s="6">
        <v>0</v>
      </c>
      <c r="M37" s="1">
        <v>0</v>
      </c>
      <c r="O37" s="1">
        <v>0</v>
      </c>
      <c r="P37" s="1">
        <v>0</v>
      </c>
      <c r="R37" s="1">
        <v>321212</v>
      </c>
      <c r="S37" s="1">
        <v>9982</v>
      </c>
      <c r="U37" s="1">
        <v>0</v>
      </c>
      <c r="V37" s="9">
        <v>0</v>
      </c>
    </row>
    <row r="38" spans="1:22">
      <c r="A38" s="1" t="s">
        <v>59</v>
      </c>
      <c r="B38" s="6">
        <v>0</v>
      </c>
      <c r="C38" s="1">
        <v>0</v>
      </c>
      <c r="D38" s="1">
        <v>0</v>
      </c>
      <c r="E38" s="1">
        <v>0</v>
      </c>
      <c r="F38" s="1">
        <v>0</v>
      </c>
      <c r="G38" s="9">
        <f>SUM(NY_FINANCIAL)</f>
        <v>0</v>
      </c>
      <c r="L38" s="6"/>
      <c r="V38" s="9"/>
    </row>
    <row r="39" spans="1:22">
      <c r="A39" s="1" t="s">
        <v>60</v>
      </c>
      <c r="B39" s="6">
        <v>0</v>
      </c>
      <c r="C39" s="1">
        <v>0</v>
      </c>
      <c r="D39" s="1">
        <v>816307.61312334868</v>
      </c>
      <c r="E39" s="1">
        <v>0</v>
      </c>
      <c r="F39" s="1">
        <v>0</v>
      </c>
      <c r="G39" s="9">
        <f>SUM(NC_FINANCIAL)</f>
        <v>816307.61312334868</v>
      </c>
      <c r="L39" s="6">
        <v>0</v>
      </c>
      <c r="M39" s="1">
        <v>0</v>
      </c>
      <c r="O39" s="1">
        <v>0</v>
      </c>
      <c r="P39" s="1">
        <v>0</v>
      </c>
      <c r="R39" s="1">
        <v>1000000</v>
      </c>
      <c r="S39" s="1">
        <v>0</v>
      </c>
      <c r="U39" s="1">
        <v>0</v>
      </c>
      <c r="V39" s="9">
        <v>0</v>
      </c>
    </row>
    <row r="40" spans="1:22">
      <c r="A40" s="1" t="s">
        <v>61</v>
      </c>
      <c r="B40" s="6">
        <v>0</v>
      </c>
      <c r="C40" s="1">
        <v>0</v>
      </c>
      <c r="D40" s="1">
        <v>0</v>
      </c>
      <c r="E40" s="1">
        <v>0</v>
      </c>
      <c r="F40" s="1">
        <v>0</v>
      </c>
      <c r="G40" s="9">
        <f>SUM(ND_FINANCIAL)</f>
        <v>0</v>
      </c>
      <c r="L40" s="6"/>
      <c r="V40" s="9"/>
    </row>
    <row r="41" spans="1:22">
      <c r="A41" s="1" t="s">
        <v>62</v>
      </c>
      <c r="B41" s="6">
        <v>0</v>
      </c>
      <c r="C41" s="1">
        <v>0</v>
      </c>
      <c r="D41" s="1">
        <v>1366276.0453807295</v>
      </c>
      <c r="E41" s="1">
        <v>0</v>
      </c>
      <c r="F41" s="1">
        <v>0</v>
      </c>
      <c r="G41" s="9">
        <f>SUM(OH_FINANCIAL)</f>
        <v>1366276.0453807295</v>
      </c>
      <c r="L41" s="6">
        <v>0</v>
      </c>
      <c r="M41" s="1">
        <v>0</v>
      </c>
      <c r="O41" s="1">
        <v>0</v>
      </c>
      <c r="P41" s="1">
        <v>0</v>
      </c>
      <c r="R41" s="1">
        <v>1700000</v>
      </c>
      <c r="S41" s="1">
        <v>0</v>
      </c>
      <c r="U41" s="1">
        <v>0</v>
      </c>
      <c r="V41" s="9">
        <v>0</v>
      </c>
    </row>
    <row r="42" spans="1:22">
      <c r="A42" s="1" t="s">
        <v>63</v>
      </c>
      <c r="B42" s="6">
        <v>0</v>
      </c>
      <c r="C42" s="1">
        <v>0</v>
      </c>
      <c r="D42" s="1">
        <v>0</v>
      </c>
      <c r="E42" s="1">
        <v>0</v>
      </c>
      <c r="F42" s="1">
        <v>0</v>
      </c>
      <c r="G42" s="9">
        <f>SUM(OK_FINANCIAL)</f>
        <v>0</v>
      </c>
      <c r="L42" s="6"/>
      <c r="V42" s="9"/>
    </row>
    <row r="43" spans="1:22">
      <c r="A43" s="1" t="s">
        <v>64</v>
      </c>
      <c r="B43" s="6">
        <v>0</v>
      </c>
      <c r="C43" s="1">
        <v>0</v>
      </c>
      <c r="D43" s="1">
        <v>48376.176582481734</v>
      </c>
      <c r="E43" s="1">
        <v>0</v>
      </c>
      <c r="F43" s="1">
        <v>0</v>
      </c>
      <c r="G43" s="9">
        <f>SUM(OR_FINANCIAL)</f>
        <v>48376.176582481734</v>
      </c>
      <c r="L43" s="6">
        <v>0</v>
      </c>
      <c r="M43" s="1">
        <v>0</v>
      </c>
      <c r="O43" s="1">
        <v>0</v>
      </c>
      <c r="P43" s="1">
        <v>0</v>
      </c>
      <c r="R43" s="1">
        <v>65000</v>
      </c>
      <c r="S43" s="1">
        <v>0</v>
      </c>
      <c r="U43" s="1">
        <v>0</v>
      </c>
      <c r="V43" s="9">
        <v>0</v>
      </c>
    </row>
    <row r="44" spans="1:22">
      <c r="A44" s="1" t="s">
        <v>65</v>
      </c>
      <c r="B44" s="6">
        <v>0</v>
      </c>
      <c r="C44" s="1">
        <v>0</v>
      </c>
      <c r="D44" s="1">
        <v>853234.11909369635</v>
      </c>
      <c r="E44" s="1">
        <v>0</v>
      </c>
      <c r="F44" s="1">
        <v>0</v>
      </c>
      <c r="G44" s="9">
        <f>SUM(PA_FINANCIAL)</f>
        <v>853234.11909369635</v>
      </c>
      <c r="L44" s="6">
        <v>0</v>
      </c>
      <c r="M44" s="1">
        <v>0</v>
      </c>
      <c r="O44" s="1">
        <v>0</v>
      </c>
      <c r="P44" s="1">
        <v>0</v>
      </c>
      <c r="R44" s="1">
        <v>546000</v>
      </c>
      <c r="S44" s="1">
        <v>0</v>
      </c>
      <c r="U44" s="1">
        <v>0</v>
      </c>
      <c r="V44" s="9">
        <v>0</v>
      </c>
    </row>
    <row r="45" spans="1:22">
      <c r="A45" s="1" t="s">
        <v>66</v>
      </c>
      <c r="B45" s="6">
        <v>0</v>
      </c>
      <c r="C45" s="1">
        <v>0</v>
      </c>
      <c r="D45" s="1">
        <v>0</v>
      </c>
      <c r="E45" s="1">
        <v>0</v>
      </c>
      <c r="F45" s="1">
        <v>0</v>
      </c>
      <c r="G45" s="9">
        <f>SUM(PR_FINANCIAL)</f>
        <v>0</v>
      </c>
      <c r="L45" s="6"/>
      <c r="V45" s="9"/>
    </row>
    <row r="46" spans="1:22">
      <c r="A46" s="1" t="s">
        <v>67</v>
      </c>
      <c r="B46" s="6">
        <v>0</v>
      </c>
      <c r="C46" s="1">
        <v>0</v>
      </c>
      <c r="D46" s="1">
        <v>59099.734077263172</v>
      </c>
      <c r="E46" s="1">
        <v>0</v>
      </c>
      <c r="F46" s="1">
        <v>0</v>
      </c>
      <c r="G46" s="9">
        <f>SUM(RI_FINANCIAL)</f>
        <v>59099.734077263172</v>
      </c>
      <c r="L46" s="6"/>
      <c r="V46" s="9"/>
    </row>
    <row r="47" spans="1:22">
      <c r="A47" s="1" t="s">
        <v>68</v>
      </c>
      <c r="B47" s="6">
        <v>0</v>
      </c>
      <c r="C47" s="1">
        <v>0</v>
      </c>
      <c r="D47" s="1">
        <v>419411.61977723922</v>
      </c>
      <c r="E47" s="1">
        <v>0</v>
      </c>
      <c r="F47" s="1">
        <v>0</v>
      </c>
      <c r="G47" s="9">
        <f>SUM(SC_FINANCIAL)</f>
        <v>419411.61977723922</v>
      </c>
      <c r="L47" s="6"/>
      <c r="V47" s="9"/>
    </row>
    <row r="48" spans="1:22">
      <c r="A48" s="1" t="s">
        <v>69</v>
      </c>
      <c r="B48" s="6">
        <v>0</v>
      </c>
      <c r="C48" s="1">
        <v>0</v>
      </c>
      <c r="D48" s="1">
        <v>0</v>
      </c>
      <c r="E48" s="1">
        <v>0</v>
      </c>
      <c r="F48" s="1">
        <v>0</v>
      </c>
      <c r="G48" s="9">
        <f>SUM(SD_FINANCIAL)</f>
        <v>0</v>
      </c>
      <c r="L48" s="6"/>
      <c r="V48" s="9"/>
    </row>
    <row r="49" spans="1:22">
      <c r="A49" s="1" t="s">
        <v>70</v>
      </c>
      <c r="B49" s="6">
        <v>0</v>
      </c>
      <c r="C49" s="1">
        <v>0</v>
      </c>
      <c r="D49" s="1">
        <v>119671.31089155523</v>
      </c>
      <c r="E49" s="1">
        <v>0</v>
      </c>
      <c r="F49" s="1">
        <v>0</v>
      </c>
      <c r="G49" s="9">
        <f>SUM(TN_FINANCIAL)</f>
        <v>119671.31089155523</v>
      </c>
      <c r="L49" s="6"/>
      <c r="V49" s="9"/>
    </row>
    <row r="50" spans="1:22">
      <c r="A50" s="1" t="s">
        <v>71</v>
      </c>
      <c r="B50" s="6">
        <v>0</v>
      </c>
      <c r="C50" s="1">
        <v>0</v>
      </c>
      <c r="D50" s="1">
        <v>748567.72995836777</v>
      </c>
      <c r="E50" s="1">
        <v>0</v>
      </c>
      <c r="F50" s="1">
        <v>0</v>
      </c>
      <c r="G50" s="9">
        <f>SUM(TX_FINANCIAL)</f>
        <v>748567.72995836777</v>
      </c>
      <c r="L50" s="6">
        <v>0</v>
      </c>
      <c r="M50" s="1">
        <v>0</v>
      </c>
      <c r="O50" s="1">
        <v>0</v>
      </c>
      <c r="P50" s="1">
        <v>0</v>
      </c>
      <c r="R50" s="1">
        <v>900000</v>
      </c>
      <c r="S50" s="1">
        <v>0</v>
      </c>
      <c r="U50" s="1">
        <v>0</v>
      </c>
      <c r="V50" s="9">
        <v>0</v>
      </c>
    </row>
    <row r="51" spans="1:22">
      <c r="A51" s="1" t="s">
        <v>72</v>
      </c>
      <c r="B51" s="6">
        <v>0</v>
      </c>
      <c r="C51" s="1">
        <v>0</v>
      </c>
      <c r="D51" s="1">
        <v>60868.2637442743</v>
      </c>
      <c r="E51" s="1">
        <v>0</v>
      </c>
      <c r="F51" s="1">
        <v>0</v>
      </c>
      <c r="G51" s="9">
        <f>SUM(UT_FINANCIAL)</f>
        <v>60868.2637442743</v>
      </c>
      <c r="L51" s="6">
        <v>0</v>
      </c>
      <c r="M51" s="1">
        <v>0</v>
      </c>
      <c r="O51" s="1">
        <v>0</v>
      </c>
      <c r="P51" s="1">
        <v>0</v>
      </c>
      <c r="R51" s="1">
        <v>77668</v>
      </c>
      <c r="S51" s="1">
        <v>0</v>
      </c>
      <c r="U51" s="1">
        <v>0</v>
      </c>
      <c r="V51" s="9">
        <v>0</v>
      </c>
    </row>
    <row r="52" spans="1:22">
      <c r="A52" s="1" t="s">
        <v>73</v>
      </c>
      <c r="B52" s="6">
        <v>0</v>
      </c>
      <c r="C52" s="1">
        <v>0</v>
      </c>
      <c r="D52" s="1">
        <v>0</v>
      </c>
      <c r="E52" s="1">
        <v>0</v>
      </c>
      <c r="F52" s="1">
        <v>0</v>
      </c>
      <c r="G52" s="9">
        <f>SUM(VT_FINANCIAL)</f>
        <v>0</v>
      </c>
      <c r="L52" s="6"/>
      <c r="V52" s="9"/>
    </row>
    <row r="53" spans="1:22">
      <c r="A53" s="1" t="s">
        <v>74</v>
      </c>
      <c r="B53" s="6">
        <v>0</v>
      </c>
      <c r="C53" s="1">
        <v>0</v>
      </c>
      <c r="D53" s="1">
        <v>184472.64519572671</v>
      </c>
      <c r="E53" s="1">
        <v>0</v>
      </c>
      <c r="F53" s="1">
        <v>0</v>
      </c>
      <c r="G53" s="9">
        <f>SUM(VA_FINANCIAL)</f>
        <v>184472.64519572671</v>
      </c>
      <c r="L53" s="6"/>
      <c r="V53" s="9"/>
    </row>
    <row r="54" spans="1:22">
      <c r="A54" s="1" t="s">
        <v>75</v>
      </c>
      <c r="B54" s="6">
        <v>0</v>
      </c>
      <c r="C54" s="1">
        <v>0</v>
      </c>
      <c r="D54" s="1">
        <v>469566.07024480746</v>
      </c>
      <c r="E54" s="1">
        <v>0</v>
      </c>
      <c r="F54" s="1">
        <v>0</v>
      </c>
      <c r="G54" s="9">
        <f>SUM(WA_FINANCIAL)</f>
        <v>469566.07024480746</v>
      </c>
      <c r="L54" s="6"/>
      <c r="V54" s="9"/>
    </row>
    <row r="55" spans="1:22">
      <c r="A55" s="1" t="s">
        <v>76</v>
      </c>
      <c r="B55" s="6">
        <v>0</v>
      </c>
      <c r="C55" s="1">
        <v>0</v>
      </c>
      <c r="D55" s="1">
        <v>61363.265431394728</v>
      </c>
      <c r="E55" s="1">
        <v>0</v>
      </c>
      <c r="F55" s="1">
        <v>0</v>
      </c>
      <c r="G55" s="9">
        <f>SUM(WV_FINANCIAL)</f>
        <v>61363.265431394728</v>
      </c>
      <c r="L55" s="6"/>
      <c r="V55" s="9"/>
    </row>
    <row r="56" spans="1:22">
      <c r="A56" s="1" t="s">
        <v>77</v>
      </c>
      <c r="B56" s="6">
        <v>0</v>
      </c>
      <c r="C56" s="1">
        <v>0</v>
      </c>
      <c r="D56" s="1">
        <v>0</v>
      </c>
      <c r="E56" s="1">
        <v>0</v>
      </c>
      <c r="F56" s="1">
        <v>0</v>
      </c>
      <c r="G56" s="9">
        <f>SUM(WI_FINANCIAL)</f>
        <v>0</v>
      </c>
      <c r="L56" s="6"/>
      <c r="V56" s="9"/>
    </row>
    <row r="57" spans="1:22">
      <c r="A57" s="1" t="s">
        <v>78</v>
      </c>
      <c r="B57" s="6">
        <v>0</v>
      </c>
      <c r="C57" s="1">
        <v>0</v>
      </c>
      <c r="D57" s="1">
        <v>113487.58053027176</v>
      </c>
      <c r="E57" s="1">
        <v>0</v>
      </c>
      <c r="F57" s="1">
        <v>0</v>
      </c>
      <c r="G57" s="9">
        <f>SUM(WY_FINANCIAL)</f>
        <v>113487.58053027176</v>
      </c>
      <c r="L57" s="6">
        <v>0</v>
      </c>
      <c r="M57" s="1">
        <v>0</v>
      </c>
      <c r="O57" s="1">
        <v>0</v>
      </c>
      <c r="P57" s="1">
        <v>0</v>
      </c>
      <c r="R57" s="1">
        <v>165000</v>
      </c>
      <c r="S57" s="1">
        <v>0</v>
      </c>
      <c r="U57" s="1">
        <v>0</v>
      </c>
      <c r="V57" s="9">
        <v>0</v>
      </c>
    </row>
    <row r="58" spans="1:22">
      <c r="A58" s="1" t="s">
        <v>79</v>
      </c>
      <c r="B58" s="6">
        <v>0</v>
      </c>
      <c r="C58" s="1">
        <v>0</v>
      </c>
      <c r="D58" s="1">
        <v>0</v>
      </c>
      <c r="E58" s="1">
        <v>0</v>
      </c>
      <c r="F58" s="1">
        <v>0</v>
      </c>
      <c r="G58" s="9">
        <f>SUM(OT_FINANCIAL)</f>
        <v>0</v>
      </c>
      <c r="L58" s="6"/>
      <c r="V58" s="9"/>
    </row>
    <row r="59" spans="1:22">
      <c r="B59" s="6"/>
      <c r="G59" s="9"/>
      <c r="L59" s="6"/>
      <c r="V59" s="9"/>
    </row>
    <row r="60" spans="1:22">
      <c r="A60" s="1" t="s">
        <v>8</v>
      </c>
      <c r="B60" s="6">
        <f>SUM(LIFE)</f>
        <v>0</v>
      </c>
      <c r="C60" s="1">
        <f>SUM(ALLOCATED)</f>
        <v>0</v>
      </c>
      <c r="D60" s="1">
        <f>SUM(HEALTH)</f>
        <v>13519844.831880532</v>
      </c>
      <c r="E60" s="1">
        <f>SUM(UNALLOCATED)</f>
        <v>0</v>
      </c>
      <c r="F60" s="1">
        <f>SUM(LTC)</f>
        <v>0</v>
      </c>
      <c r="G60" s="9">
        <f>SUM(ALL_BLOCKS)</f>
        <v>13519844.831880532</v>
      </c>
      <c r="L60" s="6">
        <f>SUM(LIFE_CALLED)</f>
        <v>0</v>
      </c>
      <c r="M60" s="1">
        <f>SUM(LIFE_REFUNDED)</f>
        <v>0</v>
      </c>
      <c r="O60" s="1">
        <f>SUM(ALLOC_CALLED)</f>
        <v>0</v>
      </c>
      <c r="P60" s="1">
        <f>SUM(ALLOC_REFUNDED)</f>
        <v>0</v>
      </c>
      <c r="R60" s="1">
        <f>SUM(HEALTH_CALLED)</f>
        <v>10031027</v>
      </c>
      <c r="S60" s="1">
        <f>SUM(HEALTH_REFUNDED)</f>
        <v>9982</v>
      </c>
      <c r="U60" s="1">
        <f>SUM(UNALLOC_CALLED)</f>
        <v>0</v>
      </c>
      <c r="V60" s="9">
        <f>SUM(UNALLOC_REFUNDED)</f>
        <v>0</v>
      </c>
    </row>
    <row r="61" spans="1:22" ht="5.0999999999999996" customHeight="1">
      <c r="B61" s="6"/>
      <c r="G61" s="9"/>
      <c r="L61" s="6"/>
      <c r="V61" s="9"/>
    </row>
    <row r="62" spans="1:22">
      <c r="B62" s="6"/>
      <c r="G62" s="9"/>
      <c r="L62" s="78" t="s">
        <v>80</v>
      </c>
      <c r="M62" s="79"/>
      <c r="N62" s="79"/>
      <c r="O62" s="79"/>
      <c r="P62" s="79"/>
      <c r="Q62" s="79"/>
      <c r="R62" s="79"/>
      <c r="S62" s="79"/>
      <c r="T62" s="79"/>
      <c r="U62" s="79"/>
      <c r="V62" s="80"/>
    </row>
    <row r="63" spans="1:22">
      <c r="B63" s="6"/>
      <c r="G63" s="9"/>
      <c r="L63" s="81"/>
      <c r="M63" s="79"/>
      <c r="N63" s="79"/>
      <c r="O63" s="79"/>
      <c r="P63" s="79"/>
      <c r="Q63" s="79"/>
      <c r="R63" s="79"/>
      <c r="S63" s="79"/>
      <c r="T63" s="79"/>
      <c r="U63" s="79"/>
      <c r="V63" s="80"/>
    </row>
    <row r="64" spans="1:22">
      <c r="B64" s="8"/>
      <c r="C64" s="5"/>
      <c r="D64" s="5"/>
      <c r="E64" s="5"/>
      <c r="F64" s="5"/>
      <c r="G64" s="11"/>
      <c r="L64" s="82"/>
      <c r="M64" s="83"/>
      <c r="N64" s="83"/>
      <c r="O64" s="83"/>
      <c r="P64" s="83"/>
      <c r="Q64" s="83"/>
      <c r="R64" s="83"/>
      <c r="S64" s="83"/>
      <c r="T64" s="83"/>
      <c r="U64" s="83"/>
      <c r="V64" s="84"/>
    </row>
  </sheetData>
  <mergeCells count="8">
    <mergeCell ref="L62:V64"/>
    <mergeCell ref="A1:G1"/>
    <mergeCell ref="B3:G3"/>
    <mergeCell ref="L3:V3"/>
    <mergeCell ref="L4:M4"/>
    <mergeCell ref="O4:P4"/>
    <mergeCell ref="R4:S4"/>
    <mergeCell ref="U4:V4"/>
  </mergeCells>
  <pageMargins left="0" right="0" top="0" bottom="0" header="0" footer="0"/>
  <pageSetup scale="48"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pageSetUpPr fitToPage="1"/>
  </sheetPr>
  <dimension ref="A1:V64"/>
  <sheetViews>
    <sheetView zoomScale="75" workbookViewId="0">
      <selection sqref="A1:G1"/>
    </sheetView>
  </sheetViews>
  <sheetFormatPr defaultColWidth="9.109375" defaultRowHeight="14.4"/>
  <cols>
    <col min="1" max="1" width="20" style="1" customWidth="1"/>
    <col min="2" max="7" width="15" style="1" customWidth="1"/>
    <col min="8" max="8" width="1" style="1" customWidth="1"/>
    <col min="9" max="9" width="30" style="1" customWidth="1"/>
    <col min="10" max="10" width="15" style="1" customWidth="1"/>
    <col min="11" max="11" width="1" style="1" customWidth="1"/>
    <col min="12" max="13" width="15" style="1" customWidth="1"/>
    <col min="14" max="14" width="1" style="1" customWidth="1"/>
    <col min="15" max="16" width="15" style="1" customWidth="1"/>
    <col min="17" max="17" width="1" style="1" customWidth="1"/>
    <col min="18" max="19" width="15" style="1" customWidth="1"/>
    <col min="20" max="20" width="1" style="1" customWidth="1"/>
    <col min="21" max="22" width="15" style="1" customWidth="1"/>
    <col min="23" max="23" width="9.109375" style="1" customWidth="1"/>
    <col min="24" max="16384" width="9.109375" style="1"/>
  </cols>
  <sheetData>
    <row r="1" spans="1:22">
      <c r="A1" s="85" t="s">
        <v>141</v>
      </c>
      <c r="B1" s="79"/>
      <c r="C1" s="79"/>
      <c r="D1" s="79"/>
      <c r="E1" s="79"/>
      <c r="F1" s="79"/>
      <c r="G1" s="79"/>
    </row>
    <row r="3" spans="1:22">
      <c r="B3" s="86" t="s">
        <v>1</v>
      </c>
      <c r="C3" s="87"/>
      <c r="D3" s="87"/>
      <c r="E3" s="87"/>
      <c r="F3" s="87"/>
      <c r="G3" s="88"/>
      <c r="L3" s="89" t="s">
        <v>2</v>
      </c>
      <c r="M3" s="90"/>
      <c r="N3" s="90"/>
      <c r="O3" s="90"/>
      <c r="P3" s="90"/>
      <c r="Q3" s="90"/>
      <c r="R3" s="90"/>
      <c r="S3" s="90"/>
      <c r="T3" s="90"/>
      <c r="U3" s="90"/>
      <c r="V3" s="91"/>
    </row>
    <row r="4" spans="1:22">
      <c r="B4" s="6"/>
      <c r="G4" s="9"/>
      <c r="L4" s="92" t="s">
        <v>3</v>
      </c>
      <c r="M4" s="93"/>
      <c r="N4" s="3"/>
      <c r="O4" s="94" t="s">
        <v>4</v>
      </c>
      <c r="P4" s="93"/>
      <c r="Q4" s="3"/>
      <c r="R4" s="94" t="s">
        <v>5</v>
      </c>
      <c r="S4" s="93"/>
      <c r="T4" s="3"/>
      <c r="U4" s="94" t="s">
        <v>6</v>
      </c>
      <c r="V4" s="95"/>
    </row>
    <row r="5" spans="1:22" ht="60" customHeight="1">
      <c r="B5" s="7" t="s">
        <v>3</v>
      </c>
      <c r="C5" s="4" t="s">
        <v>4</v>
      </c>
      <c r="D5" s="4" t="s">
        <v>5</v>
      </c>
      <c r="E5" s="4" t="s">
        <v>6</v>
      </c>
      <c r="F5" s="4" t="s">
        <v>7</v>
      </c>
      <c r="G5" s="10" t="s">
        <v>8</v>
      </c>
      <c r="L5" s="19" t="s">
        <v>9</v>
      </c>
      <c r="M5" s="18" t="s">
        <v>10</v>
      </c>
      <c r="N5" s="18"/>
      <c r="O5" s="18" t="s">
        <v>9</v>
      </c>
      <c r="P5" s="18" t="s">
        <v>10</v>
      </c>
      <c r="Q5" s="18"/>
      <c r="R5" s="18" t="s">
        <v>9</v>
      </c>
      <c r="S5" s="18" t="s">
        <v>10</v>
      </c>
      <c r="T5" s="18"/>
      <c r="U5" s="18" t="s">
        <v>9</v>
      </c>
      <c r="V5" s="20" t="s">
        <v>10</v>
      </c>
    </row>
    <row r="6" spans="1:22">
      <c r="A6" s="1" t="s">
        <v>11</v>
      </c>
      <c r="B6" s="6">
        <v>0</v>
      </c>
      <c r="C6" s="1">
        <v>0</v>
      </c>
      <c r="D6" s="1">
        <v>13071.235820123589</v>
      </c>
      <c r="E6" s="1">
        <v>0</v>
      </c>
      <c r="F6" s="1">
        <v>0</v>
      </c>
      <c r="G6" s="9">
        <f>SUM(AL_FINANCIAL)</f>
        <v>13071.235820123589</v>
      </c>
      <c r="L6" s="6"/>
      <c r="V6" s="9"/>
    </row>
    <row r="7" spans="1:22">
      <c r="A7" s="1" t="s">
        <v>12</v>
      </c>
      <c r="B7" s="6">
        <v>0</v>
      </c>
      <c r="C7" s="1">
        <v>0</v>
      </c>
      <c r="D7" s="1">
        <v>2853</v>
      </c>
      <c r="E7" s="1">
        <v>0</v>
      </c>
      <c r="F7" s="1">
        <v>0</v>
      </c>
      <c r="G7" s="9">
        <f>SUM(AK_FINANCIAL)</f>
        <v>2853</v>
      </c>
      <c r="I7" s="12"/>
      <c r="J7" s="15"/>
      <c r="L7" s="6"/>
      <c r="V7" s="9"/>
    </row>
    <row r="8" spans="1:22">
      <c r="A8" s="1" t="s">
        <v>13</v>
      </c>
      <c r="B8" s="6">
        <v>0</v>
      </c>
      <c r="C8" s="1">
        <v>0</v>
      </c>
      <c r="D8" s="1">
        <v>108780.95422034075</v>
      </c>
      <c r="E8" s="1">
        <v>0</v>
      </c>
      <c r="F8" s="1">
        <v>0</v>
      </c>
      <c r="G8" s="9">
        <f>SUM(AZ_FINANCIAL)</f>
        <v>108780.95422034075</v>
      </c>
      <c r="I8" s="13" t="s">
        <v>14</v>
      </c>
      <c r="J8" s="16"/>
      <c r="L8" s="6"/>
      <c r="V8" s="9"/>
    </row>
    <row r="9" spans="1:22">
      <c r="A9" s="1" t="s">
        <v>15</v>
      </c>
      <c r="B9" s="6">
        <v>0</v>
      </c>
      <c r="C9" s="1">
        <v>0</v>
      </c>
      <c r="D9" s="1">
        <v>3161</v>
      </c>
      <c r="E9" s="1">
        <v>0</v>
      </c>
      <c r="F9" s="1">
        <v>0</v>
      </c>
      <c r="G9" s="9">
        <f>SUM(AR_FINANCIAL)</f>
        <v>3161</v>
      </c>
      <c r="I9" s="13"/>
      <c r="J9" s="16"/>
      <c r="L9" s="6">
        <v>0</v>
      </c>
      <c r="M9" s="1">
        <v>0</v>
      </c>
      <c r="O9" s="1">
        <v>0</v>
      </c>
      <c r="P9" s="1">
        <v>0</v>
      </c>
      <c r="R9" s="1">
        <v>0</v>
      </c>
      <c r="S9" s="1">
        <v>0</v>
      </c>
      <c r="U9" s="1">
        <v>0</v>
      </c>
      <c r="V9" s="9">
        <v>0</v>
      </c>
    </row>
    <row r="10" spans="1:22">
      <c r="A10" s="1" t="s">
        <v>16</v>
      </c>
      <c r="B10" s="6">
        <v>0</v>
      </c>
      <c r="C10" s="1">
        <v>0</v>
      </c>
      <c r="D10" s="1">
        <v>2881385.4880016232</v>
      </c>
      <c r="E10" s="1">
        <v>0</v>
      </c>
      <c r="F10" s="1">
        <v>0</v>
      </c>
      <c r="G10" s="9">
        <f>SUM(CA_FINANCIAL)</f>
        <v>2881385.4880016232</v>
      </c>
      <c r="I10" s="13" t="s">
        <v>17</v>
      </c>
      <c r="J10" s="16">
        <v>19143648.699999999</v>
      </c>
      <c r="L10" s="6">
        <v>0</v>
      </c>
      <c r="M10" s="1">
        <v>0</v>
      </c>
      <c r="O10" s="1">
        <v>0</v>
      </c>
      <c r="P10" s="1">
        <v>0</v>
      </c>
      <c r="R10" s="1">
        <v>2951291</v>
      </c>
      <c r="S10" s="1">
        <v>0</v>
      </c>
      <c r="U10" s="1">
        <v>0</v>
      </c>
      <c r="V10" s="9">
        <v>0</v>
      </c>
    </row>
    <row r="11" spans="1:22">
      <c r="A11" s="1" t="s">
        <v>18</v>
      </c>
      <c r="B11" s="6">
        <v>0</v>
      </c>
      <c r="C11" s="1">
        <v>0</v>
      </c>
      <c r="D11" s="1">
        <v>52579.382039438242</v>
      </c>
      <c r="E11" s="1">
        <v>0</v>
      </c>
      <c r="F11" s="1">
        <v>0</v>
      </c>
      <c r="G11" s="9">
        <f>SUM(CO_FINANCIAL)</f>
        <v>52579.382039438242</v>
      </c>
      <c r="I11" s="13"/>
      <c r="J11" s="16"/>
      <c r="L11" s="6">
        <v>0</v>
      </c>
      <c r="M11" s="1">
        <v>0</v>
      </c>
      <c r="O11" s="1">
        <v>0</v>
      </c>
      <c r="P11" s="1">
        <v>0</v>
      </c>
      <c r="R11" s="1">
        <v>21895</v>
      </c>
      <c r="S11" s="1">
        <v>31891</v>
      </c>
      <c r="U11" s="1">
        <v>0</v>
      </c>
      <c r="V11" s="9">
        <v>0</v>
      </c>
    </row>
    <row r="12" spans="1:22">
      <c r="A12" s="1" t="s">
        <v>19</v>
      </c>
      <c r="B12" s="6">
        <v>0</v>
      </c>
      <c r="C12" s="1">
        <v>0</v>
      </c>
      <c r="D12" s="1">
        <v>0</v>
      </c>
      <c r="E12" s="1">
        <v>0</v>
      </c>
      <c r="F12" s="1">
        <v>0</v>
      </c>
      <c r="G12" s="9">
        <f>SUM(CT_FINANCIAL)</f>
        <v>0</v>
      </c>
      <c r="I12" s="13" t="s">
        <v>20</v>
      </c>
      <c r="J12" s="16"/>
      <c r="L12" s="6"/>
      <c r="V12" s="9"/>
    </row>
    <row r="13" spans="1:22">
      <c r="A13" s="1" t="s">
        <v>21</v>
      </c>
      <c r="B13" s="6">
        <v>0</v>
      </c>
      <c r="C13" s="1">
        <v>0</v>
      </c>
      <c r="D13" s="1">
        <v>0</v>
      </c>
      <c r="E13" s="1">
        <v>0</v>
      </c>
      <c r="F13" s="1">
        <v>0</v>
      </c>
      <c r="G13" s="9">
        <f>SUM(DE_FINANCIAL)</f>
        <v>0</v>
      </c>
      <c r="I13" s="13" t="s">
        <v>22</v>
      </c>
      <c r="J13" s="16">
        <v>19143648.699999999</v>
      </c>
      <c r="L13" s="6"/>
      <c r="V13" s="9"/>
    </row>
    <row r="14" spans="1:22">
      <c r="A14" s="1" t="s">
        <v>23</v>
      </c>
      <c r="B14" s="6">
        <v>0</v>
      </c>
      <c r="C14" s="1">
        <v>0</v>
      </c>
      <c r="D14" s="1">
        <v>0</v>
      </c>
      <c r="E14" s="1">
        <v>0</v>
      </c>
      <c r="F14" s="1">
        <v>0</v>
      </c>
      <c r="G14" s="9">
        <f>SUM(DC_FINANCIAL)</f>
        <v>0</v>
      </c>
      <c r="I14" s="13" t="s">
        <v>24</v>
      </c>
      <c r="J14" s="16">
        <v>3511655.6</v>
      </c>
      <c r="L14" s="6"/>
      <c r="V14" s="9"/>
    </row>
    <row r="15" spans="1:22">
      <c r="A15" s="1" t="s">
        <v>25</v>
      </c>
      <c r="B15" s="6">
        <v>0</v>
      </c>
      <c r="C15" s="1">
        <v>0</v>
      </c>
      <c r="D15" s="1">
        <v>13863260.822522886</v>
      </c>
      <c r="E15" s="1">
        <v>0</v>
      </c>
      <c r="F15" s="1">
        <v>0</v>
      </c>
      <c r="G15" s="9">
        <f>SUM(FL_FINANCIAL)</f>
        <v>13863260.822522886</v>
      </c>
      <c r="I15" s="13" t="s">
        <v>26</v>
      </c>
      <c r="J15" s="16">
        <v>5128221</v>
      </c>
      <c r="L15" s="6">
        <v>0</v>
      </c>
      <c r="M15" s="1">
        <v>0</v>
      </c>
      <c r="O15" s="1">
        <v>0</v>
      </c>
      <c r="P15" s="1">
        <v>0</v>
      </c>
      <c r="R15" s="1">
        <v>11633000</v>
      </c>
      <c r="S15" s="1">
        <v>0</v>
      </c>
      <c r="U15" s="1">
        <v>0</v>
      </c>
      <c r="V15" s="9">
        <v>0</v>
      </c>
    </row>
    <row r="16" spans="1:22">
      <c r="A16" s="1" t="s">
        <v>27</v>
      </c>
      <c r="B16" s="6">
        <v>0</v>
      </c>
      <c r="C16" s="1">
        <v>0</v>
      </c>
      <c r="D16" s="1">
        <v>5525.32</v>
      </c>
      <c r="E16" s="1">
        <v>0</v>
      </c>
      <c r="F16" s="1">
        <v>0</v>
      </c>
      <c r="G16" s="9">
        <f>SUM(GA_FINANCIAL)</f>
        <v>5525.32</v>
      </c>
      <c r="I16" s="13" t="s">
        <v>28</v>
      </c>
      <c r="J16" s="16">
        <v>0</v>
      </c>
      <c r="L16" s="6"/>
      <c r="V16" s="9"/>
    </row>
    <row r="17" spans="1:22">
      <c r="A17" s="1" t="s">
        <v>29</v>
      </c>
      <c r="B17" s="6">
        <v>0</v>
      </c>
      <c r="C17" s="1">
        <v>0</v>
      </c>
      <c r="D17" s="1">
        <v>0</v>
      </c>
      <c r="E17" s="1">
        <v>0</v>
      </c>
      <c r="F17" s="1">
        <v>0</v>
      </c>
      <c r="G17" s="9">
        <f>SUM(HI_FINANCIAL)</f>
        <v>0</v>
      </c>
      <c r="I17" s="13"/>
      <c r="J17" s="16"/>
      <c r="L17" s="6"/>
      <c r="V17" s="9"/>
    </row>
    <row r="18" spans="1:22">
      <c r="A18" s="1" t="s">
        <v>30</v>
      </c>
      <c r="B18" s="6">
        <v>0</v>
      </c>
      <c r="C18" s="1">
        <v>0</v>
      </c>
      <c r="D18" s="1">
        <v>19238.419999999998</v>
      </c>
      <c r="E18" s="1">
        <v>0</v>
      </c>
      <c r="F18" s="1">
        <v>0</v>
      </c>
      <c r="G18" s="9">
        <f>SUM(ID_FINANCIAL)</f>
        <v>19238.419999999998</v>
      </c>
      <c r="I18" s="13" t="s">
        <v>31</v>
      </c>
      <c r="J18" s="16"/>
      <c r="L18" s="6">
        <v>0</v>
      </c>
      <c r="M18" s="1">
        <v>0</v>
      </c>
      <c r="O18" s="1">
        <v>0</v>
      </c>
      <c r="P18" s="1">
        <v>0</v>
      </c>
      <c r="R18" s="1">
        <v>29400</v>
      </c>
      <c r="S18" s="1">
        <v>0</v>
      </c>
      <c r="U18" s="1">
        <v>0</v>
      </c>
      <c r="V18" s="9">
        <v>0</v>
      </c>
    </row>
    <row r="19" spans="1:22">
      <c r="A19" s="1" t="s">
        <v>32</v>
      </c>
      <c r="B19" s="6">
        <v>0</v>
      </c>
      <c r="C19" s="1">
        <v>0</v>
      </c>
      <c r="D19" s="1">
        <v>1797127.1842716455</v>
      </c>
      <c r="E19" s="1">
        <v>0</v>
      </c>
      <c r="F19" s="1">
        <v>0</v>
      </c>
      <c r="G19" s="9">
        <f>SUM(IL_FINANCIAL)</f>
        <v>1797127.1842716455</v>
      </c>
      <c r="I19" s="13" t="s">
        <v>33</v>
      </c>
      <c r="J19" s="16">
        <v>0</v>
      </c>
      <c r="L19" s="6">
        <v>0</v>
      </c>
      <c r="M19" s="1">
        <v>0</v>
      </c>
      <c r="O19" s="1">
        <v>0</v>
      </c>
      <c r="P19" s="1">
        <v>0</v>
      </c>
      <c r="R19" s="1">
        <v>2500000</v>
      </c>
      <c r="S19" s="1">
        <v>0</v>
      </c>
      <c r="U19" s="1">
        <v>0</v>
      </c>
      <c r="V19" s="9">
        <v>0</v>
      </c>
    </row>
    <row r="20" spans="1:22">
      <c r="A20" s="1" t="s">
        <v>34</v>
      </c>
      <c r="B20" s="6">
        <v>0</v>
      </c>
      <c r="C20" s="1">
        <v>0</v>
      </c>
      <c r="D20" s="1">
        <v>2331381.184509581</v>
      </c>
      <c r="E20" s="1">
        <v>0</v>
      </c>
      <c r="F20" s="1">
        <v>0</v>
      </c>
      <c r="G20" s="9">
        <f>SUM(IN_FINANCIAL)</f>
        <v>2331381.184509581</v>
      </c>
      <c r="I20" s="13" t="s">
        <v>35</v>
      </c>
      <c r="J20" s="16">
        <v>19143648.699999999</v>
      </c>
      <c r="L20" s="6"/>
      <c r="V20" s="9"/>
    </row>
    <row r="21" spans="1:22">
      <c r="A21" s="1" t="s">
        <v>36</v>
      </c>
      <c r="B21" s="6">
        <v>0</v>
      </c>
      <c r="C21" s="1">
        <v>0</v>
      </c>
      <c r="D21" s="1">
        <v>0</v>
      </c>
      <c r="E21" s="1">
        <v>0</v>
      </c>
      <c r="F21" s="1">
        <v>0</v>
      </c>
      <c r="G21" s="9">
        <f>SUM(IA_FINANCIAL)</f>
        <v>0</v>
      </c>
      <c r="I21" s="13" t="s">
        <v>37</v>
      </c>
      <c r="J21" s="16"/>
      <c r="L21" s="6"/>
      <c r="V21" s="9"/>
    </row>
    <row r="22" spans="1:22">
      <c r="A22" s="1" t="s">
        <v>38</v>
      </c>
      <c r="B22" s="6">
        <v>0</v>
      </c>
      <c r="C22" s="1">
        <v>0</v>
      </c>
      <c r="D22" s="1">
        <v>0</v>
      </c>
      <c r="E22" s="1">
        <v>0</v>
      </c>
      <c r="F22" s="1">
        <v>0</v>
      </c>
      <c r="G22" s="9">
        <f>SUM(KS_FINANCIAL)</f>
        <v>0</v>
      </c>
      <c r="I22" s="13" t="s">
        <v>39</v>
      </c>
      <c r="J22" s="16">
        <v>0</v>
      </c>
      <c r="L22" s="6"/>
      <c r="V22" s="9"/>
    </row>
    <row r="23" spans="1:22">
      <c r="A23" s="1" t="s">
        <v>40</v>
      </c>
      <c r="B23" s="6">
        <v>0</v>
      </c>
      <c r="C23" s="1">
        <v>0</v>
      </c>
      <c r="D23" s="1">
        <v>0</v>
      </c>
      <c r="E23" s="1">
        <v>0</v>
      </c>
      <c r="F23" s="1">
        <v>0</v>
      </c>
      <c r="G23" s="9">
        <f>SUM(KY_FINANCIAL)</f>
        <v>0</v>
      </c>
      <c r="I23" s="13" t="s">
        <v>41</v>
      </c>
      <c r="J23" s="16"/>
      <c r="L23" s="6"/>
      <c r="V23" s="9"/>
    </row>
    <row r="24" spans="1:22">
      <c r="A24" s="1" t="s">
        <v>42</v>
      </c>
      <c r="B24" s="6">
        <v>0</v>
      </c>
      <c r="C24" s="1">
        <v>0</v>
      </c>
      <c r="D24" s="1">
        <v>30569.5</v>
      </c>
      <c r="E24" s="1">
        <v>0</v>
      </c>
      <c r="F24" s="1">
        <v>0</v>
      </c>
      <c r="G24" s="9">
        <f>SUM(LA_FINANCIAL)</f>
        <v>30569.5</v>
      </c>
      <c r="I24" s="13" t="s">
        <v>43</v>
      </c>
      <c r="J24" s="16">
        <v>2077826.6300000001</v>
      </c>
      <c r="L24" s="6"/>
      <c r="V24" s="9"/>
    </row>
    <row r="25" spans="1:22">
      <c r="A25" s="1" t="s">
        <v>44</v>
      </c>
      <c r="B25" s="6">
        <v>0</v>
      </c>
      <c r="C25" s="1">
        <v>0</v>
      </c>
      <c r="D25" s="1">
        <v>0</v>
      </c>
      <c r="E25" s="1">
        <v>0</v>
      </c>
      <c r="F25" s="1">
        <v>0</v>
      </c>
      <c r="G25" s="9">
        <f>SUM(ME_FINANCIAL)</f>
        <v>0</v>
      </c>
      <c r="I25" s="13"/>
      <c r="J25" s="16"/>
      <c r="L25" s="6"/>
      <c r="V25" s="9"/>
    </row>
    <row r="26" spans="1:22">
      <c r="A26" s="1" t="s">
        <v>45</v>
      </c>
      <c r="B26" s="6">
        <v>0</v>
      </c>
      <c r="C26" s="1">
        <v>0</v>
      </c>
      <c r="D26" s="1">
        <v>0</v>
      </c>
      <c r="E26" s="1">
        <v>0</v>
      </c>
      <c r="F26" s="1">
        <v>0</v>
      </c>
      <c r="G26" s="9">
        <f>SUM(MD_FINANCIAL)</f>
        <v>0</v>
      </c>
      <c r="I26" s="13" t="s">
        <v>46</v>
      </c>
      <c r="J26" s="16">
        <f>SUM(ADD_FINANCIAL)-SUM(LESS_FINANCIAL)</f>
        <v>25705698.670000002</v>
      </c>
      <c r="L26" s="6"/>
      <c r="V26" s="9"/>
    </row>
    <row r="27" spans="1:22">
      <c r="A27" s="1" t="s">
        <v>47</v>
      </c>
      <c r="B27" s="6">
        <v>0</v>
      </c>
      <c r="C27" s="1">
        <v>0</v>
      </c>
      <c r="D27" s="1">
        <v>0</v>
      </c>
      <c r="E27" s="1">
        <v>0</v>
      </c>
      <c r="F27" s="1">
        <v>0</v>
      </c>
      <c r="G27" s="9">
        <f>SUM(MA_FINANCIAL)</f>
        <v>0</v>
      </c>
      <c r="I27" s="13" t="s">
        <v>48</v>
      </c>
      <c r="J27" s="16">
        <f>SUM(ALL_BLOCKS)</f>
        <v>25705698.670000002</v>
      </c>
      <c r="L27" s="6"/>
      <c r="V27" s="9"/>
    </row>
    <row r="28" spans="1:22">
      <c r="A28" s="1" t="s">
        <v>49</v>
      </c>
      <c r="B28" s="6">
        <v>0</v>
      </c>
      <c r="C28" s="1">
        <v>0</v>
      </c>
      <c r="D28" s="1">
        <v>0</v>
      </c>
      <c r="E28" s="1">
        <v>0</v>
      </c>
      <c r="F28" s="1">
        <v>0</v>
      </c>
      <c r="G28" s="9">
        <f>SUM(MI_FINANCIAL)</f>
        <v>0</v>
      </c>
      <c r="I28" s="14"/>
      <c r="J28" s="17"/>
      <c r="L28" s="6"/>
      <c r="V28" s="9"/>
    </row>
    <row r="29" spans="1:22">
      <c r="A29" s="1" t="s">
        <v>50</v>
      </c>
      <c r="B29" s="6">
        <v>0</v>
      </c>
      <c r="C29" s="1">
        <v>0</v>
      </c>
      <c r="D29" s="1">
        <v>0</v>
      </c>
      <c r="E29" s="1">
        <v>0</v>
      </c>
      <c r="F29" s="1">
        <v>0</v>
      </c>
      <c r="G29" s="9">
        <f>SUM(MN_FINANCIAL)</f>
        <v>0</v>
      </c>
      <c r="L29" s="6"/>
      <c r="V29" s="9"/>
    </row>
    <row r="30" spans="1:22">
      <c r="A30" s="1" t="s">
        <v>51</v>
      </c>
      <c r="B30" s="6">
        <v>0</v>
      </c>
      <c r="C30" s="1">
        <v>0</v>
      </c>
      <c r="D30" s="1">
        <v>5948</v>
      </c>
      <c r="E30" s="1">
        <v>0</v>
      </c>
      <c r="F30" s="1">
        <v>0</v>
      </c>
      <c r="G30" s="9">
        <f>SUM(MS_FINANCIAL)</f>
        <v>5948</v>
      </c>
      <c r="L30" s="6"/>
      <c r="V30" s="9"/>
    </row>
    <row r="31" spans="1:22">
      <c r="A31" s="1" t="s">
        <v>52</v>
      </c>
      <c r="B31" s="6">
        <v>0</v>
      </c>
      <c r="C31" s="1">
        <v>0</v>
      </c>
      <c r="D31" s="1">
        <v>0</v>
      </c>
      <c r="E31" s="1">
        <v>0</v>
      </c>
      <c r="F31" s="1">
        <v>0</v>
      </c>
      <c r="G31" s="9">
        <f>SUM(MO_FINANCIAL)</f>
        <v>0</v>
      </c>
      <c r="L31" s="6"/>
      <c r="V31" s="9"/>
    </row>
    <row r="32" spans="1:22">
      <c r="A32" s="1" t="s">
        <v>53</v>
      </c>
      <c r="B32" s="6">
        <v>0</v>
      </c>
      <c r="C32" s="1">
        <v>0</v>
      </c>
      <c r="D32" s="1">
        <v>27024</v>
      </c>
      <c r="E32" s="1">
        <v>0</v>
      </c>
      <c r="F32" s="1">
        <v>0</v>
      </c>
      <c r="G32" s="9">
        <f>SUM(MT_FINANCIAL)</f>
        <v>27024</v>
      </c>
      <c r="L32" s="6"/>
      <c r="V32" s="9"/>
    </row>
    <row r="33" spans="1:22">
      <c r="A33" s="1" t="s">
        <v>54</v>
      </c>
      <c r="B33" s="6">
        <v>0</v>
      </c>
      <c r="C33" s="1">
        <v>0</v>
      </c>
      <c r="D33" s="1">
        <v>1372110.6511464564</v>
      </c>
      <c r="E33" s="1">
        <v>0</v>
      </c>
      <c r="F33" s="1">
        <v>0</v>
      </c>
      <c r="G33" s="9">
        <f>SUM(NE_FINANCIAL)</f>
        <v>1372110.6511464564</v>
      </c>
      <c r="L33" s="6">
        <v>0</v>
      </c>
      <c r="M33" s="1">
        <v>0</v>
      </c>
      <c r="O33" s="1">
        <v>0</v>
      </c>
      <c r="P33" s="1">
        <v>0</v>
      </c>
      <c r="R33" s="1">
        <v>1500000</v>
      </c>
      <c r="S33" s="1">
        <v>0</v>
      </c>
      <c r="U33" s="1">
        <v>0</v>
      </c>
      <c r="V33" s="9">
        <v>0</v>
      </c>
    </row>
    <row r="34" spans="1:22">
      <c r="A34" s="1" t="s">
        <v>55</v>
      </c>
      <c r="B34" s="6">
        <v>0</v>
      </c>
      <c r="C34" s="1">
        <v>0</v>
      </c>
      <c r="D34" s="1">
        <v>306</v>
      </c>
      <c r="E34" s="1">
        <v>0</v>
      </c>
      <c r="F34" s="1">
        <v>0</v>
      </c>
      <c r="G34" s="9">
        <f>SUM(NV_FINANCIAL)</f>
        <v>306</v>
      </c>
      <c r="L34" s="6"/>
      <c r="V34" s="9"/>
    </row>
    <row r="35" spans="1:22">
      <c r="A35" s="1" t="s">
        <v>56</v>
      </c>
      <c r="B35" s="6">
        <v>0</v>
      </c>
      <c r="C35" s="1">
        <v>0</v>
      </c>
      <c r="D35" s="1">
        <v>0</v>
      </c>
      <c r="E35" s="1">
        <v>0</v>
      </c>
      <c r="F35" s="1">
        <v>0</v>
      </c>
      <c r="G35" s="9">
        <f>SUM(NH_FINANCIAL)</f>
        <v>0</v>
      </c>
      <c r="L35" s="6"/>
      <c r="V35" s="9"/>
    </row>
    <row r="36" spans="1:22">
      <c r="A36" s="1" t="s">
        <v>57</v>
      </c>
      <c r="B36" s="6">
        <v>0</v>
      </c>
      <c r="C36" s="1">
        <v>0</v>
      </c>
      <c r="D36" s="1">
        <v>0</v>
      </c>
      <c r="E36" s="1">
        <v>0</v>
      </c>
      <c r="F36" s="1">
        <v>0</v>
      </c>
      <c r="G36" s="9">
        <f>SUM(NJ_FINANCIAL)</f>
        <v>0</v>
      </c>
      <c r="L36" s="6"/>
      <c r="V36" s="9"/>
    </row>
    <row r="37" spans="1:22">
      <c r="A37" s="1" t="s">
        <v>58</v>
      </c>
      <c r="B37" s="6">
        <v>0</v>
      </c>
      <c r="C37" s="1">
        <v>0</v>
      </c>
      <c r="D37" s="1">
        <v>-217869</v>
      </c>
      <c r="E37" s="1">
        <v>0</v>
      </c>
      <c r="F37" s="1">
        <v>0</v>
      </c>
      <c r="G37" s="9">
        <f>SUM(NM_FINANCIAL)</f>
        <v>-217869</v>
      </c>
      <c r="L37" s="6"/>
      <c r="V37" s="9"/>
    </row>
    <row r="38" spans="1:22">
      <c r="A38" s="1" t="s">
        <v>59</v>
      </c>
      <c r="B38" s="6">
        <v>0</v>
      </c>
      <c r="C38" s="1">
        <v>0</v>
      </c>
      <c r="D38" s="1">
        <v>0</v>
      </c>
      <c r="E38" s="1">
        <v>0</v>
      </c>
      <c r="F38" s="1">
        <v>0</v>
      </c>
      <c r="G38" s="9">
        <f>SUM(NY_FINANCIAL)</f>
        <v>0</v>
      </c>
      <c r="L38" s="6"/>
      <c r="V38" s="9"/>
    </row>
    <row r="39" spans="1:22">
      <c r="A39" s="1" t="s">
        <v>60</v>
      </c>
      <c r="B39" s="6">
        <v>0</v>
      </c>
      <c r="C39" s="1">
        <v>0</v>
      </c>
      <c r="D39" s="1">
        <v>-403355.8651216416</v>
      </c>
      <c r="E39" s="1">
        <v>0</v>
      </c>
      <c r="F39" s="1">
        <v>0</v>
      </c>
      <c r="G39" s="9">
        <f>SUM(NC_FINANCIAL)</f>
        <v>-403355.8651216416</v>
      </c>
      <c r="L39" s="6"/>
      <c r="V39" s="9"/>
    </row>
    <row r="40" spans="1:22">
      <c r="A40" s="1" t="s">
        <v>61</v>
      </c>
      <c r="B40" s="6">
        <v>0</v>
      </c>
      <c r="C40" s="1">
        <v>0</v>
      </c>
      <c r="D40" s="1">
        <v>957</v>
      </c>
      <c r="E40" s="1">
        <v>0</v>
      </c>
      <c r="F40" s="1">
        <v>0</v>
      </c>
      <c r="G40" s="9">
        <f>SUM(ND_FINANCIAL)</f>
        <v>957</v>
      </c>
      <c r="L40" s="6"/>
      <c r="V40" s="9"/>
    </row>
    <row r="41" spans="1:22">
      <c r="A41" s="1" t="s">
        <v>62</v>
      </c>
      <c r="B41" s="6">
        <v>0</v>
      </c>
      <c r="C41" s="1">
        <v>0</v>
      </c>
      <c r="D41" s="1">
        <v>2859281.1006212984</v>
      </c>
      <c r="E41" s="1">
        <v>0</v>
      </c>
      <c r="F41" s="1">
        <v>0</v>
      </c>
      <c r="G41" s="9">
        <f>SUM(OH_FINANCIAL)</f>
        <v>2859281.1006212984</v>
      </c>
      <c r="L41" s="6">
        <v>0</v>
      </c>
      <c r="M41" s="1">
        <v>0</v>
      </c>
      <c r="O41" s="1">
        <v>0</v>
      </c>
      <c r="P41" s="1">
        <v>0</v>
      </c>
      <c r="R41" s="1">
        <v>2000000</v>
      </c>
      <c r="S41" s="1">
        <v>0</v>
      </c>
      <c r="U41" s="1">
        <v>0</v>
      </c>
      <c r="V41" s="9">
        <v>0</v>
      </c>
    </row>
    <row r="42" spans="1:22">
      <c r="A42" s="1" t="s">
        <v>63</v>
      </c>
      <c r="B42" s="6">
        <v>0</v>
      </c>
      <c r="C42" s="1">
        <v>0</v>
      </c>
      <c r="D42" s="1">
        <v>-272319.42500660755</v>
      </c>
      <c r="E42" s="1">
        <v>0</v>
      </c>
      <c r="F42" s="1">
        <v>0</v>
      </c>
      <c r="G42" s="9">
        <f>SUM(OK_FINANCIAL)</f>
        <v>-272319.42500660755</v>
      </c>
      <c r="L42" s="6"/>
      <c r="V42" s="9"/>
    </row>
    <row r="43" spans="1:22">
      <c r="A43" s="1" t="s">
        <v>64</v>
      </c>
      <c r="B43" s="6">
        <v>0</v>
      </c>
      <c r="C43" s="1">
        <v>0</v>
      </c>
      <c r="D43" s="1">
        <v>47739.370842684039</v>
      </c>
      <c r="E43" s="1">
        <v>0</v>
      </c>
      <c r="F43" s="1">
        <v>0</v>
      </c>
      <c r="G43" s="9">
        <f>SUM(OR_FINANCIAL)</f>
        <v>47739.370842684039</v>
      </c>
      <c r="L43" s="6"/>
      <c r="V43" s="9"/>
    </row>
    <row r="44" spans="1:22">
      <c r="A44" s="1" t="s">
        <v>65</v>
      </c>
      <c r="B44" s="6">
        <v>0</v>
      </c>
      <c r="C44" s="1">
        <v>0</v>
      </c>
      <c r="D44" s="1">
        <v>0</v>
      </c>
      <c r="E44" s="1">
        <v>0</v>
      </c>
      <c r="F44" s="1">
        <v>0</v>
      </c>
      <c r="G44" s="9">
        <f>SUM(PA_FINANCIAL)</f>
        <v>0</v>
      </c>
      <c r="L44" s="6"/>
      <c r="V44" s="9"/>
    </row>
    <row r="45" spans="1:22">
      <c r="A45" s="1" t="s">
        <v>66</v>
      </c>
      <c r="B45" s="6">
        <v>0</v>
      </c>
      <c r="C45" s="1">
        <v>0</v>
      </c>
      <c r="D45" s="1">
        <v>0</v>
      </c>
      <c r="E45" s="1">
        <v>0</v>
      </c>
      <c r="F45" s="1">
        <v>0</v>
      </c>
      <c r="G45" s="9">
        <f>SUM(PR_FINANCIAL)</f>
        <v>0</v>
      </c>
      <c r="L45" s="6"/>
      <c r="V45" s="9"/>
    </row>
    <row r="46" spans="1:22">
      <c r="A46" s="1" t="s">
        <v>67</v>
      </c>
      <c r="B46" s="6">
        <v>0</v>
      </c>
      <c r="C46" s="1">
        <v>0</v>
      </c>
      <c r="D46" s="1">
        <v>0</v>
      </c>
      <c r="E46" s="1">
        <v>0</v>
      </c>
      <c r="F46" s="1">
        <v>0</v>
      </c>
      <c r="G46" s="9">
        <f>SUM(RI_FINANCIAL)</f>
        <v>0</v>
      </c>
      <c r="L46" s="6"/>
      <c r="V46" s="9"/>
    </row>
    <row r="47" spans="1:22">
      <c r="A47" s="1" t="s">
        <v>68</v>
      </c>
      <c r="B47" s="6">
        <v>0</v>
      </c>
      <c r="C47" s="1">
        <v>0</v>
      </c>
      <c r="D47" s="1">
        <v>-147824.70022465684</v>
      </c>
      <c r="E47" s="1">
        <v>0</v>
      </c>
      <c r="F47" s="1">
        <v>0</v>
      </c>
      <c r="G47" s="9">
        <f>SUM(SC_FINANCIAL)</f>
        <v>-147824.70022465684</v>
      </c>
      <c r="L47" s="6"/>
      <c r="V47" s="9"/>
    </row>
    <row r="48" spans="1:22">
      <c r="A48" s="1" t="s">
        <v>69</v>
      </c>
      <c r="B48" s="6">
        <v>0</v>
      </c>
      <c r="C48" s="1">
        <v>0</v>
      </c>
      <c r="D48" s="1">
        <v>1448</v>
      </c>
      <c r="E48" s="1">
        <v>0</v>
      </c>
      <c r="F48" s="1">
        <v>0</v>
      </c>
      <c r="G48" s="9">
        <f>SUM(SD_FINANCIAL)</f>
        <v>1448</v>
      </c>
      <c r="L48" s="6"/>
      <c r="V48" s="9"/>
    </row>
    <row r="49" spans="1:22">
      <c r="A49" s="1" t="s">
        <v>70</v>
      </c>
      <c r="B49" s="6">
        <v>0</v>
      </c>
      <c r="C49" s="1">
        <v>0</v>
      </c>
      <c r="D49" s="1">
        <v>3230.7888922591283</v>
      </c>
      <c r="E49" s="1">
        <v>0</v>
      </c>
      <c r="F49" s="1">
        <v>0</v>
      </c>
      <c r="G49" s="9">
        <f>SUM(TN_FINANCIAL)</f>
        <v>3230.7888922591283</v>
      </c>
      <c r="L49" s="6"/>
      <c r="V49" s="9"/>
    </row>
    <row r="50" spans="1:22">
      <c r="A50" s="1" t="s">
        <v>71</v>
      </c>
      <c r="B50" s="6">
        <v>0</v>
      </c>
      <c r="C50" s="1">
        <v>0</v>
      </c>
      <c r="D50" s="1">
        <v>32296.171308705296</v>
      </c>
      <c r="E50" s="1">
        <v>0</v>
      </c>
      <c r="F50" s="1">
        <v>0</v>
      </c>
      <c r="G50" s="9">
        <f>SUM(TX_FINANCIAL)</f>
        <v>32296.171308705296</v>
      </c>
      <c r="L50" s="6">
        <v>0</v>
      </c>
      <c r="M50" s="1">
        <v>0</v>
      </c>
      <c r="O50" s="1">
        <v>0</v>
      </c>
      <c r="P50" s="1">
        <v>0</v>
      </c>
      <c r="R50" s="1">
        <v>1149991</v>
      </c>
      <c r="S50" s="1">
        <v>0</v>
      </c>
      <c r="U50" s="1">
        <v>0</v>
      </c>
      <c r="V50" s="9">
        <v>0</v>
      </c>
    </row>
    <row r="51" spans="1:22">
      <c r="A51" s="1" t="s">
        <v>72</v>
      </c>
      <c r="B51" s="6">
        <v>0</v>
      </c>
      <c r="C51" s="1">
        <v>0</v>
      </c>
      <c r="D51" s="1">
        <v>13380.674080385772</v>
      </c>
      <c r="E51" s="1">
        <v>0</v>
      </c>
      <c r="F51" s="1">
        <v>0</v>
      </c>
      <c r="G51" s="9">
        <f>SUM(UT_FINANCIAL)</f>
        <v>13380.674080385772</v>
      </c>
      <c r="L51" s="6"/>
      <c r="V51" s="9"/>
    </row>
    <row r="52" spans="1:22">
      <c r="A52" s="1" t="s">
        <v>73</v>
      </c>
      <c r="B52" s="6">
        <v>0</v>
      </c>
      <c r="C52" s="1">
        <v>0</v>
      </c>
      <c r="D52" s="1">
        <v>0</v>
      </c>
      <c r="E52" s="1">
        <v>0</v>
      </c>
      <c r="F52" s="1">
        <v>0</v>
      </c>
      <c r="G52" s="9">
        <f>SUM(VT_FINANCIAL)</f>
        <v>0</v>
      </c>
      <c r="L52" s="6"/>
      <c r="V52" s="9"/>
    </row>
    <row r="53" spans="1:22">
      <c r="A53" s="1" t="s">
        <v>74</v>
      </c>
      <c r="B53" s="6">
        <v>0</v>
      </c>
      <c r="C53" s="1">
        <v>0</v>
      </c>
      <c r="D53" s="1">
        <v>1240917.2481812697</v>
      </c>
      <c r="E53" s="1">
        <v>0</v>
      </c>
      <c r="F53" s="1">
        <v>0</v>
      </c>
      <c r="G53" s="9">
        <f>SUM(VA_FINANCIAL)</f>
        <v>1240917.2481812697</v>
      </c>
      <c r="L53" s="6">
        <v>0</v>
      </c>
      <c r="M53" s="1">
        <v>0</v>
      </c>
      <c r="O53" s="1">
        <v>0</v>
      </c>
      <c r="P53" s="1">
        <v>0</v>
      </c>
      <c r="R53" s="1">
        <v>500000</v>
      </c>
      <c r="S53" s="1">
        <v>0</v>
      </c>
      <c r="U53" s="1">
        <v>0</v>
      </c>
      <c r="V53" s="9">
        <v>0</v>
      </c>
    </row>
    <row r="54" spans="1:22">
      <c r="A54" s="1" t="s">
        <v>75</v>
      </c>
      <c r="B54" s="6">
        <v>0</v>
      </c>
      <c r="C54" s="1">
        <v>0</v>
      </c>
      <c r="D54" s="1">
        <v>0</v>
      </c>
      <c r="E54" s="1">
        <v>0</v>
      </c>
      <c r="F54" s="1">
        <v>0</v>
      </c>
      <c r="G54" s="9">
        <f>SUM(WA_FINANCIAL)</f>
        <v>0</v>
      </c>
      <c r="L54" s="6"/>
      <c r="V54" s="9"/>
    </row>
    <row r="55" spans="1:22">
      <c r="A55" s="1" t="s">
        <v>76</v>
      </c>
      <c r="B55" s="6">
        <v>0</v>
      </c>
      <c r="C55" s="1">
        <v>0</v>
      </c>
      <c r="D55" s="1">
        <v>33495.163894210098</v>
      </c>
      <c r="E55" s="1">
        <v>0</v>
      </c>
      <c r="F55" s="1">
        <v>0</v>
      </c>
      <c r="G55" s="9">
        <f>SUM(WV_FINANCIAL)</f>
        <v>33495.163894210098</v>
      </c>
      <c r="L55" s="6"/>
      <c r="V55" s="9"/>
    </row>
    <row r="56" spans="1:22">
      <c r="A56" s="1" t="s">
        <v>77</v>
      </c>
      <c r="B56" s="6">
        <v>0</v>
      </c>
      <c r="C56" s="1">
        <v>0</v>
      </c>
      <c r="D56" s="1">
        <v>0</v>
      </c>
      <c r="E56" s="1">
        <v>0</v>
      </c>
      <c r="F56" s="1">
        <v>0</v>
      </c>
      <c r="G56" s="9">
        <f>SUM(WI_FINANCIAL)</f>
        <v>0</v>
      </c>
      <c r="L56" s="6"/>
      <c r="V56" s="9"/>
    </row>
    <row r="57" spans="1:22">
      <c r="A57" s="1" t="s">
        <v>78</v>
      </c>
      <c r="B57" s="6">
        <v>0</v>
      </c>
      <c r="C57" s="1">
        <v>0</v>
      </c>
      <c r="D57" s="1">
        <v>0</v>
      </c>
      <c r="E57" s="1">
        <v>0</v>
      </c>
      <c r="F57" s="1">
        <v>0</v>
      </c>
      <c r="G57" s="9">
        <f>SUM(WY_FINANCIAL)</f>
        <v>0</v>
      </c>
      <c r="L57" s="6"/>
      <c r="V57" s="9"/>
    </row>
    <row r="58" spans="1:22">
      <c r="A58" s="1" t="s">
        <v>79</v>
      </c>
      <c r="B58" s="6">
        <v>0</v>
      </c>
      <c r="C58" s="1">
        <v>0</v>
      </c>
      <c r="D58" s="1">
        <v>0</v>
      </c>
      <c r="E58" s="1">
        <v>0</v>
      </c>
      <c r="F58" s="1">
        <v>0</v>
      </c>
      <c r="G58" s="9">
        <f>SUM(OT_FINANCIAL)</f>
        <v>0</v>
      </c>
      <c r="L58" s="6"/>
      <c r="V58" s="9"/>
    </row>
    <row r="59" spans="1:22">
      <c r="B59" s="6"/>
      <c r="G59" s="9"/>
      <c r="L59" s="6"/>
      <c r="V59" s="9"/>
    </row>
    <row r="60" spans="1:22">
      <c r="A60" s="1" t="s">
        <v>8</v>
      </c>
      <c r="B60" s="6">
        <f>SUM(LIFE)</f>
        <v>0</v>
      </c>
      <c r="C60" s="1">
        <f>SUM(ALLOCATED)</f>
        <v>0</v>
      </c>
      <c r="D60" s="1">
        <f>SUM(HEALTH)</f>
        <v>25705698.670000002</v>
      </c>
      <c r="E60" s="1">
        <f>SUM(UNALLOCATED)</f>
        <v>0</v>
      </c>
      <c r="F60" s="1">
        <f>SUM(LTC)</f>
        <v>0</v>
      </c>
      <c r="G60" s="9">
        <f>SUM(ALL_BLOCKS)</f>
        <v>25705698.670000002</v>
      </c>
      <c r="L60" s="6">
        <f>SUM(LIFE_CALLED)</f>
        <v>0</v>
      </c>
      <c r="M60" s="1">
        <f>SUM(LIFE_REFUNDED)</f>
        <v>0</v>
      </c>
      <c r="O60" s="1">
        <f>SUM(ALLOC_CALLED)</f>
        <v>0</v>
      </c>
      <c r="P60" s="1">
        <f>SUM(ALLOC_REFUNDED)</f>
        <v>0</v>
      </c>
      <c r="R60" s="1">
        <f>SUM(HEALTH_CALLED)</f>
        <v>22285577</v>
      </c>
      <c r="S60" s="1">
        <f>SUM(HEALTH_REFUNDED)</f>
        <v>31891</v>
      </c>
      <c r="U60" s="1">
        <f>SUM(UNALLOC_CALLED)</f>
        <v>0</v>
      </c>
      <c r="V60" s="9">
        <f>SUM(UNALLOC_REFUNDED)</f>
        <v>0</v>
      </c>
    </row>
    <row r="61" spans="1:22" ht="5.0999999999999996" customHeight="1">
      <c r="B61" s="6"/>
      <c r="G61" s="9"/>
      <c r="L61" s="6"/>
      <c r="V61" s="9"/>
    </row>
    <row r="62" spans="1:22">
      <c r="B62" s="6"/>
      <c r="G62" s="9"/>
      <c r="L62" s="78" t="s">
        <v>80</v>
      </c>
      <c r="M62" s="79"/>
      <c r="N62" s="79"/>
      <c r="O62" s="79"/>
      <c r="P62" s="79"/>
      <c r="Q62" s="79"/>
      <c r="R62" s="79"/>
      <c r="S62" s="79"/>
      <c r="T62" s="79"/>
      <c r="U62" s="79"/>
      <c r="V62" s="80"/>
    </row>
    <row r="63" spans="1:22">
      <c r="B63" s="6"/>
      <c r="G63" s="9"/>
      <c r="L63" s="81"/>
      <c r="M63" s="79"/>
      <c r="N63" s="79"/>
      <c r="O63" s="79"/>
      <c r="P63" s="79"/>
      <c r="Q63" s="79"/>
      <c r="R63" s="79"/>
      <c r="S63" s="79"/>
      <c r="T63" s="79"/>
      <c r="U63" s="79"/>
      <c r="V63" s="80"/>
    </row>
    <row r="64" spans="1:22">
      <c r="B64" s="8"/>
      <c r="C64" s="5"/>
      <c r="D64" s="5"/>
      <c r="E64" s="5"/>
      <c r="F64" s="5"/>
      <c r="G64" s="11"/>
      <c r="L64" s="82"/>
      <c r="M64" s="83"/>
      <c r="N64" s="83"/>
      <c r="O64" s="83"/>
      <c r="P64" s="83"/>
      <c r="Q64" s="83"/>
      <c r="R64" s="83"/>
      <c r="S64" s="83"/>
      <c r="T64" s="83"/>
      <c r="U64" s="83"/>
      <c r="V64" s="84"/>
    </row>
  </sheetData>
  <mergeCells count="8">
    <mergeCell ref="L62:V64"/>
    <mergeCell ref="A1:G1"/>
    <mergeCell ref="B3:G3"/>
    <mergeCell ref="L3:V3"/>
    <mergeCell ref="L4:M4"/>
    <mergeCell ref="O4:P4"/>
    <mergeCell ref="R4:S4"/>
    <mergeCell ref="U4:V4"/>
  </mergeCells>
  <pageMargins left="0" right="0" top="0" bottom="0" header="0" footer="0"/>
  <pageSetup scale="48"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pageSetUpPr fitToPage="1"/>
  </sheetPr>
  <dimension ref="A1:V64"/>
  <sheetViews>
    <sheetView zoomScale="75" workbookViewId="0">
      <selection sqref="A1:G1"/>
    </sheetView>
  </sheetViews>
  <sheetFormatPr defaultColWidth="9.109375" defaultRowHeight="14.4"/>
  <cols>
    <col min="1" max="1" width="20" style="1" customWidth="1"/>
    <col min="2" max="7" width="15" style="1" customWidth="1"/>
    <col min="8" max="8" width="1" style="1" customWidth="1"/>
    <col min="9" max="9" width="30" style="1" customWidth="1"/>
    <col min="10" max="10" width="15" style="1" customWidth="1"/>
    <col min="11" max="11" width="1" style="1" customWidth="1"/>
    <col min="12" max="13" width="15" style="1" customWidth="1"/>
    <col min="14" max="14" width="1" style="1" customWidth="1"/>
    <col min="15" max="16" width="15" style="1" customWidth="1"/>
    <col min="17" max="17" width="1" style="1" customWidth="1"/>
    <col min="18" max="19" width="15" style="1" customWidth="1"/>
    <col min="20" max="20" width="1" style="1" customWidth="1"/>
    <col min="21" max="22" width="15" style="1" customWidth="1"/>
    <col min="23" max="23" width="9.109375" style="1" customWidth="1"/>
    <col min="24" max="16384" width="9.109375" style="1"/>
  </cols>
  <sheetData>
    <row r="1" spans="1:22">
      <c r="A1" s="85" t="s">
        <v>142</v>
      </c>
      <c r="B1" s="79"/>
      <c r="C1" s="79"/>
      <c r="D1" s="79"/>
      <c r="E1" s="79"/>
      <c r="F1" s="79"/>
      <c r="G1" s="79"/>
    </row>
    <row r="3" spans="1:22">
      <c r="B3" s="86" t="s">
        <v>1</v>
      </c>
      <c r="C3" s="87"/>
      <c r="D3" s="87"/>
      <c r="E3" s="87"/>
      <c r="F3" s="87"/>
      <c r="G3" s="88"/>
      <c r="L3" s="89" t="s">
        <v>2</v>
      </c>
      <c r="M3" s="90"/>
      <c r="N3" s="90"/>
      <c r="O3" s="90"/>
      <c r="P3" s="90"/>
      <c r="Q3" s="90"/>
      <c r="R3" s="90"/>
      <c r="S3" s="90"/>
      <c r="T3" s="90"/>
      <c r="U3" s="90"/>
      <c r="V3" s="91"/>
    </row>
    <row r="4" spans="1:22">
      <c r="B4" s="6"/>
      <c r="G4" s="9"/>
      <c r="L4" s="92" t="s">
        <v>3</v>
      </c>
      <c r="M4" s="93"/>
      <c r="N4" s="3"/>
      <c r="O4" s="94" t="s">
        <v>4</v>
      </c>
      <c r="P4" s="93"/>
      <c r="Q4" s="3"/>
      <c r="R4" s="94" t="s">
        <v>5</v>
      </c>
      <c r="S4" s="93"/>
      <c r="T4" s="3"/>
      <c r="U4" s="94" t="s">
        <v>6</v>
      </c>
      <c r="V4" s="95"/>
    </row>
    <row r="5" spans="1:22" ht="60" customHeight="1">
      <c r="B5" s="7" t="s">
        <v>3</v>
      </c>
      <c r="C5" s="4" t="s">
        <v>4</v>
      </c>
      <c r="D5" s="4" t="s">
        <v>5</v>
      </c>
      <c r="E5" s="4" t="s">
        <v>6</v>
      </c>
      <c r="F5" s="4" t="s">
        <v>7</v>
      </c>
      <c r="G5" s="10" t="s">
        <v>8</v>
      </c>
      <c r="L5" s="19" t="s">
        <v>9</v>
      </c>
      <c r="M5" s="18" t="s">
        <v>10</v>
      </c>
      <c r="N5" s="18"/>
      <c r="O5" s="18" t="s">
        <v>9</v>
      </c>
      <c r="P5" s="18" t="s">
        <v>10</v>
      </c>
      <c r="Q5" s="18"/>
      <c r="R5" s="18" t="s">
        <v>9</v>
      </c>
      <c r="S5" s="18" t="s">
        <v>10</v>
      </c>
      <c r="T5" s="18"/>
      <c r="U5" s="18" t="s">
        <v>9</v>
      </c>
      <c r="V5" s="20" t="s">
        <v>10</v>
      </c>
    </row>
    <row r="6" spans="1:22">
      <c r="A6" s="1" t="s">
        <v>11</v>
      </c>
      <c r="B6" s="6">
        <v>0</v>
      </c>
      <c r="C6" s="1">
        <v>0</v>
      </c>
      <c r="D6" s="1">
        <v>0</v>
      </c>
      <c r="E6" s="1">
        <v>0</v>
      </c>
      <c r="F6" s="1">
        <v>0</v>
      </c>
      <c r="G6" s="9">
        <f>SUM(AL_FINANCIAL)</f>
        <v>0</v>
      </c>
      <c r="L6" s="6"/>
      <c r="V6" s="9"/>
    </row>
    <row r="7" spans="1:22">
      <c r="A7" s="1" t="s">
        <v>12</v>
      </c>
      <c r="B7" s="6">
        <v>0</v>
      </c>
      <c r="C7" s="1">
        <v>0</v>
      </c>
      <c r="D7" s="1">
        <v>0</v>
      </c>
      <c r="E7" s="1">
        <v>0</v>
      </c>
      <c r="F7" s="1">
        <v>0</v>
      </c>
      <c r="G7" s="9">
        <f>SUM(AK_FINANCIAL)</f>
        <v>0</v>
      </c>
      <c r="I7" s="12"/>
      <c r="J7" s="15"/>
      <c r="L7" s="6"/>
      <c r="V7" s="9"/>
    </row>
    <row r="8" spans="1:22">
      <c r="A8" s="1" t="s">
        <v>13</v>
      </c>
      <c r="B8" s="6">
        <v>0</v>
      </c>
      <c r="C8" s="1">
        <v>0</v>
      </c>
      <c r="D8" s="1">
        <v>0</v>
      </c>
      <c r="E8" s="1">
        <v>0</v>
      </c>
      <c r="F8" s="1">
        <v>0</v>
      </c>
      <c r="G8" s="9">
        <f>SUM(AZ_FINANCIAL)</f>
        <v>0</v>
      </c>
      <c r="I8" s="13" t="s">
        <v>14</v>
      </c>
      <c r="J8" s="16"/>
      <c r="L8" s="6"/>
      <c r="V8" s="9"/>
    </row>
    <row r="9" spans="1:22">
      <c r="A9" s="1" t="s">
        <v>15</v>
      </c>
      <c r="B9" s="6">
        <v>0</v>
      </c>
      <c r="C9" s="1">
        <v>0</v>
      </c>
      <c r="D9" s="1">
        <v>0</v>
      </c>
      <c r="E9" s="1">
        <v>0</v>
      </c>
      <c r="F9" s="1">
        <v>0</v>
      </c>
      <c r="G9" s="9">
        <f>SUM(AR_FINANCIAL)</f>
        <v>0</v>
      </c>
      <c r="I9" s="13"/>
      <c r="J9" s="16"/>
      <c r="L9" s="6"/>
      <c r="V9" s="9"/>
    </row>
    <row r="10" spans="1:22">
      <c r="A10" s="1" t="s">
        <v>16</v>
      </c>
      <c r="B10" s="6">
        <v>0</v>
      </c>
      <c r="C10" s="1">
        <v>0</v>
      </c>
      <c r="D10" s="1">
        <v>0</v>
      </c>
      <c r="E10" s="1">
        <v>0</v>
      </c>
      <c r="F10" s="1">
        <v>0</v>
      </c>
      <c r="G10" s="9">
        <f>SUM(CA_FINANCIAL)</f>
        <v>0</v>
      </c>
      <c r="I10" s="13" t="s">
        <v>17</v>
      </c>
      <c r="J10" s="16">
        <v>179613017.95999974</v>
      </c>
      <c r="L10" s="6"/>
      <c r="V10" s="9"/>
    </row>
    <row r="11" spans="1:22">
      <c r="A11" s="1" t="s">
        <v>18</v>
      </c>
      <c r="B11" s="6">
        <v>0</v>
      </c>
      <c r="C11" s="1">
        <v>0</v>
      </c>
      <c r="D11" s="1">
        <v>0</v>
      </c>
      <c r="E11" s="1">
        <v>0</v>
      </c>
      <c r="F11" s="1">
        <v>0</v>
      </c>
      <c r="G11" s="9">
        <f>SUM(CO_FINANCIAL)</f>
        <v>0</v>
      </c>
      <c r="I11" s="13"/>
      <c r="J11" s="16"/>
      <c r="L11" s="6"/>
      <c r="V11" s="9"/>
    </row>
    <row r="12" spans="1:22">
      <c r="A12" s="1" t="s">
        <v>19</v>
      </c>
      <c r="B12" s="6">
        <v>0</v>
      </c>
      <c r="C12" s="1">
        <v>0</v>
      </c>
      <c r="D12" s="1">
        <v>0</v>
      </c>
      <c r="E12" s="1">
        <v>0</v>
      </c>
      <c r="F12" s="1">
        <v>0</v>
      </c>
      <c r="G12" s="9">
        <f>SUM(CT_FINANCIAL)</f>
        <v>0</v>
      </c>
      <c r="I12" s="13" t="s">
        <v>20</v>
      </c>
      <c r="J12" s="16"/>
      <c r="L12" s="6"/>
      <c r="V12" s="9"/>
    </row>
    <row r="13" spans="1:22">
      <c r="A13" s="1" t="s">
        <v>21</v>
      </c>
      <c r="B13" s="6">
        <v>0</v>
      </c>
      <c r="C13" s="1">
        <v>0</v>
      </c>
      <c r="D13" s="1">
        <v>0</v>
      </c>
      <c r="E13" s="1">
        <v>0</v>
      </c>
      <c r="F13" s="1">
        <v>0</v>
      </c>
      <c r="G13" s="9">
        <f>SUM(DE_FINANCIAL)</f>
        <v>0</v>
      </c>
      <c r="I13" s="13" t="s">
        <v>22</v>
      </c>
      <c r="J13" s="16">
        <v>21125677.750000019</v>
      </c>
      <c r="L13" s="6"/>
      <c r="V13" s="9"/>
    </row>
    <row r="14" spans="1:22">
      <c r="A14" s="1" t="s">
        <v>23</v>
      </c>
      <c r="B14" s="6">
        <v>0</v>
      </c>
      <c r="C14" s="1">
        <v>0</v>
      </c>
      <c r="D14" s="1">
        <v>0</v>
      </c>
      <c r="E14" s="1">
        <v>0</v>
      </c>
      <c r="F14" s="1">
        <v>0</v>
      </c>
      <c r="G14" s="9">
        <f>SUM(DC_FINANCIAL)</f>
        <v>0</v>
      </c>
      <c r="I14" s="13" t="s">
        <v>24</v>
      </c>
      <c r="J14" s="16">
        <v>3955062.5796813769</v>
      </c>
      <c r="L14" s="6"/>
      <c r="V14" s="9"/>
    </row>
    <row r="15" spans="1:22">
      <c r="A15" s="1" t="s">
        <v>25</v>
      </c>
      <c r="B15" s="6">
        <v>0</v>
      </c>
      <c r="C15" s="1">
        <v>0</v>
      </c>
      <c r="D15" s="1">
        <v>0</v>
      </c>
      <c r="E15" s="1">
        <v>0</v>
      </c>
      <c r="F15" s="1">
        <v>0</v>
      </c>
      <c r="G15" s="9">
        <f>SUM(FL_FINANCIAL)</f>
        <v>0</v>
      </c>
      <c r="I15" s="13" t="s">
        <v>26</v>
      </c>
      <c r="J15" s="16">
        <v>20655037</v>
      </c>
      <c r="L15" s="6"/>
      <c r="V15" s="9"/>
    </row>
    <row r="16" spans="1:22">
      <c r="A16" s="1" t="s">
        <v>27</v>
      </c>
      <c r="B16" s="6">
        <v>0</v>
      </c>
      <c r="C16" s="1">
        <v>0</v>
      </c>
      <c r="D16" s="1">
        <v>0</v>
      </c>
      <c r="E16" s="1">
        <v>0</v>
      </c>
      <c r="F16" s="1">
        <v>0</v>
      </c>
      <c r="G16" s="9">
        <f>SUM(GA_FINANCIAL)</f>
        <v>0</v>
      </c>
      <c r="I16" s="13" t="s">
        <v>28</v>
      </c>
      <c r="J16" s="16">
        <v>0</v>
      </c>
      <c r="L16" s="6"/>
      <c r="V16" s="9"/>
    </row>
    <row r="17" spans="1:22">
      <c r="A17" s="1" t="s">
        <v>29</v>
      </c>
      <c r="B17" s="6">
        <v>0</v>
      </c>
      <c r="C17" s="1">
        <v>0</v>
      </c>
      <c r="D17" s="1">
        <v>0</v>
      </c>
      <c r="E17" s="1">
        <v>0</v>
      </c>
      <c r="F17" s="1">
        <v>0</v>
      </c>
      <c r="G17" s="9">
        <f>SUM(HI_FINANCIAL)</f>
        <v>0</v>
      </c>
      <c r="I17" s="13"/>
      <c r="J17" s="16"/>
      <c r="L17" s="6"/>
      <c r="V17" s="9"/>
    </row>
    <row r="18" spans="1:22">
      <c r="A18" s="1" t="s">
        <v>30</v>
      </c>
      <c r="B18" s="6">
        <v>0</v>
      </c>
      <c r="C18" s="1">
        <v>0</v>
      </c>
      <c r="D18" s="1">
        <v>0</v>
      </c>
      <c r="E18" s="1">
        <v>0</v>
      </c>
      <c r="F18" s="1">
        <v>0</v>
      </c>
      <c r="G18" s="9">
        <f>SUM(ID_FINANCIAL)</f>
        <v>0</v>
      </c>
      <c r="I18" s="13" t="s">
        <v>31</v>
      </c>
      <c r="J18" s="16"/>
      <c r="L18" s="6"/>
      <c r="V18" s="9"/>
    </row>
    <row r="19" spans="1:22">
      <c r="A19" s="1" t="s">
        <v>32</v>
      </c>
      <c r="B19" s="6">
        <v>0</v>
      </c>
      <c r="C19" s="1">
        <v>0</v>
      </c>
      <c r="D19" s="1">
        <v>0</v>
      </c>
      <c r="E19" s="1">
        <v>0</v>
      </c>
      <c r="F19" s="1">
        <v>0</v>
      </c>
      <c r="G19" s="9">
        <f>SUM(IL_FINANCIAL)</f>
        <v>0</v>
      </c>
      <c r="I19" s="13" t="s">
        <v>33</v>
      </c>
      <c r="J19" s="16">
        <v>0</v>
      </c>
      <c r="L19" s="6"/>
      <c r="V19" s="9"/>
    </row>
    <row r="20" spans="1:22">
      <c r="A20" s="1" t="s">
        <v>34</v>
      </c>
      <c r="B20" s="6">
        <v>0</v>
      </c>
      <c r="C20" s="1">
        <v>0</v>
      </c>
      <c r="D20" s="1">
        <v>0</v>
      </c>
      <c r="E20" s="1">
        <v>0</v>
      </c>
      <c r="F20" s="1">
        <v>0</v>
      </c>
      <c r="G20" s="9">
        <f>SUM(IN_FINANCIAL)</f>
        <v>0</v>
      </c>
      <c r="I20" s="13" t="s">
        <v>35</v>
      </c>
      <c r="J20" s="16">
        <v>84962433.915585563</v>
      </c>
      <c r="L20" s="6"/>
      <c r="V20" s="9"/>
    </row>
    <row r="21" spans="1:22">
      <c r="A21" s="1" t="s">
        <v>36</v>
      </c>
      <c r="B21" s="6">
        <v>0</v>
      </c>
      <c r="C21" s="1">
        <v>0</v>
      </c>
      <c r="D21" s="1">
        <v>0</v>
      </c>
      <c r="E21" s="1">
        <v>0</v>
      </c>
      <c r="F21" s="1">
        <v>0</v>
      </c>
      <c r="G21" s="9">
        <f>SUM(IA_FINANCIAL)</f>
        <v>0</v>
      </c>
      <c r="I21" s="13" t="s">
        <v>37</v>
      </c>
      <c r="J21" s="16"/>
      <c r="L21" s="6"/>
      <c r="V21" s="9"/>
    </row>
    <row r="22" spans="1:22">
      <c r="A22" s="1" t="s">
        <v>38</v>
      </c>
      <c r="B22" s="6">
        <v>0</v>
      </c>
      <c r="C22" s="1">
        <v>0</v>
      </c>
      <c r="D22" s="1">
        <v>0</v>
      </c>
      <c r="E22" s="1">
        <v>0</v>
      </c>
      <c r="F22" s="1">
        <v>0</v>
      </c>
      <c r="G22" s="9">
        <f>SUM(KS_FINANCIAL)</f>
        <v>0</v>
      </c>
      <c r="I22" s="13" t="s">
        <v>39</v>
      </c>
      <c r="J22" s="16">
        <v>0</v>
      </c>
      <c r="L22" s="6"/>
      <c r="V22" s="9"/>
    </row>
    <row r="23" spans="1:22">
      <c r="A23" s="1" t="s">
        <v>40</v>
      </c>
      <c r="B23" s="6">
        <v>0</v>
      </c>
      <c r="C23" s="1">
        <v>0</v>
      </c>
      <c r="D23" s="1">
        <v>0</v>
      </c>
      <c r="E23" s="1">
        <v>0</v>
      </c>
      <c r="F23" s="1">
        <v>0</v>
      </c>
      <c r="G23" s="9">
        <f>SUM(KY_FINANCIAL)</f>
        <v>0</v>
      </c>
      <c r="I23" s="13" t="s">
        <v>41</v>
      </c>
      <c r="J23" s="16"/>
      <c r="L23" s="6"/>
      <c r="V23" s="9"/>
    </row>
    <row r="24" spans="1:22">
      <c r="A24" s="1" t="s">
        <v>42</v>
      </c>
      <c r="B24" s="6">
        <v>0</v>
      </c>
      <c r="C24" s="1">
        <v>0</v>
      </c>
      <c r="D24" s="1">
        <v>0</v>
      </c>
      <c r="E24" s="1">
        <v>0</v>
      </c>
      <c r="F24" s="1">
        <v>0</v>
      </c>
      <c r="G24" s="9">
        <f>SUM(LA_FINANCIAL)</f>
        <v>0</v>
      </c>
      <c r="I24" s="13" t="s">
        <v>43</v>
      </c>
      <c r="J24" s="16">
        <v>72847074.719999999</v>
      </c>
      <c r="L24" s="6"/>
      <c r="V24" s="9"/>
    </row>
    <row r="25" spans="1:22">
      <c r="A25" s="1" t="s">
        <v>44</v>
      </c>
      <c r="B25" s="6">
        <v>0</v>
      </c>
      <c r="C25" s="1">
        <v>0</v>
      </c>
      <c r="D25" s="1">
        <v>0</v>
      </c>
      <c r="E25" s="1">
        <v>0</v>
      </c>
      <c r="F25" s="1">
        <v>0</v>
      </c>
      <c r="G25" s="9">
        <f>SUM(ME_FINANCIAL)</f>
        <v>0</v>
      </c>
      <c r="I25" s="13"/>
      <c r="J25" s="16"/>
      <c r="L25" s="6"/>
      <c r="V25" s="9"/>
    </row>
    <row r="26" spans="1:22">
      <c r="A26" s="1" t="s">
        <v>45</v>
      </c>
      <c r="B26" s="6">
        <v>0</v>
      </c>
      <c r="C26" s="1">
        <v>0</v>
      </c>
      <c r="D26" s="1">
        <v>0</v>
      </c>
      <c r="E26" s="1">
        <v>0</v>
      </c>
      <c r="F26" s="1">
        <v>0</v>
      </c>
      <c r="G26" s="9">
        <f>SUM(MD_FINANCIAL)</f>
        <v>0</v>
      </c>
      <c r="I26" s="13" t="s">
        <v>46</v>
      </c>
      <c r="J26" s="16">
        <f>SUM(ADD_FINANCIAL)-SUM(LESS_FINANCIAL)</f>
        <v>67539286.65409559</v>
      </c>
      <c r="L26" s="6"/>
      <c r="V26" s="9"/>
    </row>
    <row r="27" spans="1:22">
      <c r="A27" s="1" t="s">
        <v>47</v>
      </c>
      <c r="B27" s="6">
        <v>0</v>
      </c>
      <c r="C27" s="1">
        <v>0</v>
      </c>
      <c r="D27" s="1">
        <v>0</v>
      </c>
      <c r="E27" s="1">
        <v>0</v>
      </c>
      <c r="F27" s="1">
        <v>0</v>
      </c>
      <c r="G27" s="9">
        <f>SUM(MA_FINANCIAL)</f>
        <v>0</v>
      </c>
      <c r="I27" s="13" t="s">
        <v>48</v>
      </c>
      <c r="J27" s="16">
        <f>SUM(ALL_BLOCKS)</f>
        <v>67539286.65409556</v>
      </c>
      <c r="L27" s="6"/>
      <c r="V27" s="9"/>
    </row>
    <row r="28" spans="1:22">
      <c r="A28" s="1" t="s">
        <v>49</v>
      </c>
      <c r="B28" s="6">
        <v>0</v>
      </c>
      <c r="C28" s="1">
        <v>0</v>
      </c>
      <c r="D28" s="1">
        <v>0</v>
      </c>
      <c r="E28" s="1">
        <v>0</v>
      </c>
      <c r="F28" s="1">
        <v>0</v>
      </c>
      <c r="G28" s="9">
        <f>SUM(MI_FINANCIAL)</f>
        <v>0</v>
      </c>
      <c r="I28" s="14"/>
      <c r="J28" s="17"/>
      <c r="L28" s="6"/>
      <c r="V28" s="9"/>
    </row>
    <row r="29" spans="1:22">
      <c r="A29" s="1" t="s">
        <v>50</v>
      </c>
      <c r="B29" s="6">
        <v>0</v>
      </c>
      <c r="C29" s="1">
        <v>0</v>
      </c>
      <c r="D29" s="1">
        <v>0</v>
      </c>
      <c r="E29" s="1">
        <v>0</v>
      </c>
      <c r="F29" s="1">
        <v>0</v>
      </c>
      <c r="G29" s="9">
        <f>SUM(MN_FINANCIAL)</f>
        <v>0</v>
      </c>
      <c r="L29" s="6"/>
      <c r="V29" s="9"/>
    </row>
    <row r="30" spans="1:22">
      <c r="A30" s="1" t="s">
        <v>51</v>
      </c>
      <c r="B30" s="6">
        <v>0</v>
      </c>
      <c r="C30" s="1">
        <v>0</v>
      </c>
      <c r="D30" s="1">
        <v>0</v>
      </c>
      <c r="E30" s="1">
        <v>0</v>
      </c>
      <c r="F30" s="1">
        <v>0</v>
      </c>
      <c r="G30" s="9">
        <f>SUM(MS_FINANCIAL)</f>
        <v>0</v>
      </c>
      <c r="L30" s="6"/>
      <c r="V30" s="9"/>
    </row>
    <row r="31" spans="1:22">
      <c r="A31" s="1" t="s">
        <v>52</v>
      </c>
      <c r="B31" s="6">
        <v>0</v>
      </c>
      <c r="C31" s="1">
        <v>0</v>
      </c>
      <c r="D31" s="1">
        <v>0</v>
      </c>
      <c r="E31" s="1">
        <v>0</v>
      </c>
      <c r="F31" s="1">
        <v>0</v>
      </c>
      <c r="G31" s="9">
        <f>SUM(MO_FINANCIAL)</f>
        <v>0</v>
      </c>
      <c r="L31" s="6"/>
      <c r="V31" s="9"/>
    </row>
    <row r="32" spans="1:22">
      <c r="A32" s="1" t="s">
        <v>53</v>
      </c>
      <c r="B32" s="6">
        <v>0</v>
      </c>
      <c r="C32" s="1">
        <v>0</v>
      </c>
      <c r="D32" s="1">
        <v>0</v>
      </c>
      <c r="E32" s="1">
        <v>0</v>
      </c>
      <c r="F32" s="1">
        <v>0</v>
      </c>
      <c r="G32" s="9">
        <f>SUM(MT_FINANCIAL)</f>
        <v>0</v>
      </c>
      <c r="L32" s="6"/>
      <c r="V32" s="9"/>
    </row>
    <row r="33" spans="1:22">
      <c r="A33" s="1" t="s">
        <v>54</v>
      </c>
      <c r="B33" s="6">
        <v>0</v>
      </c>
      <c r="C33" s="1">
        <v>0</v>
      </c>
      <c r="D33" s="1">
        <v>0</v>
      </c>
      <c r="E33" s="1">
        <v>0</v>
      </c>
      <c r="F33" s="1">
        <v>0</v>
      </c>
      <c r="G33" s="9">
        <f>SUM(NE_FINANCIAL)</f>
        <v>0</v>
      </c>
      <c r="L33" s="6"/>
      <c r="V33" s="9"/>
    </row>
    <row r="34" spans="1:22">
      <c r="A34" s="1" t="s">
        <v>55</v>
      </c>
      <c r="B34" s="6">
        <v>0</v>
      </c>
      <c r="C34" s="1">
        <v>0</v>
      </c>
      <c r="D34" s="1">
        <v>0</v>
      </c>
      <c r="E34" s="1">
        <v>0</v>
      </c>
      <c r="F34" s="1">
        <v>0</v>
      </c>
      <c r="G34" s="9">
        <f>SUM(NV_FINANCIAL)</f>
        <v>0</v>
      </c>
      <c r="L34" s="6"/>
      <c r="V34" s="9"/>
    </row>
    <row r="35" spans="1:22">
      <c r="A35" s="1" t="s">
        <v>56</v>
      </c>
      <c r="B35" s="6">
        <v>0</v>
      </c>
      <c r="C35" s="1">
        <v>0</v>
      </c>
      <c r="D35" s="1">
        <v>0</v>
      </c>
      <c r="E35" s="1">
        <v>0</v>
      </c>
      <c r="F35" s="1">
        <v>0</v>
      </c>
      <c r="G35" s="9">
        <f>SUM(NH_FINANCIAL)</f>
        <v>0</v>
      </c>
      <c r="L35" s="6"/>
      <c r="V35" s="9"/>
    </row>
    <row r="36" spans="1:22">
      <c r="A36" s="1" t="s">
        <v>57</v>
      </c>
      <c r="B36" s="6">
        <v>0</v>
      </c>
      <c r="C36" s="1">
        <v>0</v>
      </c>
      <c r="D36" s="1">
        <v>0</v>
      </c>
      <c r="E36" s="1">
        <v>0</v>
      </c>
      <c r="F36" s="1">
        <v>0</v>
      </c>
      <c r="G36" s="9">
        <f>SUM(NJ_FINANCIAL)</f>
        <v>0</v>
      </c>
      <c r="L36" s="6"/>
      <c r="V36" s="9"/>
    </row>
    <row r="37" spans="1:22">
      <c r="A37" s="1" t="s">
        <v>58</v>
      </c>
      <c r="B37" s="6">
        <v>0</v>
      </c>
      <c r="C37" s="1">
        <v>0</v>
      </c>
      <c r="D37" s="1">
        <v>0</v>
      </c>
      <c r="E37" s="1">
        <v>0</v>
      </c>
      <c r="F37" s="1">
        <v>0</v>
      </c>
      <c r="G37" s="9">
        <f>SUM(NM_FINANCIAL)</f>
        <v>0</v>
      </c>
      <c r="L37" s="6"/>
      <c r="V37" s="9"/>
    </row>
    <row r="38" spans="1:22">
      <c r="A38" s="1" t="s">
        <v>59</v>
      </c>
      <c r="B38" s="6">
        <v>0</v>
      </c>
      <c r="C38" s="1">
        <v>0</v>
      </c>
      <c r="D38" s="1">
        <v>0</v>
      </c>
      <c r="E38" s="1">
        <v>0</v>
      </c>
      <c r="F38" s="1">
        <v>0</v>
      </c>
      <c r="G38" s="9">
        <f>SUM(NY_FINANCIAL)</f>
        <v>0</v>
      </c>
      <c r="L38" s="6"/>
      <c r="V38" s="9"/>
    </row>
    <row r="39" spans="1:22">
      <c r="A39" s="1" t="s">
        <v>60</v>
      </c>
      <c r="B39" s="6">
        <v>0</v>
      </c>
      <c r="C39" s="1">
        <v>0</v>
      </c>
      <c r="D39" s="1">
        <v>0</v>
      </c>
      <c r="E39" s="1">
        <v>0</v>
      </c>
      <c r="F39" s="1">
        <v>0</v>
      </c>
      <c r="G39" s="9">
        <f>SUM(NC_FINANCIAL)</f>
        <v>0</v>
      </c>
      <c r="L39" s="6"/>
      <c r="V39" s="9"/>
    </row>
    <row r="40" spans="1:22">
      <c r="A40" s="1" t="s">
        <v>61</v>
      </c>
      <c r="B40" s="6">
        <v>0</v>
      </c>
      <c r="C40" s="1">
        <v>0</v>
      </c>
      <c r="D40" s="1">
        <v>0</v>
      </c>
      <c r="E40" s="1">
        <v>0</v>
      </c>
      <c r="F40" s="1">
        <v>0</v>
      </c>
      <c r="G40" s="9">
        <f>SUM(ND_FINANCIAL)</f>
        <v>0</v>
      </c>
      <c r="L40" s="6"/>
      <c r="V40" s="9"/>
    </row>
    <row r="41" spans="1:22">
      <c r="A41" s="1" t="s">
        <v>62</v>
      </c>
      <c r="B41" s="6">
        <v>0</v>
      </c>
      <c r="C41" s="1">
        <v>0</v>
      </c>
      <c r="D41" s="1">
        <v>0</v>
      </c>
      <c r="E41" s="1">
        <v>0</v>
      </c>
      <c r="F41" s="1">
        <v>0</v>
      </c>
      <c r="G41" s="9">
        <f>SUM(OH_FINANCIAL)</f>
        <v>0</v>
      </c>
      <c r="L41" s="6"/>
      <c r="V41" s="9"/>
    </row>
    <row r="42" spans="1:22">
      <c r="A42" s="1" t="s">
        <v>63</v>
      </c>
      <c r="B42" s="6">
        <v>0</v>
      </c>
      <c r="C42" s="1">
        <v>0</v>
      </c>
      <c r="D42" s="1">
        <v>0</v>
      </c>
      <c r="E42" s="1">
        <v>0</v>
      </c>
      <c r="F42" s="1">
        <v>0</v>
      </c>
      <c r="G42" s="9">
        <f>SUM(OK_FINANCIAL)</f>
        <v>0</v>
      </c>
      <c r="L42" s="6"/>
      <c r="V42" s="9"/>
    </row>
    <row r="43" spans="1:22">
      <c r="A43" s="1" t="s">
        <v>64</v>
      </c>
      <c r="B43" s="6">
        <v>0</v>
      </c>
      <c r="C43" s="1">
        <v>0</v>
      </c>
      <c r="D43" s="1">
        <v>0</v>
      </c>
      <c r="E43" s="1">
        <v>0</v>
      </c>
      <c r="F43" s="1">
        <v>0</v>
      </c>
      <c r="G43" s="9">
        <f>SUM(OR_FINANCIAL)</f>
        <v>0</v>
      </c>
      <c r="L43" s="6"/>
      <c r="V43" s="9"/>
    </row>
    <row r="44" spans="1:22">
      <c r="A44" s="1" t="s">
        <v>65</v>
      </c>
      <c r="B44" s="6">
        <v>0</v>
      </c>
      <c r="C44" s="1">
        <v>0</v>
      </c>
      <c r="D44" s="1">
        <v>0</v>
      </c>
      <c r="E44" s="1">
        <v>0</v>
      </c>
      <c r="F44" s="1">
        <v>0</v>
      </c>
      <c r="G44" s="9">
        <f>SUM(PA_FINANCIAL)</f>
        <v>0</v>
      </c>
      <c r="L44" s="6"/>
      <c r="V44" s="9"/>
    </row>
    <row r="45" spans="1:22">
      <c r="A45" s="1" t="s">
        <v>66</v>
      </c>
      <c r="B45" s="6">
        <v>0</v>
      </c>
      <c r="C45" s="1">
        <v>0</v>
      </c>
      <c r="D45" s="1">
        <v>0</v>
      </c>
      <c r="E45" s="1">
        <v>0</v>
      </c>
      <c r="F45" s="1">
        <v>0</v>
      </c>
      <c r="G45" s="9">
        <f>SUM(PR_FINANCIAL)</f>
        <v>0</v>
      </c>
      <c r="L45" s="6"/>
      <c r="V45" s="9"/>
    </row>
    <row r="46" spans="1:22">
      <c r="A46" s="1" t="s">
        <v>67</v>
      </c>
      <c r="B46" s="6">
        <v>0</v>
      </c>
      <c r="C46" s="1">
        <v>0</v>
      </c>
      <c r="D46" s="1">
        <v>0</v>
      </c>
      <c r="E46" s="1">
        <v>0</v>
      </c>
      <c r="F46" s="1">
        <v>0</v>
      </c>
      <c r="G46" s="9">
        <f>SUM(RI_FINANCIAL)</f>
        <v>0</v>
      </c>
      <c r="L46" s="6"/>
      <c r="V46" s="9"/>
    </row>
    <row r="47" spans="1:22">
      <c r="A47" s="1" t="s">
        <v>68</v>
      </c>
      <c r="B47" s="6">
        <v>0</v>
      </c>
      <c r="C47" s="1">
        <v>0</v>
      </c>
      <c r="D47" s="1">
        <v>0</v>
      </c>
      <c r="E47" s="1">
        <v>0</v>
      </c>
      <c r="F47" s="1">
        <v>0</v>
      </c>
      <c r="G47" s="9">
        <f>SUM(SC_FINANCIAL)</f>
        <v>0</v>
      </c>
      <c r="L47" s="6"/>
      <c r="V47" s="9"/>
    </row>
    <row r="48" spans="1:22">
      <c r="A48" s="1" t="s">
        <v>69</v>
      </c>
      <c r="B48" s="6">
        <v>0</v>
      </c>
      <c r="C48" s="1">
        <v>0</v>
      </c>
      <c r="D48" s="1">
        <v>0</v>
      </c>
      <c r="E48" s="1">
        <v>0</v>
      </c>
      <c r="F48" s="1">
        <v>0</v>
      </c>
      <c r="G48" s="9">
        <f>SUM(SD_FINANCIAL)</f>
        <v>0</v>
      </c>
      <c r="L48" s="6"/>
      <c r="V48" s="9"/>
    </row>
    <row r="49" spans="1:22">
      <c r="A49" s="1" t="s">
        <v>70</v>
      </c>
      <c r="B49" s="6">
        <v>0</v>
      </c>
      <c r="C49" s="1">
        <v>0</v>
      </c>
      <c r="D49" s="1">
        <v>0</v>
      </c>
      <c r="E49" s="1">
        <v>0</v>
      </c>
      <c r="F49" s="1">
        <v>0</v>
      </c>
      <c r="G49" s="9">
        <f>SUM(TN_FINANCIAL)</f>
        <v>0</v>
      </c>
      <c r="L49" s="6"/>
      <c r="V49" s="9"/>
    </row>
    <row r="50" spans="1:22">
      <c r="A50" s="1" t="s">
        <v>71</v>
      </c>
      <c r="B50" s="6">
        <v>67539286.65409556</v>
      </c>
      <c r="C50" s="1">
        <v>0</v>
      </c>
      <c r="D50" s="1">
        <v>0</v>
      </c>
      <c r="E50" s="1">
        <v>0</v>
      </c>
      <c r="F50" s="1">
        <v>0</v>
      </c>
      <c r="G50" s="9">
        <f>SUM(TX_FINANCIAL)</f>
        <v>67539286.65409556</v>
      </c>
      <c r="L50" s="6">
        <v>94939000</v>
      </c>
      <c r="M50" s="1">
        <v>0</v>
      </c>
      <c r="O50" s="1">
        <v>0</v>
      </c>
      <c r="P50" s="1">
        <v>0</v>
      </c>
      <c r="R50" s="1">
        <v>0</v>
      </c>
      <c r="S50" s="1">
        <v>0</v>
      </c>
      <c r="U50" s="1">
        <v>0</v>
      </c>
      <c r="V50" s="9">
        <v>0</v>
      </c>
    </row>
    <row r="51" spans="1:22">
      <c r="A51" s="1" t="s">
        <v>72</v>
      </c>
      <c r="B51" s="6">
        <v>0</v>
      </c>
      <c r="C51" s="1">
        <v>0</v>
      </c>
      <c r="D51" s="1">
        <v>0</v>
      </c>
      <c r="E51" s="1">
        <v>0</v>
      </c>
      <c r="F51" s="1">
        <v>0</v>
      </c>
      <c r="G51" s="9">
        <f>SUM(UT_FINANCIAL)</f>
        <v>0</v>
      </c>
      <c r="L51" s="6"/>
      <c r="V51" s="9"/>
    </row>
    <row r="52" spans="1:22">
      <c r="A52" s="1" t="s">
        <v>73</v>
      </c>
      <c r="B52" s="6">
        <v>0</v>
      </c>
      <c r="C52" s="1">
        <v>0</v>
      </c>
      <c r="D52" s="1">
        <v>0</v>
      </c>
      <c r="E52" s="1">
        <v>0</v>
      </c>
      <c r="F52" s="1">
        <v>0</v>
      </c>
      <c r="G52" s="9">
        <f>SUM(VT_FINANCIAL)</f>
        <v>0</v>
      </c>
      <c r="L52" s="6"/>
      <c r="V52" s="9"/>
    </row>
    <row r="53" spans="1:22">
      <c r="A53" s="1" t="s">
        <v>74</v>
      </c>
      <c r="B53" s="6">
        <v>0</v>
      </c>
      <c r="C53" s="1">
        <v>0</v>
      </c>
      <c r="D53" s="1">
        <v>0</v>
      </c>
      <c r="E53" s="1">
        <v>0</v>
      </c>
      <c r="F53" s="1">
        <v>0</v>
      </c>
      <c r="G53" s="9">
        <f>SUM(VA_FINANCIAL)</f>
        <v>0</v>
      </c>
      <c r="L53" s="6"/>
      <c r="V53" s="9"/>
    </row>
    <row r="54" spans="1:22">
      <c r="A54" s="1" t="s">
        <v>75</v>
      </c>
      <c r="B54" s="6">
        <v>0</v>
      </c>
      <c r="C54" s="1">
        <v>0</v>
      </c>
      <c r="D54" s="1">
        <v>0</v>
      </c>
      <c r="E54" s="1">
        <v>0</v>
      </c>
      <c r="F54" s="1">
        <v>0</v>
      </c>
      <c r="G54" s="9">
        <f>SUM(WA_FINANCIAL)</f>
        <v>0</v>
      </c>
      <c r="L54" s="6"/>
      <c r="V54" s="9"/>
    </row>
    <row r="55" spans="1:22">
      <c r="A55" s="1" t="s">
        <v>76</v>
      </c>
      <c r="B55" s="6">
        <v>0</v>
      </c>
      <c r="C55" s="1">
        <v>0</v>
      </c>
      <c r="D55" s="1">
        <v>0</v>
      </c>
      <c r="E55" s="1">
        <v>0</v>
      </c>
      <c r="F55" s="1">
        <v>0</v>
      </c>
      <c r="G55" s="9">
        <f>SUM(WV_FINANCIAL)</f>
        <v>0</v>
      </c>
      <c r="L55" s="6"/>
      <c r="V55" s="9"/>
    </row>
    <row r="56" spans="1:22">
      <c r="A56" s="1" t="s">
        <v>77</v>
      </c>
      <c r="B56" s="6">
        <v>0</v>
      </c>
      <c r="C56" s="1">
        <v>0</v>
      </c>
      <c r="D56" s="1">
        <v>0</v>
      </c>
      <c r="E56" s="1">
        <v>0</v>
      </c>
      <c r="F56" s="1">
        <v>0</v>
      </c>
      <c r="G56" s="9">
        <f>SUM(WI_FINANCIAL)</f>
        <v>0</v>
      </c>
      <c r="L56" s="6"/>
      <c r="V56" s="9"/>
    </row>
    <row r="57" spans="1:22">
      <c r="A57" s="1" t="s">
        <v>78</v>
      </c>
      <c r="B57" s="6">
        <v>0</v>
      </c>
      <c r="C57" s="1">
        <v>0</v>
      </c>
      <c r="D57" s="1">
        <v>0</v>
      </c>
      <c r="E57" s="1">
        <v>0</v>
      </c>
      <c r="F57" s="1">
        <v>0</v>
      </c>
      <c r="G57" s="9">
        <f>SUM(WY_FINANCIAL)</f>
        <v>0</v>
      </c>
      <c r="L57" s="6"/>
      <c r="V57" s="9"/>
    </row>
    <row r="58" spans="1:22">
      <c r="A58" s="1" t="s">
        <v>79</v>
      </c>
      <c r="B58" s="6">
        <v>0</v>
      </c>
      <c r="C58" s="1">
        <v>0</v>
      </c>
      <c r="D58" s="1">
        <v>0</v>
      </c>
      <c r="E58" s="1">
        <v>0</v>
      </c>
      <c r="F58" s="1">
        <v>0</v>
      </c>
      <c r="G58" s="9">
        <f>SUM(OT_FINANCIAL)</f>
        <v>0</v>
      </c>
      <c r="L58" s="6"/>
      <c r="V58" s="9"/>
    </row>
    <row r="59" spans="1:22">
      <c r="B59" s="6"/>
      <c r="G59" s="9"/>
      <c r="L59" s="6"/>
      <c r="V59" s="9"/>
    </row>
    <row r="60" spans="1:22">
      <c r="A60" s="1" t="s">
        <v>8</v>
      </c>
      <c r="B60" s="6">
        <f>SUM(LIFE)</f>
        <v>67539286.65409556</v>
      </c>
      <c r="C60" s="1">
        <f>SUM(ALLOCATED)</f>
        <v>0</v>
      </c>
      <c r="D60" s="1">
        <f>SUM(HEALTH)</f>
        <v>0</v>
      </c>
      <c r="E60" s="1">
        <f>SUM(UNALLOCATED)</f>
        <v>0</v>
      </c>
      <c r="F60" s="1">
        <f>SUM(LTC)</f>
        <v>0</v>
      </c>
      <c r="G60" s="9">
        <f>SUM(ALL_BLOCKS)</f>
        <v>67539286.65409556</v>
      </c>
      <c r="L60" s="6">
        <f>SUM(LIFE_CALLED)</f>
        <v>94939000</v>
      </c>
      <c r="M60" s="1">
        <f>SUM(LIFE_REFUNDED)</f>
        <v>0</v>
      </c>
      <c r="O60" s="1">
        <f>SUM(ALLOC_CALLED)</f>
        <v>0</v>
      </c>
      <c r="P60" s="1">
        <f>SUM(ALLOC_REFUNDED)</f>
        <v>0</v>
      </c>
      <c r="R60" s="1">
        <f>SUM(HEALTH_CALLED)</f>
        <v>0</v>
      </c>
      <c r="S60" s="1">
        <f>SUM(HEALTH_REFUNDED)</f>
        <v>0</v>
      </c>
      <c r="U60" s="1">
        <f>SUM(UNALLOC_CALLED)</f>
        <v>0</v>
      </c>
      <c r="V60" s="9">
        <f>SUM(UNALLOC_REFUNDED)</f>
        <v>0</v>
      </c>
    </row>
    <row r="61" spans="1:22" ht="5.0999999999999996" customHeight="1">
      <c r="B61" s="6"/>
      <c r="G61" s="9"/>
      <c r="L61" s="6"/>
      <c r="V61" s="9"/>
    </row>
    <row r="62" spans="1:22">
      <c r="B62" s="6"/>
      <c r="G62" s="9"/>
      <c r="L62" s="78" t="s">
        <v>80</v>
      </c>
      <c r="M62" s="79"/>
      <c r="N62" s="79"/>
      <c r="O62" s="79"/>
      <c r="P62" s="79"/>
      <c r="Q62" s="79"/>
      <c r="R62" s="79"/>
      <c r="S62" s="79"/>
      <c r="T62" s="79"/>
      <c r="U62" s="79"/>
      <c r="V62" s="80"/>
    </row>
    <row r="63" spans="1:22">
      <c r="B63" s="6"/>
      <c r="G63" s="9"/>
      <c r="L63" s="81"/>
      <c r="M63" s="79"/>
      <c r="N63" s="79"/>
      <c r="O63" s="79"/>
      <c r="P63" s="79"/>
      <c r="Q63" s="79"/>
      <c r="R63" s="79"/>
      <c r="S63" s="79"/>
      <c r="T63" s="79"/>
      <c r="U63" s="79"/>
      <c r="V63" s="80"/>
    </row>
    <row r="64" spans="1:22">
      <c r="B64" s="8"/>
      <c r="C64" s="5"/>
      <c r="D64" s="5"/>
      <c r="E64" s="5"/>
      <c r="F64" s="5"/>
      <c r="G64" s="11"/>
      <c r="L64" s="82"/>
      <c r="M64" s="83"/>
      <c r="N64" s="83"/>
      <c r="O64" s="83"/>
      <c r="P64" s="83"/>
      <c r="Q64" s="83"/>
      <c r="R64" s="83"/>
      <c r="S64" s="83"/>
      <c r="T64" s="83"/>
      <c r="U64" s="83"/>
      <c r="V64" s="84"/>
    </row>
  </sheetData>
  <mergeCells count="8">
    <mergeCell ref="L62:V64"/>
    <mergeCell ref="A1:G1"/>
    <mergeCell ref="B3:G3"/>
    <mergeCell ref="L3:V3"/>
    <mergeCell ref="L4:M4"/>
    <mergeCell ref="O4:P4"/>
    <mergeCell ref="R4:S4"/>
    <mergeCell ref="U4:V4"/>
  </mergeCells>
  <pageMargins left="0" right="0" top="0" bottom="0" header="0" footer="0"/>
  <pageSetup scale="48"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pageSetUpPr fitToPage="1"/>
  </sheetPr>
  <dimension ref="A1:V64"/>
  <sheetViews>
    <sheetView zoomScale="75" workbookViewId="0">
      <selection sqref="A1:G1"/>
    </sheetView>
  </sheetViews>
  <sheetFormatPr defaultColWidth="9.109375" defaultRowHeight="14.4"/>
  <cols>
    <col min="1" max="1" width="20" style="1" customWidth="1"/>
    <col min="2" max="7" width="15" style="1" customWidth="1"/>
    <col min="8" max="8" width="1" style="1" customWidth="1"/>
    <col min="9" max="9" width="30" style="1" customWidth="1"/>
    <col min="10" max="10" width="15" style="1" customWidth="1"/>
    <col min="11" max="11" width="1" style="1" customWidth="1"/>
    <col min="12" max="13" width="15" style="1" customWidth="1"/>
    <col min="14" max="14" width="1" style="1" customWidth="1"/>
    <col min="15" max="16" width="15" style="1" customWidth="1"/>
    <col min="17" max="17" width="1" style="1" customWidth="1"/>
    <col min="18" max="19" width="15" style="1" customWidth="1"/>
    <col min="20" max="20" width="1" style="1" customWidth="1"/>
    <col min="21" max="22" width="15" style="1" customWidth="1"/>
    <col min="23" max="23" width="9.109375" style="1" customWidth="1"/>
    <col min="24" max="16384" width="9.109375" style="1"/>
  </cols>
  <sheetData>
    <row r="1" spans="1:22">
      <c r="A1" s="85" t="s">
        <v>143</v>
      </c>
      <c r="B1" s="79"/>
      <c r="C1" s="79"/>
      <c r="D1" s="79"/>
      <c r="E1" s="79"/>
      <c r="F1" s="79"/>
      <c r="G1" s="79"/>
    </row>
    <row r="3" spans="1:22">
      <c r="B3" s="86" t="s">
        <v>1</v>
      </c>
      <c r="C3" s="87"/>
      <c r="D3" s="87"/>
      <c r="E3" s="87"/>
      <c r="F3" s="87"/>
      <c r="G3" s="88"/>
      <c r="L3" s="89" t="s">
        <v>2</v>
      </c>
      <c r="M3" s="90"/>
      <c r="N3" s="90"/>
      <c r="O3" s="90"/>
      <c r="P3" s="90"/>
      <c r="Q3" s="90"/>
      <c r="R3" s="90"/>
      <c r="S3" s="90"/>
      <c r="T3" s="90"/>
      <c r="U3" s="90"/>
      <c r="V3" s="91"/>
    </row>
    <row r="4" spans="1:22">
      <c r="B4" s="6"/>
      <c r="G4" s="9"/>
      <c r="L4" s="92" t="s">
        <v>3</v>
      </c>
      <c r="M4" s="93"/>
      <c r="N4" s="3"/>
      <c r="O4" s="94" t="s">
        <v>4</v>
      </c>
      <c r="P4" s="93"/>
      <c r="Q4" s="3"/>
      <c r="R4" s="94" t="s">
        <v>5</v>
      </c>
      <c r="S4" s="93"/>
      <c r="T4" s="3"/>
      <c r="U4" s="94" t="s">
        <v>6</v>
      </c>
      <c r="V4" s="95"/>
    </row>
    <row r="5" spans="1:22" ht="60" customHeight="1">
      <c r="B5" s="7" t="s">
        <v>3</v>
      </c>
      <c r="C5" s="4" t="s">
        <v>4</v>
      </c>
      <c r="D5" s="4" t="s">
        <v>5</v>
      </c>
      <c r="E5" s="4" t="s">
        <v>6</v>
      </c>
      <c r="F5" s="4" t="s">
        <v>7</v>
      </c>
      <c r="G5" s="10" t="s">
        <v>8</v>
      </c>
      <c r="L5" s="19" t="s">
        <v>9</v>
      </c>
      <c r="M5" s="18" t="s">
        <v>10</v>
      </c>
      <c r="N5" s="18"/>
      <c r="O5" s="18" t="s">
        <v>9</v>
      </c>
      <c r="P5" s="18" t="s">
        <v>10</v>
      </c>
      <c r="Q5" s="18"/>
      <c r="R5" s="18" t="s">
        <v>9</v>
      </c>
      <c r="S5" s="18" t="s">
        <v>10</v>
      </c>
      <c r="T5" s="18"/>
      <c r="U5" s="18" t="s">
        <v>9</v>
      </c>
      <c r="V5" s="20" t="s">
        <v>10</v>
      </c>
    </row>
    <row r="6" spans="1:22">
      <c r="A6" s="1" t="s">
        <v>11</v>
      </c>
      <c r="B6" s="6">
        <v>4590.9032556664561</v>
      </c>
      <c r="C6" s="1">
        <v>0</v>
      </c>
      <c r="D6" s="1">
        <v>27.119196576942176</v>
      </c>
      <c r="E6" s="1">
        <v>0</v>
      </c>
      <c r="F6" s="1">
        <v>0</v>
      </c>
      <c r="G6" s="9">
        <f>SUM(AL_FINANCIAL)</f>
        <v>4618.0224522433982</v>
      </c>
      <c r="L6" s="6"/>
      <c r="V6" s="9"/>
    </row>
    <row r="7" spans="1:22">
      <c r="A7" s="1" t="s">
        <v>12</v>
      </c>
      <c r="B7" s="6">
        <v>0</v>
      </c>
      <c r="C7" s="1">
        <v>0</v>
      </c>
      <c r="D7" s="1">
        <v>0</v>
      </c>
      <c r="E7" s="1">
        <v>0</v>
      </c>
      <c r="F7" s="1">
        <v>0</v>
      </c>
      <c r="G7" s="9">
        <f>SUM(AK_FINANCIAL)</f>
        <v>0</v>
      </c>
      <c r="I7" s="12"/>
      <c r="J7" s="15"/>
      <c r="L7" s="6"/>
      <c r="V7" s="9"/>
    </row>
    <row r="8" spans="1:22">
      <c r="A8" s="1" t="s">
        <v>13</v>
      </c>
      <c r="B8" s="6">
        <v>7270.1855066050293</v>
      </c>
      <c r="C8" s="1">
        <v>2.3521937877232952</v>
      </c>
      <c r="D8" s="1">
        <v>4.4976796365254517</v>
      </c>
      <c r="E8" s="1">
        <v>0</v>
      </c>
      <c r="F8" s="1">
        <v>0</v>
      </c>
      <c r="G8" s="9">
        <f>SUM(AZ_FINANCIAL)</f>
        <v>7277.0353800292778</v>
      </c>
      <c r="I8" s="13" t="s">
        <v>14</v>
      </c>
      <c r="J8" s="16"/>
      <c r="L8" s="6"/>
      <c r="V8" s="9"/>
    </row>
    <row r="9" spans="1:22">
      <c r="A9" s="1" t="s">
        <v>15</v>
      </c>
      <c r="B9" s="6">
        <v>5605.6272918500235</v>
      </c>
      <c r="C9" s="1">
        <v>0</v>
      </c>
      <c r="D9" s="1">
        <v>3.3999785339563857</v>
      </c>
      <c r="E9" s="1">
        <v>0</v>
      </c>
      <c r="F9" s="1">
        <v>0</v>
      </c>
      <c r="G9" s="9">
        <f>SUM(AR_FINANCIAL)</f>
        <v>5609.0272703839801</v>
      </c>
      <c r="I9" s="13"/>
      <c r="J9" s="16"/>
      <c r="L9" s="6">
        <v>9571</v>
      </c>
      <c r="M9" s="1">
        <v>0</v>
      </c>
      <c r="O9" s="1">
        <v>0</v>
      </c>
      <c r="P9" s="1">
        <v>0</v>
      </c>
      <c r="R9" s="1">
        <v>0</v>
      </c>
      <c r="S9" s="1">
        <v>0</v>
      </c>
      <c r="U9" s="1">
        <v>0</v>
      </c>
      <c r="V9" s="9">
        <v>0</v>
      </c>
    </row>
    <row r="10" spans="1:22">
      <c r="A10" s="1" t="s">
        <v>16</v>
      </c>
      <c r="B10" s="6">
        <v>43641.52129052634</v>
      </c>
      <c r="C10" s="1">
        <v>0</v>
      </c>
      <c r="D10" s="1">
        <v>2.6909021351687188</v>
      </c>
      <c r="E10" s="1">
        <v>0</v>
      </c>
      <c r="F10" s="1">
        <v>0</v>
      </c>
      <c r="G10" s="9">
        <f>SUM(CA_FINANCIAL)</f>
        <v>43644.212192661507</v>
      </c>
      <c r="I10" s="13" t="s">
        <v>17</v>
      </c>
      <c r="J10" s="16">
        <v>0</v>
      </c>
      <c r="L10" s="6"/>
      <c r="V10" s="9"/>
    </row>
    <row r="11" spans="1:22">
      <c r="A11" s="1" t="s">
        <v>18</v>
      </c>
      <c r="B11" s="6">
        <v>15115.580143595094</v>
      </c>
      <c r="C11" s="1">
        <v>0</v>
      </c>
      <c r="D11" s="1">
        <v>1.4933537118440305</v>
      </c>
      <c r="E11" s="1">
        <v>0</v>
      </c>
      <c r="F11" s="1">
        <v>0</v>
      </c>
      <c r="G11" s="9">
        <f>SUM(CO_FINANCIAL)</f>
        <v>15117.073497306937</v>
      </c>
      <c r="I11" s="13"/>
      <c r="J11" s="16"/>
      <c r="L11" s="6"/>
      <c r="V11" s="9"/>
    </row>
    <row r="12" spans="1:22">
      <c r="A12" s="1" t="s">
        <v>19</v>
      </c>
      <c r="B12" s="6">
        <v>0</v>
      </c>
      <c r="C12" s="1">
        <v>0</v>
      </c>
      <c r="D12" s="1">
        <v>0</v>
      </c>
      <c r="E12" s="1">
        <v>0</v>
      </c>
      <c r="F12" s="1">
        <v>0</v>
      </c>
      <c r="G12" s="9">
        <f>SUM(CT_FINANCIAL)</f>
        <v>0</v>
      </c>
      <c r="I12" s="13" t="s">
        <v>20</v>
      </c>
      <c r="J12" s="16"/>
      <c r="L12" s="6"/>
      <c r="V12" s="9"/>
    </row>
    <row r="13" spans="1:22">
      <c r="A13" s="1" t="s">
        <v>21</v>
      </c>
      <c r="B13" s="6">
        <v>0</v>
      </c>
      <c r="C13" s="1">
        <v>0</v>
      </c>
      <c r="D13" s="1">
        <v>0</v>
      </c>
      <c r="E13" s="1">
        <v>0</v>
      </c>
      <c r="F13" s="1">
        <v>0</v>
      </c>
      <c r="G13" s="9">
        <f>SUM(DE_FINANCIAL)</f>
        <v>0</v>
      </c>
      <c r="I13" s="13" t="s">
        <v>22</v>
      </c>
      <c r="J13" s="16">
        <v>0</v>
      </c>
      <c r="L13" s="6"/>
      <c r="V13" s="9"/>
    </row>
    <row r="14" spans="1:22">
      <c r="A14" s="1" t="s">
        <v>23</v>
      </c>
      <c r="B14" s="6">
        <v>0</v>
      </c>
      <c r="C14" s="1">
        <v>0</v>
      </c>
      <c r="D14" s="1">
        <v>0</v>
      </c>
      <c r="E14" s="1">
        <v>0</v>
      </c>
      <c r="F14" s="1">
        <v>0</v>
      </c>
      <c r="G14" s="9">
        <f>SUM(DC_FINANCIAL)</f>
        <v>0</v>
      </c>
      <c r="I14" s="13" t="s">
        <v>24</v>
      </c>
      <c r="J14" s="16">
        <v>0</v>
      </c>
      <c r="L14" s="6"/>
      <c r="V14" s="9"/>
    </row>
    <row r="15" spans="1:22">
      <c r="A15" s="1" t="s">
        <v>25</v>
      </c>
      <c r="B15" s="6">
        <v>23745.612867917898</v>
      </c>
      <c r="C15" s="1">
        <v>67.00394291873215</v>
      </c>
      <c r="D15" s="1">
        <v>0.49896553237353736</v>
      </c>
      <c r="E15" s="1">
        <v>0</v>
      </c>
      <c r="F15" s="1">
        <v>0</v>
      </c>
      <c r="G15" s="9">
        <f>SUM(FL_FINANCIAL)</f>
        <v>23813.115776369003</v>
      </c>
      <c r="I15" s="13" t="s">
        <v>26</v>
      </c>
      <c r="J15" s="16">
        <v>368170.78999999992</v>
      </c>
      <c r="L15" s="6"/>
      <c r="V15" s="9"/>
    </row>
    <row r="16" spans="1:22">
      <c r="A16" s="1" t="s">
        <v>27</v>
      </c>
      <c r="B16" s="6">
        <v>14699.036369696247</v>
      </c>
      <c r="C16" s="1">
        <v>0</v>
      </c>
      <c r="D16" s="1">
        <v>2.0351050612658153</v>
      </c>
      <c r="E16" s="1">
        <v>0</v>
      </c>
      <c r="F16" s="1">
        <v>0</v>
      </c>
      <c r="G16" s="9">
        <f>SUM(GA_FINANCIAL)</f>
        <v>14701.071474757513</v>
      </c>
      <c r="I16" s="13" t="s">
        <v>28</v>
      </c>
      <c r="J16" s="16">
        <v>0</v>
      </c>
      <c r="L16" s="6"/>
      <c r="V16" s="9"/>
    </row>
    <row r="17" spans="1:22">
      <c r="A17" s="1" t="s">
        <v>29</v>
      </c>
      <c r="B17" s="6">
        <v>0</v>
      </c>
      <c r="C17" s="1">
        <v>0</v>
      </c>
      <c r="D17" s="1">
        <v>0</v>
      </c>
      <c r="E17" s="1">
        <v>0</v>
      </c>
      <c r="F17" s="1">
        <v>0</v>
      </c>
      <c r="G17" s="9">
        <f>SUM(HI_FINANCIAL)</f>
        <v>0</v>
      </c>
      <c r="I17" s="13"/>
      <c r="J17" s="16"/>
      <c r="L17" s="6"/>
      <c r="V17" s="9"/>
    </row>
    <row r="18" spans="1:22">
      <c r="A18" s="1" t="s">
        <v>30</v>
      </c>
      <c r="B18" s="6">
        <v>141.0006855275702</v>
      </c>
      <c r="C18" s="1">
        <v>0</v>
      </c>
      <c r="D18" s="1">
        <v>0</v>
      </c>
      <c r="E18" s="1">
        <v>0</v>
      </c>
      <c r="F18" s="1">
        <v>0</v>
      </c>
      <c r="G18" s="9">
        <f>SUM(ID_FINANCIAL)</f>
        <v>141.0006855275702</v>
      </c>
      <c r="I18" s="13" t="s">
        <v>31</v>
      </c>
      <c r="J18" s="16"/>
      <c r="L18" s="6"/>
      <c r="V18" s="9"/>
    </row>
    <row r="19" spans="1:22">
      <c r="A19" s="1" t="s">
        <v>32</v>
      </c>
      <c r="B19" s="6">
        <v>2385.0115956259215</v>
      </c>
      <c r="C19" s="1">
        <v>0</v>
      </c>
      <c r="D19" s="1">
        <v>0</v>
      </c>
      <c r="E19" s="1">
        <v>0</v>
      </c>
      <c r="F19" s="1">
        <v>0</v>
      </c>
      <c r="G19" s="9">
        <f>SUM(IL_FINANCIAL)</f>
        <v>2385.0115956259215</v>
      </c>
      <c r="I19" s="13" t="s">
        <v>33</v>
      </c>
      <c r="J19" s="16">
        <v>0</v>
      </c>
      <c r="L19" s="6"/>
      <c r="V19" s="9"/>
    </row>
    <row r="20" spans="1:22">
      <c r="A20" s="1" t="s">
        <v>34</v>
      </c>
      <c r="B20" s="6">
        <v>2080.7249368805496</v>
      </c>
      <c r="C20" s="1">
        <v>0</v>
      </c>
      <c r="D20" s="1">
        <v>0.28518072848302778</v>
      </c>
      <c r="E20" s="1">
        <v>0</v>
      </c>
      <c r="F20" s="1">
        <v>0</v>
      </c>
      <c r="G20" s="9">
        <f>SUM(IN_FINANCIAL)</f>
        <v>2081.0101176090325</v>
      </c>
      <c r="I20" s="13" t="s">
        <v>35</v>
      </c>
      <c r="J20" s="16">
        <v>0</v>
      </c>
      <c r="L20" s="6"/>
      <c r="V20" s="9"/>
    </row>
    <row r="21" spans="1:22">
      <c r="A21" s="1" t="s">
        <v>36</v>
      </c>
      <c r="B21" s="6">
        <v>358.00174055936259</v>
      </c>
      <c r="C21" s="1">
        <v>0</v>
      </c>
      <c r="D21" s="1">
        <v>0</v>
      </c>
      <c r="E21" s="1">
        <v>0</v>
      </c>
      <c r="F21" s="1">
        <v>0</v>
      </c>
      <c r="G21" s="9">
        <f>SUM(IA_FINANCIAL)</f>
        <v>358.00174055936259</v>
      </c>
      <c r="I21" s="13" t="s">
        <v>37</v>
      </c>
      <c r="J21" s="16"/>
      <c r="L21" s="6"/>
      <c r="V21" s="9"/>
    </row>
    <row r="22" spans="1:22">
      <c r="A22" s="1" t="s">
        <v>38</v>
      </c>
      <c r="B22" s="6">
        <v>9066.7324998194326</v>
      </c>
      <c r="C22" s="1">
        <v>0</v>
      </c>
      <c r="D22" s="1">
        <v>1.3115878685555531</v>
      </c>
      <c r="E22" s="1">
        <v>0</v>
      </c>
      <c r="F22" s="1">
        <v>0</v>
      </c>
      <c r="G22" s="9">
        <f>SUM(KS_FINANCIAL)</f>
        <v>9068.0440876879875</v>
      </c>
      <c r="I22" s="13" t="s">
        <v>39</v>
      </c>
      <c r="J22" s="16">
        <v>0</v>
      </c>
      <c r="L22" s="6"/>
      <c r="V22" s="9"/>
    </row>
    <row r="23" spans="1:22">
      <c r="A23" s="1" t="s">
        <v>40</v>
      </c>
      <c r="B23" s="6">
        <v>2444.0118824778833</v>
      </c>
      <c r="C23" s="1">
        <v>0</v>
      </c>
      <c r="D23" s="1">
        <v>0</v>
      </c>
      <c r="E23" s="1">
        <v>0</v>
      </c>
      <c r="F23" s="1">
        <v>0</v>
      </c>
      <c r="G23" s="9">
        <f>SUM(KY_FINANCIAL)</f>
        <v>2444.0118824778833</v>
      </c>
      <c r="I23" s="13" t="s">
        <v>41</v>
      </c>
      <c r="J23" s="16"/>
      <c r="L23" s="6"/>
      <c r="V23" s="9"/>
    </row>
    <row r="24" spans="1:22">
      <c r="A24" s="1" t="s">
        <v>42</v>
      </c>
      <c r="B24" s="6">
        <v>9564.7628670302474</v>
      </c>
      <c r="C24" s="1">
        <v>0</v>
      </c>
      <c r="D24" s="1">
        <v>6.2836661922646888</v>
      </c>
      <c r="E24" s="1">
        <v>0</v>
      </c>
      <c r="F24" s="1">
        <v>0</v>
      </c>
      <c r="G24" s="9">
        <f>SUM(LA_FINANCIAL)</f>
        <v>9571.0465332225122</v>
      </c>
      <c r="I24" s="13" t="s">
        <v>43</v>
      </c>
      <c r="J24" s="16">
        <v>0</v>
      </c>
      <c r="L24" s="6"/>
      <c r="V24" s="9"/>
    </row>
    <row r="25" spans="1:22">
      <c r="A25" s="1" t="s">
        <v>44</v>
      </c>
      <c r="B25" s="6">
        <v>0</v>
      </c>
      <c r="C25" s="1">
        <v>0</v>
      </c>
      <c r="D25" s="1">
        <v>0</v>
      </c>
      <c r="E25" s="1">
        <v>0</v>
      </c>
      <c r="F25" s="1">
        <v>0</v>
      </c>
      <c r="G25" s="9">
        <f>SUM(ME_FINANCIAL)</f>
        <v>0</v>
      </c>
      <c r="I25" s="13"/>
      <c r="J25" s="16"/>
      <c r="L25" s="6"/>
      <c r="V25" s="9"/>
    </row>
    <row r="26" spans="1:22">
      <c r="A26" s="1" t="s">
        <v>45</v>
      </c>
      <c r="B26" s="6">
        <v>0</v>
      </c>
      <c r="C26" s="1">
        <v>0</v>
      </c>
      <c r="D26" s="1">
        <v>0</v>
      </c>
      <c r="E26" s="1">
        <v>0</v>
      </c>
      <c r="F26" s="1">
        <v>0</v>
      </c>
      <c r="G26" s="9">
        <f>SUM(MD_FINANCIAL)</f>
        <v>0</v>
      </c>
      <c r="I26" s="13" t="s">
        <v>46</v>
      </c>
      <c r="J26" s="16">
        <f>SUM(ADD_FINANCIAL)-SUM(LESS_FINANCIAL)</f>
        <v>368170.78999999992</v>
      </c>
      <c r="L26" s="6"/>
      <c r="V26" s="9"/>
    </row>
    <row r="27" spans="1:22">
      <c r="A27" s="1" t="s">
        <v>47</v>
      </c>
      <c r="B27" s="6">
        <v>0</v>
      </c>
      <c r="C27" s="1">
        <v>0</v>
      </c>
      <c r="D27" s="1">
        <v>0</v>
      </c>
      <c r="E27" s="1">
        <v>0</v>
      </c>
      <c r="F27" s="1">
        <v>0</v>
      </c>
      <c r="G27" s="9">
        <f>SUM(MA_FINANCIAL)</f>
        <v>0</v>
      </c>
      <c r="I27" s="13" t="s">
        <v>48</v>
      </c>
      <c r="J27" s="16">
        <f>SUM(ALL_BLOCKS)</f>
        <v>368170.78999999992</v>
      </c>
      <c r="L27" s="6"/>
      <c r="V27" s="9"/>
    </row>
    <row r="28" spans="1:22">
      <c r="A28" s="1" t="s">
        <v>49</v>
      </c>
      <c r="B28" s="6">
        <v>589.40386273680508</v>
      </c>
      <c r="C28" s="1">
        <v>0</v>
      </c>
      <c r="D28" s="1">
        <v>0.59900578281490346</v>
      </c>
      <c r="E28" s="1">
        <v>0</v>
      </c>
      <c r="F28" s="1">
        <v>0</v>
      </c>
      <c r="G28" s="9">
        <f>SUM(MI_FINANCIAL)</f>
        <v>590.00286851961994</v>
      </c>
      <c r="I28" s="14"/>
      <c r="J28" s="17"/>
      <c r="L28" s="6"/>
      <c r="V28" s="9"/>
    </row>
    <row r="29" spans="1:22">
      <c r="A29" s="1" t="s">
        <v>50</v>
      </c>
      <c r="B29" s="6">
        <v>201.00097724142987</v>
      </c>
      <c r="C29" s="1">
        <v>0</v>
      </c>
      <c r="D29" s="1">
        <v>0</v>
      </c>
      <c r="E29" s="1">
        <v>0</v>
      </c>
      <c r="F29" s="1">
        <v>0</v>
      </c>
      <c r="G29" s="9">
        <f>SUM(MN_FINANCIAL)</f>
        <v>201.00097724142987</v>
      </c>
      <c r="L29" s="6"/>
      <c r="V29" s="9"/>
    </row>
    <row r="30" spans="1:22">
      <c r="A30" s="1" t="s">
        <v>51</v>
      </c>
      <c r="B30" s="6">
        <v>2399.0116636924886</v>
      </c>
      <c r="C30" s="1">
        <v>0</v>
      </c>
      <c r="D30" s="1">
        <v>0</v>
      </c>
      <c r="E30" s="1">
        <v>0</v>
      </c>
      <c r="F30" s="1">
        <v>0</v>
      </c>
      <c r="G30" s="9">
        <f>SUM(MS_FINANCIAL)</f>
        <v>2399.0116636924886</v>
      </c>
      <c r="L30" s="6"/>
      <c r="V30" s="9"/>
    </row>
    <row r="31" spans="1:22">
      <c r="A31" s="1" t="s">
        <v>52</v>
      </c>
      <c r="B31" s="6">
        <v>11042.834355701316</v>
      </c>
      <c r="C31" s="1">
        <v>2.8797969237811851</v>
      </c>
      <c r="D31" s="1">
        <v>3.3395664821571418</v>
      </c>
      <c r="E31" s="1">
        <v>0</v>
      </c>
      <c r="F31" s="1">
        <v>0</v>
      </c>
      <c r="G31" s="9">
        <f>SUM(MO_FINANCIAL)</f>
        <v>11049.053719107253</v>
      </c>
      <c r="L31" s="6"/>
      <c r="V31" s="9"/>
    </row>
    <row r="32" spans="1:22">
      <c r="A32" s="1" t="s">
        <v>53</v>
      </c>
      <c r="B32" s="6">
        <v>100.00048618976608</v>
      </c>
      <c r="C32" s="1">
        <v>0</v>
      </c>
      <c r="D32" s="1">
        <v>0</v>
      </c>
      <c r="E32" s="1">
        <v>0</v>
      </c>
      <c r="F32" s="1">
        <v>0</v>
      </c>
      <c r="G32" s="9">
        <f>SUM(MT_FINANCIAL)</f>
        <v>100.00048618976608</v>
      </c>
      <c r="L32" s="6"/>
      <c r="V32" s="9"/>
    </row>
    <row r="33" spans="1:22">
      <c r="A33" s="1" t="s">
        <v>54</v>
      </c>
      <c r="B33" s="6">
        <v>439.00213437307309</v>
      </c>
      <c r="C33" s="1">
        <v>0</v>
      </c>
      <c r="D33" s="1">
        <v>0</v>
      </c>
      <c r="E33" s="1">
        <v>0</v>
      </c>
      <c r="F33" s="1">
        <v>0</v>
      </c>
      <c r="G33" s="9">
        <f>SUM(NE_FINANCIAL)</f>
        <v>439.00213437307309</v>
      </c>
      <c r="L33" s="6"/>
      <c r="V33" s="9"/>
    </row>
    <row r="34" spans="1:22">
      <c r="A34" s="1" t="s">
        <v>55</v>
      </c>
      <c r="B34" s="6">
        <v>1572.483643395401</v>
      </c>
      <c r="C34" s="1">
        <v>0</v>
      </c>
      <c r="D34" s="1">
        <v>0.52400436961980523</v>
      </c>
      <c r="E34" s="1">
        <v>0</v>
      </c>
      <c r="F34" s="1">
        <v>0</v>
      </c>
      <c r="G34" s="9">
        <f>SUM(NV_FINANCIAL)</f>
        <v>1573.0076477650209</v>
      </c>
      <c r="L34" s="6"/>
      <c r="V34" s="9"/>
    </row>
    <row r="35" spans="1:22">
      <c r="A35" s="1" t="s">
        <v>56</v>
      </c>
      <c r="B35" s="6">
        <v>0</v>
      </c>
      <c r="C35" s="1">
        <v>0</v>
      </c>
      <c r="D35" s="1">
        <v>0</v>
      </c>
      <c r="E35" s="1">
        <v>0</v>
      </c>
      <c r="F35" s="1">
        <v>0</v>
      </c>
      <c r="G35" s="9">
        <f>SUM(NH_FINANCIAL)</f>
        <v>0</v>
      </c>
      <c r="L35" s="6"/>
      <c r="V35" s="9"/>
    </row>
    <row r="36" spans="1:22">
      <c r="A36" s="1" t="s">
        <v>57</v>
      </c>
      <c r="B36" s="6">
        <v>0</v>
      </c>
      <c r="C36" s="1">
        <v>0</v>
      </c>
      <c r="D36" s="1">
        <v>0</v>
      </c>
      <c r="E36" s="1">
        <v>0</v>
      </c>
      <c r="F36" s="1">
        <v>0</v>
      </c>
      <c r="G36" s="9">
        <f>SUM(NJ_FINANCIAL)</f>
        <v>0</v>
      </c>
      <c r="L36" s="6"/>
      <c r="V36" s="9"/>
    </row>
    <row r="37" spans="1:22">
      <c r="A37" s="1" t="s">
        <v>58</v>
      </c>
      <c r="B37" s="6">
        <v>3027.0147169642196</v>
      </c>
      <c r="C37" s="1">
        <v>0</v>
      </c>
      <c r="D37" s="1">
        <v>0</v>
      </c>
      <c r="E37" s="1">
        <v>0</v>
      </c>
      <c r="F37" s="1">
        <v>0</v>
      </c>
      <c r="G37" s="9">
        <f>SUM(NM_FINANCIAL)</f>
        <v>3027.0147169642196</v>
      </c>
      <c r="L37" s="6"/>
      <c r="V37" s="9"/>
    </row>
    <row r="38" spans="1:22">
      <c r="A38" s="1" t="s">
        <v>59</v>
      </c>
      <c r="B38" s="6">
        <v>0</v>
      </c>
      <c r="C38" s="1">
        <v>0</v>
      </c>
      <c r="D38" s="1">
        <v>0</v>
      </c>
      <c r="E38" s="1">
        <v>0</v>
      </c>
      <c r="F38" s="1">
        <v>0</v>
      </c>
      <c r="G38" s="9">
        <f>SUM(NY_FINANCIAL)</f>
        <v>0</v>
      </c>
      <c r="L38" s="6"/>
      <c r="V38" s="9"/>
    </row>
    <row r="39" spans="1:22">
      <c r="A39" s="1" t="s">
        <v>60</v>
      </c>
      <c r="B39" s="6">
        <v>9935.6099327737338</v>
      </c>
      <c r="C39" s="1">
        <v>0</v>
      </c>
      <c r="D39" s="1">
        <v>0.43837504142450701</v>
      </c>
      <c r="E39" s="1">
        <v>0</v>
      </c>
      <c r="F39" s="1">
        <v>0</v>
      </c>
      <c r="G39" s="9">
        <f>SUM(NC_FINANCIAL)</f>
        <v>9936.0483078151592</v>
      </c>
      <c r="L39" s="6"/>
      <c r="V39" s="9"/>
    </row>
    <row r="40" spans="1:22">
      <c r="A40" s="1" t="s">
        <v>61</v>
      </c>
      <c r="B40" s="6">
        <v>35.00017016641813</v>
      </c>
      <c r="C40" s="1">
        <v>0</v>
      </c>
      <c r="D40" s="1">
        <v>0</v>
      </c>
      <c r="E40" s="1">
        <v>0</v>
      </c>
      <c r="F40" s="1">
        <v>0</v>
      </c>
      <c r="G40" s="9">
        <f>SUM(ND_FINANCIAL)</f>
        <v>35.00017016641813</v>
      </c>
      <c r="L40" s="6"/>
      <c r="V40" s="9"/>
    </row>
    <row r="41" spans="1:22">
      <c r="A41" s="1" t="s">
        <v>62</v>
      </c>
      <c r="B41" s="6">
        <v>3475.0168950943716</v>
      </c>
      <c r="C41" s="1">
        <v>0</v>
      </c>
      <c r="D41" s="1">
        <v>0</v>
      </c>
      <c r="E41" s="1">
        <v>0</v>
      </c>
      <c r="F41" s="1">
        <v>0</v>
      </c>
      <c r="G41" s="9">
        <f>SUM(OH_FINANCIAL)</f>
        <v>3475.0168950943716</v>
      </c>
      <c r="L41" s="6"/>
      <c r="V41" s="9"/>
    </row>
    <row r="42" spans="1:22">
      <c r="A42" s="1" t="s">
        <v>63</v>
      </c>
      <c r="B42" s="6">
        <v>41484.50253202497</v>
      </c>
      <c r="C42" s="1">
        <v>1065.5543501819723</v>
      </c>
      <c r="D42" s="1">
        <v>195.15093960857055</v>
      </c>
      <c r="E42" s="1">
        <v>0</v>
      </c>
      <c r="F42" s="1">
        <v>0</v>
      </c>
      <c r="G42" s="9">
        <f>SUM(OK_FINANCIAL)</f>
        <v>42745.207821815507</v>
      </c>
      <c r="L42" s="6"/>
      <c r="V42" s="9"/>
    </row>
    <row r="43" spans="1:22">
      <c r="A43" s="1" t="s">
        <v>64</v>
      </c>
      <c r="B43" s="6">
        <v>655.60778358575601</v>
      </c>
      <c r="C43" s="1">
        <v>0</v>
      </c>
      <c r="D43" s="1">
        <v>0.39540581910955969</v>
      </c>
      <c r="E43" s="1">
        <v>0</v>
      </c>
      <c r="F43" s="1">
        <v>0</v>
      </c>
      <c r="G43" s="9">
        <f>SUM(OR_FINANCIAL)</f>
        <v>656.00318940486557</v>
      </c>
      <c r="L43" s="6"/>
      <c r="V43" s="9"/>
    </row>
    <row r="44" spans="1:22">
      <c r="A44" s="1" t="s">
        <v>65</v>
      </c>
      <c r="B44" s="6">
        <v>0</v>
      </c>
      <c r="C44" s="1">
        <v>0</v>
      </c>
      <c r="D44" s="1">
        <v>0</v>
      </c>
      <c r="E44" s="1">
        <v>0</v>
      </c>
      <c r="F44" s="1">
        <v>0</v>
      </c>
      <c r="G44" s="9">
        <f>SUM(PA_FINANCIAL)</f>
        <v>0</v>
      </c>
      <c r="L44" s="6"/>
      <c r="V44" s="9"/>
    </row>
    <row r="45" spans="1:22">
      <c r="A45" s="1" t="s">
        <v>66</v>
      </c>
      <c r="B45" s="6">
        <v>0</v>
      </c>
      <c r="C45" s="1">
        <v>0</v>
      </c>
      <c r="D45" s="1">
        <v>0</v>
      </c>
      <c r="E45" s="1">
        <v>0</v>
      </c>
      <c r="F45" s="1">
        <v>0</v>
      </c>
      <c r="G45" s="9">
        <f>SUM(PR_FINANCIAL)</f>
        <v>0</v>
      </c>
      <c r="L45" s="6"/>
      <c r="V45" s="9"/>
    </row>
    <row r="46" spans="1:22">
      <c r="A46" s="1" t="s">
        <v>67</v>
      </c>
      <c r="B46" s="6">
        <v>0</v>
      </c>
      <c r="C46" s="1">
        <v>0</v>
      </c>
      <c r="D46" s="1">
        <v>0</v>
      </c>
      <c r="E46" s="1">
        <v>0</v>
      </c>
      <c r="F46" s="1">
        <v>0</v>
      </c>
      <c r="G46" s="9">
        <f>SUM(RI_FINANCIAL)</f>
        <v>0</v>
      </c>
      <c r="L46" s="6"/>
      <c r="V46" s="9"/>
    </row>
    <row r="47" spans="1:22">
      <c r="A47" s="1" t="s">
        <v>68</v>
      </c>
      <c r="B47" s="6">
        <v>3525.0171381892551</v>
      </c>
      <c r="C47" s="1">
        <v>0</v>
      </c>
      <c r="D47" s="1">
        <v>0</v>
      </c>
      <c r="E47" s="1">
        <v>0</v>
      </c>
      <c r="F47" s="1">
        <v>0</v>
      </c>
      <c r="G47" s="9">
        <f>SUM(SC_FINANCIAL)</f>
        <v>3525.0171381892551</v>
      </c>
      <c r="L47" s="6"/>
      <c r="V47" s="9"/>
    </row>
    <row r="48" spans="1:22">
      <c r="A48" s="1" t="s">
        <v>69</v>
      </c>
      <c r="B48" s="6">
        <v>99.000481327868442</v>
      </c>
      <c r="C48" s="1">
        <v>0</v>
      </c>
      <c r="D48" s="1">
        <v>0</v>
      </c>
      <c r="E48" s="1">
        <v>0</v>
      </c>
      <c r="F48" s="1">
        <v>0</v>
      </c>
      <c r="G48" s="9">
        <f>SUM(SD_FINANCIAL)</f>
        <v>99.000481327868442</v>
      </c>
      <c r="L48" s="6"/>
      <c r="V48" s="9"/>
    </row>
    <row r="49" spans="1:22">
      <c r="A49" s="1" t="s">
        <v>70</v>
      </c>
      <c r="B49" s="6">
        <v>13670.331400836434</v>
      </c>
      <c r="C49" s="1">
        <v>0.26730062634891516</v>
      </c>
      <c r="D49" s="1">
        <v>3.4677801258332588</v>
      </c>
      <c r="E49" s="1">
        <v>0</v>
      </c>
      <c r="F49" s="1">
        <v>0</v>
      </c>
      <c r="G49" s="9">
        <f>SUM(TN_FINANCIAL)</f>
        <v>13674.066481588616</v>
      </c>
      <c r="L49" s="6"/>
      <c r="V49" s="9"/>
    </row>
    <row r="50" spans="1:22">
      <c r="A50" s="1" t="s">
        <v>71</v>
      </c>
      <c r="B50" s="6">
        <v>129830.82300573394</v>
      </c>
      <c r="C50" s="1">
        <v>289.67642319397896</v>
      </c>
      <c r="D50" s="1">
        <v>152.13394020418073</v>
      </c>
      <c r="E50" s="1">
        <v>0</v>
      </c>
      <c r="F50" s="1">
        <v>0</v>
      </c>
      <c r="G50" s="9">
        <f>SUM(TX_FINANCIAL)</f>
        <v>130272.63336913209</v>
      </c>
      <c r="L50" s="6"/>
      <c r="V50" s="9"/>
    </row>
    <row r="51" spans="1:22">
      <c r="A51" s="1" t="s">
        <v>72</v>
      </c>
      <c r="B51" s="6">
        <v>557.00270807699712</v>
      </c>
      <c r="C51" s="1">
        <v>0</v>
      </c>
      <c r="D51" s="1">
        <v>0</v>
      </c>
      <c r="E51" s="1">
        <v>0</v>
      </c>
      <c r="F51" s="1">
        <v>0</v>
      </c>
      <c r="G51" s="9">
        <f>SUM(UT_FINANCIAL)</f>
        <v>557.00270807699712</v>
      </c>
      <c r="L51" s="6"/>
      <c r="V51" s="9"/>
    </row>
    <row r="52" spans="1:22">
      <c r="A52" s="1" t="s">
        <v>73</v>
      </c>
      <c r="B52" s="6">
        <v>0</v>
      </c>
      <c r="C52" s="1">
        <v>0</v>
      </c>
      <c r="D52" s="1">
        <v>0</v>
      </c>
      <c r="E52" s="1">
        <v>0</v>
      </c>
      <c r="F52" s="1">
        <v>0</v>
      </c>
      <c r="G52" s="9">
        <f>SUM(VT_FINANCIAL)</f>
        <v>0</v>
      </c>
      <c r="L52" s="6"/>
      <c r="V52" s="9"/>
    </row>
    <row r="53" spans="1:22">
      <c r="A53" s="1" t="s">
        <v>74</v>
      </c>
      <c r="B53" s="6">
        <v>1846.7970991362488</v>
      </c>
      <c r="C53" s="1">
        <v>4.2119002363214877</v>
      </c>
      <c r="D53" s="1">
        <v>0</v>
      </c>
      <c r="E53" s="1">
        <v>0</v>
      </c>
      <c r="F53" s="1">
        <v>0</v>
      </c>
      <c r="G53" s="9">
        <f>SUM(VA_FINANCIAL)</f>
        <v>1851.0089993725703</v>
      </c>
      <c r="L53" s="6"/>
      <c r="V53" s="9"/>
    </row>
    <row r="54" spans="1:22">
      <c r="A54" s="1" t="s">
        <v>75</v>
      </c>
      <c r="B54" s="6">
        <v>667.00324288573984</v>
      </c>
      <c r="C54" s="1">
        <v>0</v>
      </c>
      <c r="D54" s="1">
        <v>0</v>
      </c>
      <c r="E54" s="1">
        <v>0</v>
      </c>
      <c r="F54" s="1">
        <v>0</v>
      </c>
      <c r="G54" s="9">
        <f>SUM(WA_FINANCIAL)</f>
        <v>667.00324288573984</v>
      </c>
      <c r="L54" s="6"/>
      <c r="V54" s="9"/>
    </row>
    <row r="55" spans="1:22">
      <c r="A55" s="1" t="s">
        <v>76</v>
      </c>
      <c r="B55" s="6">
        <v>153.00074387034212</v>
      </c>
      <c r="C55" s="1">
        <v>0</v>
      </c>
      <c r="D55" s="1">
        <v>0</v>
      </c>
      <c r="E55" s="1">
        <v>0</v>
      </c>
      <c r="F55" s="1">
        <v>0</v>
      </c>
      <c r="G55" s="9">
        <f>SUM(WV_FINANCIAL)</f>
        <v>153.00074387034212</v>
      </c>
      <c r="L55" s="6"/>
      <c r="V55" s="9"/>
    </row>
    <row r="56" spans="1:22">
      <c r="A56" s="1" t="s">
        <v>77</v>
      </c>
      <c r="B56" s="6">
        <v>187.00090917486261</v>
      </c>
      <c r="C56" s="1">
        <v>0</v>
      </c>
      <c r="D56" s="1">
        <v>0</v>
      </c>
      <c r="E56" s="1">
        <v>0</v>
      </c>
      <c r="F56" s="1">
        <v>0</v>
      </c>
      <c r="G56" s="9">
        <f>SUM(WI_FINANCIAL)</f>
        <v>187.00090917486261</v>
      </c>
      <c r="L56" s="6"/>
      <c r="V56" s="9"/>
    </row>
    <row r="57" spans="1:22">
      <c r="A57" s="1" t="s">
        <v>78</v>
      </c>
      <c r="B57" s="6">
        <v>132.00064177049123</v>
      </c>
      <c r="C57" s="1">
        <v>0</v>
      </c>
      <c r="D57" s="1">
        <v>0</v>
      </c>
      <c r="E57" s="1">
        <v>0</v>
      </c>
      <c r="F57" s="1">
        <v>0</v>
      </c>
      <c r="G57" s="9">
        <f>SUM(WY_FINANCIAL)</f>
        <v>132.00064177049123</v>
      </c>
      <c r="L57" s="6"/>
      <c r="V57" s="9"/>
    </row>
    <row r="58" spans="1:22">
      <c r="A58" s="1" t="s">
        <v>79</v>
      </c>
      <c r="B58" s="6">
        <v>0</v>
      </c>
      <c r="C58" s="1">
        <v>0</v>
      </c>
      <c r="D58" s="1">
        <v>0</v>
      </c>
      <c r="E58" s="1">
        <v>0</v>
      </c>
      <c r="F58" s="1">
        <v>0</v>
      </c>
      <c r="G58" s="9">
        <f>SUM(OT_FINANCIAL)</f>
        <v>0</v>
      </c>
      <c r="L58" s="6"/>
      <c r="V58" s="9"/>
    </row>
    <row r="59" spans="1:22">
      <c r="B59" s="6"/>
      <c r="G59" s="9"/>
      <c r="L59" s="6"/>
      <c r="V59" s="9"/>
    </row>
    <row r="60" spans="1:22">
      <c r="A60" s="1" t="s">
        <v>8</v>
      </c>
      <c r="B60" s="6">
        <f>SUM(LIFE)</f>
        <v>366333.17945871997</v>
      </c>
      <c r="C60" s="1">
        <f>SUM(ALLOCATED)</f>
        <v>1431.9459078688583</v>
      </c>
      <c r="D60" s="1">
        <f>SUM(HEALTH)</f>
        <v>405.66463341108988</v>
      </c>
      <c r="E60" s="1">
        <f>SUM(UNALLOCATED)</f>
        <v>0</v>
      </c>
      <c r="F60" s="1">
        <f>SUM(LTC)</f>
        <v>0</v>
      </c>
      <c r="G60" s="9">
        <f>SUM(ALL_BLOCKS)</f>
        <v>368170.78999999992</v>
      </c>
      <c r="L60" s="6">
        <f>SUM(LIFE_CALLED)</f>
        <v>9571</v>
      </c>
      <c r="M60" s="1">
        <f>SUM(LIFE_REFUNDED)</f>
        <v>0</v>
      </c>
      <c r="O60" s="1">
        <f>SUM(ALLOC_CALLED)</f>
        <v>0</v>
      </c>
      <c r="P60" s="1">
        <f>SUM(ALLOC_REFUNDED)</f>
        <v>0</v>
      </c>
      <c r="R60" s="1">
        <f>SUM(HEALTH_CALLED)</f>
        <v>0</v>
      </c>
      <c r="S60" s="1">
        <f>SUM(HEALTH_REFUNDED)</f>
        <v>0</v>
      </c>
      <c r="U60" s="1">
        <f>SUM(UNALLOC_CALLED)</f>
        <v>0</v>
      </c>
      <c r="V60" s="9">
        <f>SUM(UNALLOC_REFUNDED)</f>
        <v>0</v>
      </c>
    </row>
    <row r="61" spans="1:22" ht="5.0999999999999996" customHeight="1">
      <c r="B61" s="6"/>
      <c r="G61" s="9"/>
      <c r="L61" s="6"/>
      <c r="V61" s="9"/>
    </row>
    <row r="62" spans="1:22">
      <c r="B62" s="6"/>
      <c r="G62" s="9"/>
      <c r="L62" s="78" t="s">
        <v>80</v>
      </c>
      <c r="M62" s="79"/>
      <c r="N62" s="79"/>
      <c r="O62" s="79"/>
      <c r="P62" s="79"/>
      <c r="Q62" s="79"/>
      <c r="R62" s="79"/>
      <c r="S62" s="79"/>
      <c r="T62" s="79"/>
      <c r="U62" s="79"/>
      <c r="V62" s="80"/>
    </row>
    <row r="63" spans="1:22">
      <c r="B63" s="6"/>
      <c r="G63" s="9"/>
      <c r="L63" s="81"/>
      <c r="M63" s="79"/>
      <c r="N63" s="79"/>
      <c r="O63" s="79"/>
      <c r="P63" s="79"/>
      <c r="Q63" s="79"/>
      <c r="R63" s="79"/>
      <c r="S63" s="79"/>
      <c r="T63" s="79"/>
      <c r="U63" s="79"/>
      <c r="V63" s="80"/>
    </row>
    <row r="64" spans="1:22">
      <c r="B64" s="8"/>
      <c r="C64" s="5"/>
      <c r="D64" s="5"/>
      <c r="E64" s="5"/>
      <c r="F64" s="5"/>
      <c r="G64" s="11"/>
      <c r="L64" s="82"/>
      <c r="M64" s="83"/>
      <c r="N64" s="83"/>
      <c r="O64" s="83"/>
      <c r="P64" s="83"/>
      <c r="Q64" s="83"/>
      <c r="R64" s="83"/>
      <c r="S64" s="83"/>
      <c r="T64" s="83"/>
      <c r="U64" s="83"/>
      <c r="V64" s="84"/>
    </row>
  </sheetData>
  <mergeCells count="8">
    <mergeCell ref="L62:V64"/>
    <mergeCell ref="A1:G1"/>
    <mergeCell ref="B3:G3"/>
    <mergeCell ref="L3:V3"/>
    <mergeCell ref="L4:M4"/>
    <mergeCell ref="O4:P4"/>
    <mergeCell ref="R4:S4"/>
    <mergeCell ref="U4:V4"/>
  </mergeCells>
  <pageMargins left="0" right="0" top="0" bottom="0" header="0" footer="0"/>
  <pageSetup scale="48"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pageSetUpPr fitToPage="1"/>
  </sheetPr>
  <dimension ref="A1:V64"/>
  <sheetViews>
    <sheetView zoomScale="75" workbookViewId="0">
      <selection sqref="A1:G1"/>
    </sheetView>
  </sheetViews>
  <sheetFormatPr defaultColWidth="9.109375" defaultRowHeight="14.4"/>
  <cols>
    <col min="1" max="1" width="20" style="1" customWidth="1"/>
    <col min="2" max="7" width="15" style="1" customWidth="1"/>
    <col min="8" max="8" width="1" style="1" customWidth="1"/>
    <col min="9" max="9" width="30" style="1" customWidth="1"/>
    <col min="10" max="10" width="15" style="1" customWidth="1"/>
    <col min="11" max="11" width="1" style="1" customWidth="1"/>
    <col min="12" max="13" width="15" style="1" customWidth="1"/>
    <col min="14" max="14" width="1" style="1" customWidth="1"/>
    <col min="15" max="16" width="15" style="1" customWidth="1"/>
    <col min="17" max="17" width="1" style="1" customWidth="1"/>
    <col min="18" max="19" width="15" style="1" customWidth="1"/>
    <col min="20" max="20" width="1" style="1" customWidth="1"/>
    <col min="21" max="22" width="15" style="1" customWidth="1"/>
    <col min="23" max="23" width="9.109375" style="1" customWidth="1"/>
    <col min="24" max="16384" width="9.109375" style="1"/>
  </cols>
  <sheetData>
    <row r="1" spans="1:22">
      <c r="A1" s="85" t="s">
        <v>144</v>
      </c>
      <c r="B1" s="79"/>
      <c r="C1" s="79"/>
      <c r="D1" s="79"/>
      <c r="E1" s="79"/>
      <c r="F1" s="79"/>
      <c r="G1" s="79"/>
    </row>
    <row r="3" spans="1:22">
      <c r="B3" s="86" t="s">
        <v>1</v>
      </c>
      <c r="C3" s="87"/>
      <c r="D3" s="87"/>
      <c r="E3" s="87"/>
      <c r="F3" s="87"/>
      <c r="G3" s="88"/>
      <c r="L3" s="89" t="s">
        <v>2</v>
      </c>
      <c r="M3" s="90"/>
      <c r="N3" s="90"/>
      <c r="O3" s="90"/>
      <c r="P3" s="90"/>
      <c r="Q3" s="90"/>
      <c r="R3" s="90"/>
      <c r="S3" s="90"/>
      <c r="T3" s="90"/>
      <c r="U3" s="90"/>
      <c r="V3" s="91"/>
    </row>
    <row r="4" spans="1:22">
      <c r="B4" s="6"/>
      <c r="G4" s="9"/>
      <c r="L4" s="92" t="s">
        <v>3</v>
      </c>
      <c r="M4" s="93"/>
      <c r="N4" s="3"/>
      <c r="O4" s="94" t="s">
        <v>4</v>
      </c>
      <c r="P4" s="93"/>
      <c r="Q4" s="3"/>
      <c r="R4" s="94" t="s">
        <v>5</v>
      </c>
      <c r="S4" s="93"/>
      <c r="T4" s="3"/>
      <c r="U4" s="94" t="s">
        <v>6</v>
      </c>
      <c r="V4" s="95"/>
    </row>
    <row r="5" spans="1:22" ht="60" customHeight="1">
      <c r="B5" s="7" t="s">
        <v>3</v>
      </c>
      <c r="C5" s="4" t="s">
        <v>4</v>
      </c>
      <c r="D5" s="4" t="s">
        <v>5</v>
      </c>
      <c r="E5" s="4" t="s">
        <v>6</v>
      </c>
      <c r="F5" s="4" t="s">
        <v>7</v>
      </c>
      <c r="G5" s="10" t="s">
        <v>8</v>
      </c>
      <c r="L5" s="19" t="s">
        <v>9</v>
      </c>
      <c r="M5" s="18" t="s">
        <v>10</v>
      </c>
      <c r="N5" s="18"/>
      <c r="O5" s="18" t="s">
        <v>9</v>
      </c>
      <c r="P5" s="18" t="s">
        <v>10</v>
      </c>
      <c r="Q5" s="18"/>
      <c r="R5" s="18" t="s">
        <v>9</v>
      </c>
      <c r="S5" s="18" t="s">
        <v>10</v>
      </c>
      <c r="T5" s="18"/>
      <c r="U5" s="18" t="s">
        <v>9</v>
      </c>
      <c r="V5" s="20" t="s">
        <v>10</v>
      </c>
    </row>
    <row r="6" spans="1:22">
      <c r="A6" s="1" t="s">
        <v>11</v>
      </c>
      <c r="B6" s="6">
        <v>0</v>
      </c>
      <c r="C6" s="1">
        <v>71298.435572609887</v>
      </c>
      <c r="D6" s="1">
        <v>0</v>
      </c>
      <c r="E6" s="1">
        <v>0</v>
      </c>
      <c r="F6" s="1">
        <v>0</v>
      </c>
      <c r="G6" s="9">
        <f>SUM(AL_FINANCIAL)</f>
        <v>71298.435572609887</v>
      </c>
      <c r="L6" s="6">
        <v>0</v>
      </c>
      <c r="M6" s="1">
        <v>0</v>
      </c>
      <c r="O6" s="1">
        <v>0</v>
      </c>
      <c r="P6" s="1">
        <v>0</v>
      </c>
      <c r="R6" s="1">
        <v>102000</v>
      </c>
      <c r="S6" s="1">
        <v>0</v>
      </c>
      <c r="U6" s="1">
        <v>0</v>
      </c>
      <c r="V6" s="9">
        <v>0</v>
      </c>
    </row>
    <row r="7" spans="1:22">
      <c r="A7" s="1" t="s">
        <v>12</v>
      </c>
      <c r="B7" s="6">
        <v>0</v>
      </c>
      <c r="C7" s="1">
        <v>0</v>
      </c>
      <c r="D7" s="1">
        <v>0</v>
      </c>
      <c r="E7" s="1">
        <v>0</v>
      </c>
      <c r="F7" s="1">
        <v>0</v>
      </c>
      <c r="G7" s="9">
        <f>SUM(AK_FINANCIAL)</f>
        <v>0</v>
      </c>
      <c r="I7" s="12"/>
      <c r="J7" s="15"/>
      <c r="L7" s="6"/>
      <c r="V7" s="9"/>
    </row>
    <row r="8" spans="1:22">
      <c r="A8" s="1" t="s">
        <v>13</v>
      </c>
      <c r="B8" s="6">
        <v>40109.724149901391</v>
      </c>
      <c r="C8" s="1">
        <v>920013.1476465069</v>
      </c>
      <c r="D8" s="1">
        <v>42795.433960229857</v>
      </c>
      <c r="E8" s="1">
        <v>0</v>
      </c>
      <c r="F8" s="1">
        <v>0</v>
      </c>
      <c r="G8" s="9">
        <f>SUM(AZ_FINANCIAL)</f>
        <v>1002918.3057566382</v>
      </c>
      <c r="I8" s="13" t="s">
        <v>14</v>
      </c>
      <c r="J8" s="16"/>
      <c r="L8" s="6">
        <v>281955</v>
      </c>
      <c r="M8" s="1">
        <v>0</v>
      </c>
      <c r="O8" s="1">
        <v>921320</v>
      </c>
      <c r="P8" s="1">
        <v>0</v>
      </c>
      <c r="R8" s="1">
        <v>0</v>
      </c>
      <c r="S8" s="1">
        <v>0</v>
      </c>
      <c r="U8" s="1">
        <v>0</v>
      </c>
      <c r="V8" s="9">
        <v>0</v>
      </c>
    </row>
    <row r="9" spans="1:22">
      <c r="A9" s="1" t="s">
        <v>15</v>
      </c>
      <c r="B9" s="6">
        <v>0</v>
      </c>
      <c r="C9" s="1">
        <v>0</v>
      </c>
      <c r="D9" s="1">
        <v>0</v>
      </c>
      <c r="E9" s="1">
        <v>0</v>
      </c>
      <c r="F9" s="1">
        <v>0</v>
      </c>
      <c r="G9" s="9">
        <f>SUM(AR_FINANCIAL)</f>
        <v>0</v>
      </c>
      <c r="I9" s="13"/>
      <c r="J9" s="16"/>
      <c r="L9" s="6"/>
      <c r="V9" s="9"/>
    </row>
    <row r="10" spans="1:22">
      <c r="A10" s="1" t="s">
        <v>16</v>
      </c>
      <c r="B10" s="6">
        <v>393037.33948592714</v>
      </c>
      <c r="C10" s="1">
        <v>327180.31843990006</v>
      </c>
      <c r="D10" s="1">
        <v>0</v>
      </c>
      <c r="E10" s="1">
        <v>0</v>
      </c>
      <c r="F10" s="1">
        <v>0</v>
      </c>
      <c r="G10" s="9">
        <f>SUM(CA_FINANCIAL)</f>
        <v>720217.6579258272</v>
      </c>
      <c r="I10" s="13" t="s">
        <v>17</v>
      </c>
      <c r="J10" s="16">
        <v>68990674</v>
      </c>
      <c r="L10" s="6">
        <v>250000</v>
      </c>
      <c r="M10" s="1">
        <v>1100000</v>
      </c>
      <c r="O10" s="1">
        <v>1200000</v>
      </c>
      <c r="P10" s="1">
        <v>0</v>
      </c>
      <c r="R10" s="1">
        <v>74000</v>
      </c>
      <c r="S10" s="1">
        <v>0</v>
      </c>
      <c r="U10" s="1">
        <v>0</v>
      </c>
      <c r="V10" s="9">
        <v>0</v>
      </c>
    </row>
    <row r="11" spans="1:22">
      <c r="A11" s="1" t="s">
        <v>18</v>
      </c>
      <c r="B11" s="6">
        <v>0</v>
      </c>
      <c r="C11" s="1">
        <v>707176.26141965762</v>
      </c>
      <c r="D11" s="1">
        <v>0</v>
      </c>
      <c r="E11" s="1">
        <v>0</v>
      </c>
      <c r="F11" s="1">
        <v>0</v>
      </c>
      <c r="G11" s="9">
        <f>SUM(CO_FINANCIAL)</f>
        <v>707176.26141965762</v>
      </c>
      <c r="I11" s="13"/>
      <c r="J11" s="16"/>
      <c r="L11" s="6">
        <v>0</v>
      </c>
      <c r="M11" s="1">
        <v>0</v>
      </c>
      <c r="O11" s="1">
        <v>9207039</v>
      </c>
      <c r="P11" s="1">
        <v>860000</v>
      </c>
      <c r="R11" s="1">
        <v>0</v>
      </c>
      <c r="S11" s="1">
        <v>215835</v>
      </c>
      <c r="U11" s="1">
        <v>0</v>
      </c>
      <c r="V11" s="9">
        <v>0</v>
      </c>
    </row>
    <row r="12" spans="1:22">
      <c r="A12" s="1" t="s">
        <v>19</v>
      </c>
      <c r="B12" s="6">
        <v>0</v>
      </c>
      <c r="C12" s="1">
        <v>0</v>
      </c>
      <c r="D12" s="1">
        <v>0</v>
      </c>
      <c r="E12" s="1">
        <v>0</v>
      </c>
      <c r="F12" s="1">
        <v>0</v>
      </c>
      <c r="G12" s="9">
        <f>SUM(CT_FINANCIAL)</f>
        <v>0</v>
      </c>
      <c r="I12" s="13" t="s">
        <v>20</v>
      </c>
      <c r="J12" s="16"/>
      <c r="L12" s="6"/>
      <c r="V12" s="9"/>
    </row>
    <row r="13" spans="1:22">
      <c r="A13" s="1" t="s">
        <v>21</v>
      </c>
      <c r="B13" s="6">
        <v>0</v>
      </c>
      <c r="C13" s="1">
        <v>0</v>
      </c>
      <c r="D13" s="1">
        <v>0</v>
      </c>
      <c r="E13" s="1">
        <v>0</v>
      </c>
      <c r="F13" s="1">
        <v>0</v>
      </c>
      <c r="G13" s="9">
        <f>SUM(DE_FINANCIAL)</f>
        <v>0</v>
      </c>
      <c r="I13" s="13" t="s">
        <v>22</v>
      </c>
      <c r="J13" s="16">
        <v>48880235</v>
      </c>
      <c r="L13" s="6"/>
      <c r="V13" s="9"/>
    </row>
    <row r="14" spans="1:22">
      <c r="A14" s="1" t="s">
        <v>23</v>
      </c>
      <c r="B14" s="6">
        <v>0</v>
      </c>
      <c r="C14" s="1">
        <v>0</v>
      </c>
      <c r="D14" s="1">
        <v>0</v>
      </c>
      <c r="E14" s="1">
        <v>0</v>
      </c>
      <c r="F14" s="1">
        <v>0</v>
      </c>
      <c r="G14" s="9">
        <f>SUM(DC_FINANCIAL)</f>
        <v>0</v>
      </c>
      <c r="I14" s="13" t="s">
        <v>24</v>
      </c>
      <c r="J14" s="16">
        <v>2934120.9999999995</v>
      </c>
      <c r="L14" s="6"/>
      <c r="V14" s="9"/>
    </row>
    <row r="15" spans="1:22">
      <c r="A15" s="1" t="s">
        <v>25</v>
      </c>
      <c r="B15" s="6">
        <v>2461.8202614291167</v>
      </c>
      <c r="C15" s="1">
        <v>1484008.6299242985</v>
      </c>
      <c r="D15" s="1">
        <v>0</v>
      </c>
      <c r="E15" s="1">
        <v>0</v>
      </c>
      <c r="F15" s="1">
        <v>0</v>
      </c>
      <c r="G15" s="9">
        <f>SUM(FL_FINANCIAL)</f>
        <v>1486470.4501857276</v>
      </c>
      <c r="I15" s="13" t="s">
        <v>26</v>
      </c>
      <c r="J15" s="16">
        <v>776590.49000000046</v>
      </c>
      <c r="L15" s="6">
        <v>100000</v>
      </c>
      <c r="M15" s="1">
        <v>0</v>
      </c>
      <c r="O15" s="1">
        <v>2900000</v>
      </c>
      <c r="P15" s="1">
        <v>0</v>
      </c>
      <c r="R15" s="1">
        <v>0</v>
      </c>
      <c r="S15" s="1">
        <v>0</v>
      </c>
      <c r="U15" s="1">
        <v>0</v>
      </c>
      <c r="V15" s="9">
        <v>0</v>
      </c>
    </row>
    <row r="16" spans="1:22">
      <c r="A16" s="1" t="s">
        <v>27</v>
      </c>
      <c r="B16" s="6">
        <v>0</v>
      </c>
      <c r="C16" s="1">
        <v>0</v>
      </c>
      <c r="D16" s="1">
        <v>0</v>
      </c>
      <c r="E16" s="1">
        <v>0</v>
      </c>
      <c r="F16" s="1">
        <v>0</v>
      </c>
      <c r="G16" s="9">
        <f>SUM(GA_FINANCIAL)</f>
        <v>0</v>
      </c>
      <c r="I16" s="13" t="s">
        <v>28</v>
      </c>
      <c r="J16" s="16">
        <v>0</v>
      </c>
      <c r="L16" s="6"/>
      <c r="V16" s="9"/>
    </row>
    <row r="17" spans="1:22">
      <c r="A17" s="1" t="s">
        <v>29</v>
      </c>
      <c r="B17" s="6">
        <v>0</v>
      </c>
      <c r="C17" s="1">
        <v>5029</v>
      </c>
      <c r="D17" s="1">
        <v>0</v>
      </c>
      <c r="E17" s="1">
        <v>0</v>
      </c>
      <c r="F17" s="1">
        <v>0</v>
      </c>
      <c r="G17" s="9">
        <f>SUM(HI_FINANCIAL)</f>
        <v>5029</v>
      </c>
      <c r="I17" s="13"/>
      <c r="J17" s="16"/>
      <c r="L17" s="6">
        <v>7301</v>
      </c>
      <c r="M17" s="1">
        <v>0</v>
      </c>
      <c r="O17" s="1">
        <v>0</v>
      </c>
      <c r="P17" s="1">
        <v>0</v>
      </c>
      <c r="R17" s="1">
        <v>0</v>
      </c>
      <c r="S17" s="1">
        <v>0</v>
      </c>
      <c r="U17" s="1">
        <v>0</v>
      </c>
      <c r="V17" s="9">
        <v>0</v>
      </c>
    </row>
    <row r="18" spans="1:22">
      <c r="A18" s="1" t="s">
        <v>30</v>
      </c>
      <c r="B18" s="6">
        <v>0</v>
      </c>
      <c r="C18" s="1">
        <v>117959.60160849406</v>
      </c>
      <c r="D18" s="1">
        <v>0</v>
      </c>
      <c r="E18" s="1">
        <v>0</v>
      </c>
      <c r="F18" s="1">
        <v>0</v>
      </c>
      <c r="G18" s="9">
        <f>SUM(ID_FINANCIAL)</f>
        <v>117959.60160849406</v>
      </c>
      <c r="I18" s="13" t="s">
        <v>31</v>
      </c>
      <c r="J18" s="16"/>
      <c r="L18" s="6">
        <v>0</v>
      </c>
      <c r="M18" s="1">
        <v>0</v>
      </c>
      <c r="O18" s="1">
        <v>113900</v>
      </c>
      <c r="P18" s="1">
        <v>0</v>
      </c>
      <c r="R18" s="1">
        <v>56100</v>
      </c>
      <c r="S18" s="1">
        <v>0</v>
      </c>
      <c r="U18" s="1">
        <v>0</v>
      </c>
      <c r="V18" s="9">
        <v>0</v>
      </c>
    </row>
    <row r="19" spans="1:22">
      <c r="A19" s="1" t="s">
        <v>32</v>
      </c>
      <c r="B19" s="6">
        <v>190.24533267491901</v>
      </c>
      <c r="C19" s="1">
        <v>1060653.8615281815</v>
      </c>
      <c r="D19" s="1">
        <v>39214.134851365088</v>
      </c>
      <c r="E19" s="1">
        <v>0</v>
      </c>
      <c r="F19" s="1">
        <v>0</v>
      </c>
      <c r="G19" s="9">
        <f>SUM(IL_FINANCIAL)</f>
        <v>1100058.2417122214</v>
      </c>
      <c r="I19" s="13" t="s">
        <v>33</v>
      </c>
      <c r="J19" s="16">
        <v>0</v>
      </c>
      <c r="L19" s="6">
        <v>0</v>
      </c>
      <c r="M19" s="1">
        <v>0</v>
      </c>
      <c r="O19" s="1">
        <v>1700000</v>
      </c>
      <c r="P19" s="1">
        <v>750000</v>
      </c>
      <c r="R19" s="1">
        <v>70000</v>
      </c>
      <c r="S19" s="1">
        <v>51000</v>
      </c>
      <c r="U19" s="1">
        <v>0</v>
      </c>
      <c r="V19" s="9">
        <v>0</v>
      </c>
    </row>
    <row r="20" spans="1:22">
      <c r="A20" s="1" t="s">
        <v>34</v>
      </c>
      <c r="B20" s="6">
        <v>401.82730433282302</v>
      </c>
      <c r="C20" s="1">
        <v>167920.86427822936</v>
      </c>
      <c r="D20" s="1">
        <v>0</v>
      </c>
      <c r="E20" s="1">
        <v>0</v>
      </c>
      <c r="F20" s="1">
        <v>0</v>
      </c>
      <c r="G20" s="9">
        <f>SUM(IN_FINANCIAL)</f>
        <v>168322.6915825622</v>
      </c>
      <c r="I20" s="13" t="s">
        <v>35</v>
      </c>
      <c r="J20" s="16">
        <v>46699950.450000003</v>
      </c>
      <c r="L20" s="6">
        <v>0</v>
      </c>
      <c r="M20" s="1">
        <v>0</v>
      </c>
      <c r="O20" s="1">
        <v>0</v>
      </c>
      <c r="P20" s="1">
        <v>0</v>
      </c>
      <c r="R20" s="1">
        <v>69378</v>
      </c>
      <c r="S20" s="1">
        <v>0</v>
      </c>
      <c r="U20" s="1">
        <v>0</v>
      </c>
      <c r="V20" s="9">
        <v>0</v>
      </c>
    </row>
    <row r="21" spans="1:22">
      <c r="A21" s="1" t="s">
        <v>36</v>
      </c>
      <c r="B21" s="6">
        <v>62353.300412474011</v>
      </c>
      <c r="C21" s="1">
        <v>2199634.3777108765</v>
      </c>
      <c r="D21" s="1">
        <v>0</v>
      </c>
      <c r="E21" s="1">
        <v>0</v>
      </c>
      <c r="F21" s="1">
        <v>0</v>
      </c>
      <c r="G21" s="9">
        <f>SUM(IA_FINANCIAL)</f>
        <v>2261987.6781233507</v>
      </c>
      <c r="I21" s="13" t="s">
        <v>37</v>
      </c>
      <c r="J21" s="16"/>
      <c r="L21" s="6">
        <v>0</v>
      </c>
      <c r="M21" s="1">
        <v>0</v>
      </c>
      <c r="O21" s="1">
        <v>6136927</v>
      </c>
      <c r="P21" s="1">
        <v>0</v>
      </c>
      <c r="R21" s="1">
        <v>16840</v>
      </c>
      <c r="S21" s="1">
        <v>0</v>
      </c>
      <c r="U21" s="1">
        <v>0</v>
      </c>
      <c r="V21" s="9">
        <v>0</v>
      </c>
    </row>
    <row r="22" spans="1:22">
      <c r="A22" s="1" t="s">
        <v>38</v>
      </c>
      <c r="B22" s="6">
        <v>0</v>
      </c>
      <c r="C22" s="1">
        <v>1137325</v>
      </c>
      <c r="D22" s="1">
        <v>0</v>
      </c>
      <c r="E22" s="1">
        <v>0</v>
      </c>
      <c r="F22" s="1">
        <v>0</v>
      </c>
      <c r="G22" s="9">
        <f>SUM(KS_FINANCIAL)</f>
        <v>1137325</v>
      </c>
      <c r="I22" s="13" t="s">
        <v>39</v>
      </c>
      <c r="J22" s="16">
        <v>301656</v>
      </c>
      <c r="L22" s="6">
        <v>0</v>
      </c>
      <c r="M22" s="1">
        <v>0</v>
      </c>
      <c r="O22" s="1">
        <v>1700000</v>
      </c>
      <c r="P22" s="1">
        <v>0</v>
      </c>
      <c r="R22" s="1">
        <v>0</v>
      </c>
      <c r="S22" s="1">
        <v>0</v>
      </c>
      <c r="U22" s="1">
        <v>0</v>
      </c>
      <c r="V22" s="9">
        <v>0</v>
      </c>
    </row>
    <row r="23" spans="1:22">
      <c r="A23" s="1" t="s">
        <v>40</v>
      </c>
      <c r="B23" s="6">
        <v>0</v>
      </c>
      <c r="C23" s="1">
        <v>41350</v>
      </c>
      <c r="D23" s="1">
        <v>0</v>
      </c>
      <c r="E23" s="1">
        <v>0</v>
      </c>
      <c r="F23" s="1">
        <v>0</v>
      </c>
      <c r="G23" s="9">
        <f>SUM(KY_FINANCIAL)</f>
        <v>41350</v>
      </c>
      <c r="I23" s="13" t="s">
        <v>41</v>
      </c>
      <c r="J23" s="16"/>
      <c r="L23" s="6">
        <v>0</v>
      </c>
      <c r="M23" s="1">
        <v>0</v>
      </c>
      <c r="O23" s="1">
        <v>48000</v>
      </c>
      <c r="P23" s="1">
        <v>11348</v>
      </c>
      <c r="R23" s="1">
        <v>32000</v>
      </c>
      <c r="S23" s="1">
        <v>17073</v>
      </c>
      <c r="U23" s="1">
        <v>0</v>
      </c>
      <c r="V23" s="9">
        <v>0</v>
      </c>
    </row>
    <row r="24" spans="1:22">
      <c r="A24" s="1" t="s">
        <v>42</v>
      </c>
      <c r="B24" s="6">
        <v>0</v>
      </c>
      <c r="C24" s="1">
        <v>0</v>
      </c>
      <c r="D24" s="1">
        <v>0</v>
      </c>
      <c r="E24" s="1">
        <v>0</v>
      </c>
      <c r="F24" s="1">
        <v>0</v>
      </c>
      <c r="G24" s="9">
        <f>SUM(LA_FINANCIAL)</f>
        <v>0</v>
      </c>
      <c r="I24" s="13" t="s">
        <v>43</v>
      </c>
      <c r="J24" s="16">
        <v>41563304</v>
      </c>
      <c r="L24" s="6"/>
      <c r="V24" s="9"/>
    </row>
    <row r="25" spans="1:22">
      <c r="A25" s="1" t="s">
        <v>44</v>
      </c>
      <c r="B25" s="6">
        <v>0</v>
      </c>
      <c r="C25" s="1">
        <v>0</v>
      </c>
      <c r="D25" s="1">
        <v>0</v>
      </c>
      <c r="E25" s="1">
        <v>0</v>
      </c>
      <c r="F25" s="1">
        <v>0</v>
      </c>
      <c r="G25" s="9">
        <f>SUM(ME_FINANCIAL)</f>
        <v>0</v>
      </c>
      <c r="I25" s="13"/>
      <c r="J25" s="16"/>
      <c r="L25" s="6"/>
      <c r="V25" s="9"/>
    </row>
    <row r="26" spans="1:22">
      <c r="A26" s="1" t="s">
        <v>45</v>
      </c>
      <c r="B26" s="6">
        <v>0</v>
      </c>
      <c r="C26" s="1">
        <v>0</v>
      </c>
      <c r="D26" s="1">
        <v>0</v>
      </c>
      <c r="E26" s="1">
        <v>0</v>
      </c>
      <c r="F26" s="1">
        <v>0</v>
      </c>
      <c r="G26" s="9">
        <f>SUM(MD_FINANCIAL)</f>
        <v>0</v>
      </c>
      <c r="I26" s="13" t="s">
        <v>46</v>
      </c>
      <c r="J26" s="16">
        <f>SUM(ADD_FINANCIAL)-SUM(LESS_FINANCIAL)</f>
        <v>33016710.039999992</v>
      </c>
      <c r="L26" s="6"/>
      <c r="V26" s="9"/>
    </row>
    <row r="27" spans="1:22">
      <c r="A27" s="1" t="s">
        <v>47</v>
      </c>
      <c r="B27" s="6">
        <v>0</v>
      </c>
      <c r="C27" s="1">
        <v>0</v>
      </c>
      <c r="D27" s="1">
        <v>0</v>
      </c>
      <c r="E27" s="1">
        <v>0</v>
      </c>
      <c r="F27" s="1">
        <v>0</v>
      </c>
      <c r="G27" s="9">
        <f>SUM(MA_FINANCIAL)</f>
        <v>0</v>
      </c>
      <c r="I27" s="13" t="s">
        <v>48</v>
      </c>
      <c r="J27" s="16">
        <f>SUM(ALL_BLOCKS)</f>
        <v>33016710.039999999</v>
      </c>
      <c r="L27" s="6"/>
      <c r="V27" s="9"/>
    </row>
    <row r="28" spans="1:22">
      <c r="A28" s="1" t="s">
        <v>49</v>
      </c>
      <c r="B28" s="6">
        <v>0</v>
      </c>
      <c r="C28" s="1">
        <v>0</v>
      </c>
      <c r="D28" s="1">
        <v>0</v>
      </c>
      <c r="E28" s="1">
        <v>0</v>
      </c>
      <c r="F28" s="1">
        <v>0</v>
      </c>
      <c r="G28" s="9">
        <f>SUM(MI_FINANCIAL)</f>
        <v>0</v>
      </c>
      <c r="I28" s="14"/>
      <c r="J28" s="17"/>
      <c r="L28" s="6"/>
      <c r="V28" s="9"/>
    </row>
    <row r="29" spans="1:22">
      <c r="A29" s="1" t="s">
        <v>50</v>
      </c>
      <c r="B29" s="6">
        <v>351389.37608616956</v>
      </c>
      <c r="C29" s="1">
        <v>14838876.478022888</v>
      </c>
      <c r="D29" s="1">
        <v>0</v>
      </c>
      <c r="E29" s="1">
        <v>0</v>
      </c>
      <c r="F29" s="1">
        <v>0</v>
      </c>
      <c r="G29" s="9">
        <f>SUM(MN_FINANCIAL)</f>
        <v>15190265.854109058</v>
      </c>
      <c r="L29" s="6">
        <v>1500000</v>
      </c>
      <c r="M29" s="1">
        <v>120000</v>
      </c>
      <c r="O29" s="1">
        <v>35000000</v>
      </c>
      <c r="P29" s="1">
        <v>8480000</v>
      </c>
      <c r="R29" s="1">
        <v>7000</v>
      </c>
      <c r="S29" s="1">
        <v>0</v>
      </c>
      <c r="U29" s="1">
        <v>0</v>
      </c>
      <c r="V29" s="9">
        <v>0</v>
      </c>
    </row>
    <row r="30" spans="1:22">
      <c r="A30" s="1" t="s">
        <v>51</v>
      </c>
      <c r="B30" s="6">
        <v>0</v>
      </c>
      <c r="C30" s="1">
        <v>0</v>
      </c>
      <c r="D30" s="1">
        <v>0</v>
      </c>
      <c r="E30" s="1">
        <v>0</v>
      </c>
      <c r="F30" s="1">
        <v>0</v>
      </c>
      <c r="G30" s="9">
        <f>SUM(MS_FINANCIAL)</f>
        <v>0</v>
      </c>
      <c r="L30" s="6"/>
      <c r="V30" s="9"/>
    </row>
    <row r="31" spans="1:22">
      <c r="A31" s="1" t="s">
        <v>52</v>
      </c>
      <c r="B31" s="6">
        <v>908.16302721447641</v>
      </c>
      <c r="C31" s="1">
        <v>118771.50941911849</v>
      </c>
      <c r="D31" s="1">
        <v>0</v>
      </c>
      <c r="E31" s="1">
        <v>0</v>
      </c>
      <c r="F31" s="1">
        <v>0</v>
      </c>
      <c r="G31" s="9">
        <f>SUM(MO_FINANCIAL)</f>
        <v>119679.67244633297</v>
      </c>
      <c r="L31" s="6">
        <v>40000</v>
      </c>
      <c r="M31" s="1">
        <v>0</v>
      </c>
      <c r="O31" s="1">
        <v>60000</v>
      </c>
      <c r="P31" s="1">
        <v>0</v>
      </c>
      <c r="R31" s="1">
        <v>100000</v>
      </c>
      <c r="S31" s="1">
        <v>0</v>
      </c>
      <c r="U31" s="1">
        <v>0</v>
      </c>
      <c r="V31" s="9">
        <v>0</v>
      </c>
    </row>
    <row r="32" spans="1:22">
      <c r="A32" s="1" t="s">
        <v>53</v>
      </c>
      <c r="B32" s="6">
        <v>7731.1517478010501</v>
      </c>
      <c r="C32" s="1">
        <v>1592136.4363289096</v>
      </c>
      <c r="D32" s="1">
        <v>0</v>
      </c>
      <c r="E32" s="1">
        <v>0</v>
      </c>
      <c r="F32" s="1">
        <v>0</v>
      </c>
      <c r="G32" s="9">
        <f>SUM(MT_FINANCIAL)</f>
        <v>1599867.5880767107</v>
      </c>
      <c r="L32" s="6">
        <v>0</v>
      </c>
      <c r="M32" s="1">
        <v>0</v>
      </c>
      <c r="O32" s="1">
        <v>3803133</v>
      </c>
      <c r="P32" s="1">
        <v>0</v>
      </c>
      <c r="R32" s="1">
        <v>0</v>
      </c>
      <c r="S32" s="1">
        <v>0</v>
      </c>
      <c r="U32" s="1">
        <v>0</v>
      </c>
      <c r="V32" s="9">
        <v>0</v>
      </c>
    </row>
    <row r="33" spans="1:22">
      <c r="A33" s="1" t="s">
        <v>54</v>
      </c>
      <c r="B33" s="6">
        <v>0</v>
      </c>
      <c r="C33" s="1">
        <v>1562241.3695081882</v>
      </c>
      <c r="D33" s="1">
        <v>0</v>
      </c>
      <c r="E33" s="1">
        <v>0</v>
      </c>
      <c r="F33" s="1">
        <v>0</v>
      </c>
      <c r="G33" s="9">
        <f>SUM(NE_FINANCIAL)</f>
        <v>1562241.3695081882</v>
      </c>
      <c r="L33" s="6">
        <v>0</v>
      </c>
      <c r="M33" s="1">
        <v>0</v>
      </c>
      <c r="O33" s="1">
        <v>1746686</v>
      </c>
      <c r="P33" s="1">
        <v>0</v>
      </c>
      <c r="R33" s="1">
        <v>500000</v>
      </c>
      <c r="S33" s="1">
        <v>400000</v>
      </c>
      <c r="U33" s="1">
        <v>0</v>
      </c>
      <c r="V33" s="9">
        <v>0</v>
      </c>
    </row>
    <row r="34" spans="1:22">
      <c r="A34" s="1" t="s">
        <v>55</v>
      </c>
      <c r="B34" s="6">
        <v>0</v>
      </c>
      <c r="C34" s="1">
        <v>115000.84841954004</v>
      </c>
      <c r="D34" s="1">
        <v>0</v>
      </c>
      <c r="E34" s="1">
        <v>0</v>
      </c>
      <c r="F34" s="1">
        <v>0</v>
      </c>
      <c r="G34" s="9">
        <f>SUM(NV_FINANCIAL)</f>
        <v>115000.84841954004</v>
      </c>
      <c r="L34" s="6">
        <v>0</v>
      </c>
      <c r="M34" s="1">
        <v>0</v>
      </c>
      <c r="O34" s="1">
        <v>154836</v>
      </c>
      <c r="P34" s="1">
        <v>14630</v>
      </c>
      <c r="R34" s="1">
        <v>0</v>
      </c>
      <c r="S34" s="1">
        <v>0</v>
      </c>
      <c r="U34" s="1">
        <v>0</v>
      </c>
      <c r="V34" s="9">
        <v>0</v>
      </c>
    </row>
    <row r="35" spans="1:22">
      <c r="A35" s="1" t="s">
        <v>56</v>
      </c>
      <c r="B35" s="6">
        <v>0</v>
      </c>
      <c r="C35" s="1">
        <v>0</v>
      </c>
      <c r="D35" s="1">
        <v>0</v>
      </c>
      <c r="E35" s="1">
        <v>0</v>
      </c>
      <c r="F35" s="1">
        <v>0</v>
      </c>
      <c r="G35" s="9">
        <f>SUM(NH_FINANCIAL)</f>
        <v>0</v>
      </c>
      <c r="L35" s="6"/>
      <c r="V35" s="9"/>
    </row>
    <row r="36" spans="1:22">
      <c r="A36" s="1" t="s">
        <v>57</v>
      </c>
      <c r="B36" s="6">
        <v>0</v>
      </c>
      <c r="C36" s="1">
        <v>0</v>
      </c>
      <c r="D36" s="1">
        <v>0</v>
      </c>
      <c r="E36" s="1">
        <v>0</v>
      </c>
      <c r="F36" s="1">
        <v>0</v>
      </c>
      <c r="G36" s="9">
        <f>SUM(NJ_FINANCIAL)</f>
        <v>0</v>
      </c>
      <c r="L36" s="6"/>
      <c r="V36" s="9"/>
    </row>
    <row r="37" spans="1:22">
      <c r="A37" s="1" t="s">
        <v>58</v>
      </c>
      <c r="B37" s="6">
        <v>0</v>
      </c>
      <c r="C37" s="1">
        <v>119300.2408161115</v>
      </c>
      <c r="D37" s="1">
        <v>0</v>
      </c>
      <c r="E37" s="1">
        <v>0</v>
      </c>
      <c r="F37" s="1">
        <v>0</v>
      </c>
      <c r="G37" s="9">
        <f>SUM(NM_FINANCIAL)</f>
        <v>119300.2408161115</v>
      </c>
      <c r="L37" s="6">
        <v>0</v>
      </c>
      <c r="M37" s="1">
        <v>0</v>
      </c>
      <c r="O37" s="1">
        <v>100532</v>
      </c>
      <c r="P37" s="1">
        <v>0</v>
      </c>
      <c r="R37" s="1">
        <v>0</v>
      </c>
      <c r="S37" s="1">
        <v>0</v>
      </c>
      <c r="U37" s="1">
        <v>0</v>
      </c>
      <c r="V37" s="9">
        <v>0</v>
      </c>
    </row>
    <row r="38" spans="1:22">
      <c r="A38" s="1" t="s">
        <v>59</v>
      </c>
      <c r="B38" s="6">
        <v>0</v>
      </c>
      <c r="C38" s="1">
        <v>0</v>
      </c>
      <c r="D38" s="1">
        <v>0</v>
      </c>
      <c r="E38" s="1">
        <v>0</v>
      </c>
      <c r="F38" s="1">
        <v>0</v>
      </c>
      <c r="G38" s="9">
        <f>SUM(NY_FINANCIAL)</f>
        <v>0</v>
      </c>
      <c r="L38" s="6"/>
      <c r="V38" s="9"/>
    </row>
    <row r="39" spans="1:22">
      <c r="A39" s="1" t="s">
        <v>60</v>
      </c>
      <c r="B39" s="6">
        <v>0</v>
      </c>
      <c r="C39" s="1">
        <v>0</v>
      </c>
      <c r="D39" s="1">
        <v>0</v>
      </c>
      <c r="E39" s="1">
        <v>0</v>
      </c>
      <c r="F39" s="1">
        <v>0</v>
      </c>
      <c r="G39" s="9">
        <f>SUM(NC_FINANCIAL)</f>
        <v>0</v>
      </c>
      <c r="L39" s="6"/>
      <c r="V39" s="9"/>
    </row>
    <row r="40" spans="1:22">
      <c r="A40" s="1" t="s">
        <v>61</v>
      </c>
      <c r="B40" s="6">
        <v>16766.193853573728</v>
      </c>
      <c r="C40" s="1">
        <v>923974.75732338103</v>
      </c>
      <c r="D40" s="1">
        <v>0</v>
      </c>
      <c r="E40" s="1">
        <v>0</v>
      </c>
      <c r="F40" s="1">
        <v>0</v>
      </c>
      <c r="G40" s="9">
        <f>SUM(ND_FINANCIAL)</f>
        <v>940740.95117695478</v>
      </c>
      <c r="L40" s="6">
        <v>29200</v>
      </c>
      <c r="M40" s="1">
        <v>0</v>
      </c>
      <c r="O40" s="1">
        <v>2132196</v>
      </c>
      <c r="P40" s="1">
        <v>0</v>
      </c>
      <c r="R40" s="1">
        <v>31540</v>
      </c>
      <c r="S40" s="1">
        <v>0</v>
      </c>
      <c r="U40" s="1">
        <v>0</v>
      </c>
      <c r="V40" s="9">
        <v>0</v>
      </c>
    </row>
    <row r="41" spans="1:22">
      <c r="A41" s="1" t="s">
        <v>62</v>
      </c>
      <c r="B41" s="6">
        <v>0</v>
      </c>
      <c r="C41" s="1">
        <v>133289.07378649502</v>
      </c>
      <c r="D41" s="1">
        <v>0</v>
      </c>
      <c r="E41" s="1">
        <v>0</v>
      </c>
      <c r="F41" s="1">
        <v>0</v>
      </c>
      <c r="G41" s="9">
        <f>SUM(OH_FINANCIAL)</f>
        <v>133289.07378649502</v>
      </c>
      <c r="L41" s="6">
        <v>0</v>
      </c>
      <c r="M41" s="1">
        <v>0</v>
      </c>
      <c r="O41" s="1">
        <v>100000</v>
      </c>
      <c r="P41" s="1">
        <v>0</v>
      </c>
      <c r="R41" s="1">
        <v>50000</v>
      </c>
      <c r="S41" s="1">
        <v>0</v>
      </c>
      <c r="U41" s="1">
        <v>0</v>
      </c>
      <c r="V41" s="9">
        <v>0</v>
      </c>
    </row>
    <row r="42" spans="1:22">
      <c r="A42" s="1" t="s">
        <v>63</v>
      </c>
      <c r="B42" s="6">
        <v>6811.4970673146536</v>
      </c>
      <c r="C42" s="1">
        <v>357432.48639217438</v>
      </c>
      <c r="D42" s="1">
        <v>0</v>
      </c>
      <c r="E42" s="1">
        <v>0</v>
      </c>
      <c r="F42" s="1">
        <v>0</v>
      </c>
      <c r="G42" s="9">
        <f>SUM(OK_FINANCIAL)</f>
        <v>364243.98345948901</v>
      </c>
      <c r="L42" s="6">
        <v>1347500</v>
      </c>
      <c r="M42" s="1">
        <v>24000</v>
      </c>
      <c r="O42" s="1">
        <v>828850</v>
      </c>
      <c r="P42" s="1">
        <v>134000</v>
      </c>
      <c r="R42" s="1">
        <v>2018650</v>
      </c>
      <c r="S42" s="1">
        <v>42000</v>
      </c>
      <c r="U42" s="1">
        <v>0</v>
      </c>
      <c r="V42" s="9">
        <v>0</v>
      </c>
    </row>
    <row r="43" spans="1:22">
      <c r="A43" s="1" t="s">
        <v>64</v>
      </c>
      <c r="B43" s="6">
        <v>0</v>
      </c>
      <c r="C43" s="1">
        <v>193706.35931554943</v>
      </c>
      <c r="D43" s="1">
        <v>0</v>
      </c>
      <c r="E43" s="1">
        <v>0</v>
      </c>
      <c r="F43" s="1">
        <v>0</v>
      </c>
      <c r="G43" s="9">
        <f>SUM(OR_FINANCIAL)</f>
        <v>193706.35931554943</v>
      </c>
      <c r="L43" s="6">
        <v>0</v>
      </c>
      <c r="M43" s="1">
        <v>0</v>
      </c>
      <c r="O43" s="1">
        <v>537486</v>
      </c>
      <c r="P43" s="1">
        <v>0</v>
      </c>
      <c r="R43" s="1">
        <v>0</v>
      </c>
      <c r="S43" s="1">
        <v>0</v>
      </c>
      <c r="U43" s="1">
        <v>0</v>
      </c>
      <c r="V43" s="9">
        <v>0</v>
      </c>
    </row>
    <row r="44" spans="1:22">
      <c r="A44" s="1" t="s">
        <v>65</v>
      </c>
      <c r="B44" s="6">
        <v>0</v>
      </c>
      <c r="C44" s="1">
        <v>0</v>
      </c>
      <c r="D44" s="1">
        <v>0</v>
      </c>
      <c r="E44" s="1">
        <v>0</v>
      </c>
      <c r="F44" s="1">
        <v>0</v>
      </c>
      <c r="G44" s="9">
        <f>SUM(PA_FINANCIAL)</f>
        <v>0</v>
      </c>
      <c r="L44" s="6"/>
      <c r="V44" s="9"/>
    </row>
    <row r="45" spans="1:22">
      <c r="A45" s="1" t="s">
        <v>66</v>
      </c>
      <c r="B45" s="6">
        <v>0</v>
      </c>
      <c r="C45" s="1">
        <v>0</v>
      </c>
      <c r="D45" s="1">
        <v>0</v>
      </c>
      <c r="E45" s="1">
        <v>0</v>
      </c>
      <c r="F45" s="1">
        <v>0</v>
      </c>
      <c r="G45" s="9">
        <f>SUM(PR_FINANCIAL)</f>
        <v>0</v>
      </c>
      <c r="L45" s="6"/>
      <c r="V45" s="9"/>
    </row>
    <row r="46" spans="1:22">
      <c r="A46" s="1" t="s">
        <v>67</v>
      </c>
      <c r="B46" s="6">
        <v>0</v>
      </c>
      <c r="C46" s="1">
        <v>0</v>
      </c>
      <c r="D46" s="1">
        <v>0</v>
      </c>
      <c r="E46" s="1">
        <v>0</v>
      </c>
      <c r="F46" s="1">
        <v>0</v>
      </c>
      <c r="G46" s="9">
        <f>SUM(RI_FINANCIAL)</f>
        <v>0</v>
      </c>
      <c r="L46" s="6"/>
      <c r="V46" s="9"/>
    </row>
    <row r="47" spans="1:22">
      <c r="A47" s="1" t="s">
        <v>68</v>
      </c>
      <c r="B47" s="6">
        <v>0</v>
      </c>
      <c r="C47" s="1">
        <v>0</v>
      </c>
      <c r="D47" s="1">
        <v>0</v>
      </c>
      <c r="E47" s="1">
        <v>0</v>
      </c>
      <c r="F47" s="1">
        <v>0</v>
      </c>
      <c r="G47" s="9">
        <f>SUM(SC_FINANCIAL)</f>
        <v>0</v>
      </c>
      <c r="L47" s="6"/>
      <c r="V47" s="9"/>
    </row>
    <row r="48" spans="1:22">
      <c r="A48" s="1" t="s">
        <v>69</v>
      </c>
      <c r="B48" s="6">
        <v>0</v>
      </c>
      <c r="C48" s="1">
        <v>1121802.9466913943</v>
      </c>
      <c r="D48" s="1">
        <v>0</v>
      </c>
      <c r="E48" s="1">
        <v>0</v>
      </c>
      <c r="F48" s="1">
        <v>0</v>
      </c>
      <c r="G48" s="9">
        <f>SUM(SD_FINANCIAL)</f>
        <v>1121802.9466913943</v>
      </c>
      <c r="L48" s="6">
        <v>200000</v>
      </c>
      <c r="M48" s="1">
        <v>0</v>
      </c>
      <c r="O48" s="1">
        <v>2109508</v>
      </c>
      <c r="P48" s="1">
        <v>403631</v>
      </c>
      <c r="R48" s="1">
        <v>100000</v>
      </c>
      <c r="S48" s="1">
        <v>0</v>
      </c>
      <c r="U48" s="1">
        <v>0</v>
      </c>
      <c r="V48" s="9">
        <v>0</v>
      </c>
    </row>
    <row r="49" spans="1:22">
      <c r="A49" s="1" t="s">
        <v>70</v>
      </c>
      <c r="B49" s="6">
        <v>3868.3358401074493</v>
      </c>
      <c r="C49" s="1">
        <v>341218.80240381334</v>
      </c>
      <c r="D49" s="1">
        <v>0</v>
      </c>
      <c r="E49" s="1">
        <v>0</v>
      </c>
      <c r="F49" s="1">
        <v>0</v>
      </c>
      <c r="G49" s="9">
        <f>SUM(TN_FINANCIAL)</f>
        <v>345087.13824392081</v>
      </c>
      <c r="L49" s="6">
        <v>25000</v>
      </c>
      <c r="M49" s="1">
        <v>0</v>
      </c>
      <c r="O49" s="1">
        <v>275000</v>
      </c>
      <c r="P49" s="1">
        <v>0</v>
      </c>
      <c r="R49" s="1">
        <v>165000</v>
      </c>
      <c r="S49" s="1">
        <v>0</v>
      </c>
      <c r="U49" s="1">
        <v>0</v>
      </c>
      <c r="V49" s="9">
        <v>0</v>
      </c>
    </row>
    <row r="50" spans="1:22">
      <c r="A50" s="1" t="s">
        <v>71</v>
      </c>
      <c r="B50" s="6">
        <v>0</v>
      </c>
      <c r="C50" s="1">
        <v>0</v>
      </c>
      <c r="D50" s="1">
        <v>0</v>
      </c>
      <c r="E50" s="1">
        <v>0</v>
      </c>
      <c r="F50" s="1">
        <v>0</v>
      </c>
      <c r="G50" s="9">
        <f>SUM(TX_FINANCIAL)</f>
        <v>0</v>
      </c>
      <c r="L50" s="6">
        <v>7602</v>
      </c>
      <c r="M50" s="1">
        <v>0</v>
      </c>
      <c r="O50" s="1">
        <v>21182</v>
      </c>
      <c r="P50" s="1">
        <v>0</v>
      </c>
      <c r="R50" s="1">
        <v>1053560</v>
      </c>
      <c r="S50" s="1">
        <v>0</v>
      </c>
      <c r="U50" s="1">
        <v>0</v>
      </c>
      <c r="V50" s="9">
        <v>0</v>
      </c>
    </row>
    <row r="51" spans="1:22">
      <c r="A51" s="1" t="s">
        <v>72</v>
      </c>
      <c r="B51" s="6">
        <v>0</v>
      </c>
      <c r="C51" s="1">
        <v>116080.26193980532</v>
      </c>
      <c r="D51" s="1">
        <v>0</v>
      </c>
      <c r="E51" s="1">
        <v>0</v>
      </c>
      <c r="F51" s="1">
        <v>0</v>
      </c>
      <c r="G51" s="9">
        <f>SUM(UT_FINANCIAL)</f>
        <v>116080.26193980532</v>
      </c>
      <c r="L51" s="6">
        <v>10000</v>
      </c>
      <c r="M51" s="1">
        <v>0</v>
      </c>
      <c r="O51" s="1">
        <v>140000</v>
      </c>
      <c r="P51" s="1">
        <v>0</v>
      </c>
      <c r="R51" s="1">
        <v>89700</v>
      </c>
      <c r="S51" s="1">
        <v>0</v>
      </c>
      <c r="U51" s="1">
        <v>0</v>
      </c>
      <c r="V51" s="9">
        <v>0</v>
      </c>
    </row>
    <row r="52" spans="1:22">
      <c r="A52" s="1" t="s">
        <v>73</v>
      </c>
      <c r="B52" s="6">
        <v>0</v>
      </c>
      <c r="C52" s="1">
        <v>0</v>
      </c>
      <c r="D52" s="1">
        <v>0</v>
      </c>
      <c r="E52" s="1">
        <v>0</v>
      </c>
      <c r="F52" s="1">
        <v>0</v>
      </c>
      <c r="G52" s="9">
        <f>SUM(VT_FINANCIAL)</f>
        <v>0</v>
      </c>
      <c r="L52" s="6"/>
      <c r="V52" s="9"/>
    </row>
    <row r="53" spans="1:22">
      <c r="A53" s="1" t="s">
        <v>74</v>
      </c>
      <c r="B53" s="6">
        <v>0</v>
      </c>
      <c r="C53" s="1">
        <v>0</v>
      </c>
      <c r="D53" s="1">
        <v>0</v>
      </c>
      <c r="E53" s="1">
        <v>0</v>
      </c>
      <c r="F53" s="1">
        <v>0</v>
      </c>
      <c r="G53" s="9">
        <f>SUM(VA_FINANCIAL)</f>
        <v>0</v>
      </c>
      <c r="L53" s="6"/>
      <c r="V53" s="9"/>
    </row>
    <row r="54" spans="1:22">
      <c r="A54" s="1" t="s">
        <v>75</v>
      </c>
      <c r="B54" s="6">
        <v>0</v>
      </c>
      <c r="C54" s="1">
        <v>853142.97649835283</v>
      </c>
      <c r="D54" s="1">
        <v>0</v>
      </c>
      <c r="E54" s="1">
        <v>0</v>
      </c>
      <c r="F54" s="1">
        <v>0</v>
      </c>
      <c r="G54" s="9">
        <f>SUM(WA_FINANCIAL)</f>
        <v>853142.97649835283</v>
      </c>
      <c r="L54" s="6">
        <v>0</v>
      </c>
      <c r="M54" s="1">
        <v>0</v>
      </c>
      <c r="O54" s="1">
        <v>2000000</v>
      </c>
      <c r="P54" s="1">
        <v>0</v>
      </c>
      <c r="R54" s="1">
        <v>0</v>
      </c>
      <c r="S54" s="1">
        <v>0</v>
      </c>
      <c r="U54" s="1">
        <v>0</v>
      </c>
      <c r="V54" s="9">
        <v>0</v>
      </c>
    </row>
    <row r="55" spans="1:22">
      <c r="A55" s="1" t="s">
        <v>76</v>
      </c>
      <c r="B55" s="6">
        <v>0</v>
      </c>
      <c r="C55" s="1">
        <v>0</v>
      </c>
      <c r="D55" s="1">
        <v>0</v>
      </c>
      <c r="E55" s="1">
        <v>0</v>
      </c>
      <c r="F55" s="1">
        <v>0</v>
      </c>
      <c r="G55" s="9">
        <f>SUM(WV_FINANCIAL)</f>
        <v>0</v>
      </c>
      <c r="L55" s="6"/>
      <c r="V55" s="9"/>
    </row>
    <row r="56" spans="1:22">
      <c r="A56" s="1" t="s">
        <v>77</v>
      </c>
      <c r="B56" s="6">
        <v>0</v>
      </c>
      <c r="C56" s="1">
        <v>0</v>
      </c>
      <c r="D56" s="1">
        <v>0</v>
      </c>
      <c r="E56" s="1">
        <v>0</v>
      </c>
      <c r="F56" s="1">
        <v>0</v>
      </c>
      <c r="G56" s="9">
        <f>SUM(WI_FINANCIAL)</f>
        <v>0</v>
      </c>
      <c r="L56" s="6"/>
      <c r="V56" s="9"/>
    </row>
    <row r="57" spans="1:22">
      <c r="A57" s="1" t="s">
        <v>78</v>
      </c>
      <c r="B57" s="6">
        <v>0</v>
      </c>
      <c r="C57" s="1">
        <v>1422147.45162501</v>
      </c>
      <c r="D57" s="1">
        <v>0</v>
      </c>
      <c r="E57" s="1">
        <v>0</v>
      </c>
      <c r="F57" s="1">
        <v>0</v>
      </c>
      <c r="G57" s="9">
        <f>SUM(WY_FINANCIAL)</f>
        <v>1422147.45162501</v>
      </c>
      <c r="L57" s="6">
        <v>0</v>
      </c>
      <c r="M57" s="1">
        <v>0</v>
      </c>
      <c r="O57" s="1">
        <v>2300000</v>
      </c>
      <c r="P57" s="1">
        <v>2337876</v>
      </c>
      <c r="R57" s="1">
        <v>0</v>
      </c>
      <c r="S57" s="1">
        <v>0</v>
      </c>
      <c r="U57" s="1">
        <v>0</v>
      </c>
      <c r="V57" s="9">
        <v>0</v>
      </c>
    </row>
    <row r="58" spans="1:22">
      <c r="A58" s="1" t="s">
        <v>79</v>
      </c>
      <c r="B58" s="6">
        <v>0</v>
      </c>
      <c r="C58" s="1">
        <v>0</v>
      </c>
      <c r="D58" s="1">
        <v>0</v>
      </c>
      <c r="E58" s="1">
        <v>0</v>
      </c>
      <c r="F58" s="1">
        <v>0</v>
      </c>
      <c r="G58" s="9">
        <f>SUM(OT_FINANCIAL)</f>
        <v>0</v>
      </c>
      <c r="L58" s="6"/>
      <c r="V58" s="9"/>
    </row>
    <row r="59" spans="1:22">
      <c r="B59" s="6"/>
      <c r="G59" s="9"/>
      <c r="L59" s="6"/>
      <c r="V59" s="9"/>
    </row>
    <row r="60" spans="1:22">
      <c r="A60" s="1" t="s">
        <v>8</v>
      </c>
      <c r="B60" s="6">
        <f>SUM(LIFE)</f>
        <v>886028.97456892044</v>
      </c>
      <c r="C60" s="1">
        <f>SUM(ALLOCATED)</f>
        <v>32048671.496619485</v>
      </c>
      <c r="D60" s="1">
        <f>SUM(HEALTH)</f>
        <v>82009.568811594945</v>
      </c>
      <c r="E60" s="1">
        <f>SUM(UNALLOCATED)</f>
        <v>0</v>
      </c>
      <c r="F60" s="1">
        <f>SUM(LTC)</f>
        <v>0</v>
      </c>
      <c r="G60" s="9">
        <f>SUM(ALL_BLOCKS)</f>
        <v>33016710.039999999</v>
      </c>
      <c r="L60" s="6">
        <f>SUM(LIFE_CALLED)</f>
        <v>3798558</v>
      </c>
      <c r="M60" s="1">
        <f>SUM(LIFE_REFUNDED)</f>
        <v>1244000</v>
      </c>
      <c r="O60" s="1">
        <f>SUM(ALLOC_CALLED)</f>
        <v>75236595</v>
      </c>
      <c r="P60" s="1">
        <f>SUM(ALLOC_REFUNDED)</f>
        <v>12991485</v>
      </c>
      <c r="R60" s="1">
        <f>SUM(HEALTH_CALLED)</f>
        <v>4535768</v>
      </c>
      <c r="S60" s="1">
        <f>SUM(HEALTH_REFUNDED)</f>
        <v>725908</v>
      </c>
      <c r="U60" s="1">
        <f>SUM(UNALLOC_CALLED)</f>
        <v>0</v>
      </c>
      <c r="V60" s="9">
        <f>SUM(UNALLOC_REFUNDED)</f>
        <v>0</v>
      </c>
    </row>
    <row r="61" spans="1:22" ht="5.0999999999999996" customHeight="1">
      <c r="B61" s="6"/>
      <c r="G61" s="9"/>
      <c r="L61" s="6"/>
      <c r="V61" s="9"/>
    </row>
    <row r="62" spans="1:22">
      <c r="B62" s="6"/>
      <c r="G62" s="9"/>
      <c r="L62" s="78" t="s">
        <v>80</v>
      </c>
      <c r="M62" s="79"/>
      <c r="N62" s="79"/>
      <c r="O62" s="79"/>
      <c r="P62" s="79"/>
      <c r="Q62" s="79"/>
      <c r="R62" s="79"/>
      <c r="S62" s="79"/>
      <c r="T62" s="79"/>
      <c r="U62" s="79"/>
      <c r="V62" s="80"/>
    </row>
    <row r="63" spans="1:22">
      <c r="B63" s="6"/>
      <c r="G63" s="9"/>
      <c r="L63" s="81"/>
      <c r="M63" s="79"/>
      <c r="N63" s="79"/>
      <c r="O63" s="79"/>
      <c r="P63" s="79"/>
      <c r="Q63" s="79"/>
      <c r="R63" s="79"/>
      <c r="S63" s="79"/>
      <c r="T63" s="79"/>
      <c r="U63" s="79"/>
      <c r="V63" s="80"/>
    </row>
    <row r="64" spans="1:22">
      <c r="B64" s="8"/>
      <c r="C64" s="5"/>
      <c r="D64" s="5"/>
      <c r="E64" s="5"/>
      <c r="F64" s="5"/>
      <c r="G64" s="11"/>
      <c r="L64" s="82"/>
      <c r="M64" s="83"/>
      <c r="N64" s="83"/>
      <c r="O64" s="83"/>
      <c r="P64" s="83"/>
      <c r="Q64" s="83"/>
      <c r="R64" s="83"/>
      <c r="S64" s="83"/>
      <c r="T64" s="83"/>
      <c r="U64" s="83"/>
      <c r="V64" s="84"/>
    </row>
  </sheetData>
  <mergeCells count="8">
    <mergeCell ref="L62:V64"/>
    <mergeCell ref="A1:G1"/>
    <mergeCell ref="B3:G3"/>
    <mergeCell ref="L3:V3"/>
    <mergeCell ref="L4:M4"/>
    <mergeCell ref="O4:P4"/>
    <mergeCell ref="R4:S4"/>
    <mergeCell ref="U4:V4"/>
  </mergeCells>
  <pageMargins left="0" right="0" top="0" bottom="0" header="0" footer="0"/>
  <pageSetup scale="48"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pageSetUpPr fitToPage="1"/>
  </sheetPr>
  <dimension ref="A1:V64"/>
  <sheetViews>
    <sheetView zoomScale="75" workbookViewId="0">
      <selection sqref="A1:G1"/>
    </sheetView>
  </sheetViews>
  <sheetFormatPr defaultColWidth="9.109375" defaultRowHeight="14.4"/>
  <cols>
    <col min="1" max="1" width="20" style="1" customWidth="1"/>
    <col min="2" max="7" width="15" style="1" customWidth="1"/>
    <col min="8" max="8" width="1" style="1" customWidth="1"/>
    <col min="9" max="9" width="30" style="1" customWidth="1"/>
    <col min="10" max="10" width="15" style="1" customWidth="1"/>
    <col min="11" max="11" width="1" style="1" customWidth="1"/>
    <col min="12" max="13" width="15" style="1" customWidth="1"/>
    <col min="14" max="14" width="1" style="1" customWidth="1"/>
    <col min="15" max="16" width="15" style="1" customWidth="1"/>
    <col min="17" max="17" width="1" style="1" customWidth="1"/>
    <col min="18" max="19" width="15" style="1" customWidth="1"/>
    <col min="20" max="20" width="1" style="1" customWidth="1"/>
    <col min="21" max="22" width="15" style="1" customWidth="1"/>
    <col min="23" max="23" width="9.109375" style="1" customWidth="1"/>
    <col min="24" max="16384" width="9.109375" style="1"/>
  </cols>
  <sheetData>
    <row r="1" spans="1:22">
      <c r="A1" s="85" t="s">
        <v>145</v>
      </c>
      <c r="B1" s="79"/>
      <c r="C1" s="79"/>
      <c r="D1" s="79"/>
      <c r="E1" s="79"/>
      <c r="F1" s="79"/>
      <c r="G1" s="79"/>
    </row>
    <row r="3" spans="1:22">
      <c r="B3" s="86" t="s">
        <v>1</v>
      </c>
      <c r="C3" s="87"/>
      <c r="D3" s="87"/>
      <c r="E3" s="87"/>
      <c r="F3" s="87"/>
      <c r="G3" s="88"/>
      <c r="L3" s="89" t="s">
        <v>2</v>
      </c>
      <c r="M3" s="90"/>
      <c r="N3" s="90"/>
      <c r="O3" s="90"/>
      <c r="P3" s="90"/>
      <c r="Q3" s="90"/>
      <c r="R3" s="90"/>
      <c r="S3" s="90"/>
      <c r="T3" s="90"/>
      <c r="U3" s="90"/>
      <c r="V3" s="91"/>
    </row>
    <row r="4" spans="1:22">
      <c r="B4" s="6"/>
      <c r="G4" s="9"/>
      <c r="L4" s="92" t="s">
        <v>3</v>
      </c>
      <c r="M4" s="93"/>
      <c r="N4" s="3"/>
      <c r="O4" s="94" t="s">
        <v>4</v>
      </c>
      <c r="P4" s="93"/>
      <c r="Q4" s="3"/>
      <c r="R4" s="94" t="s">
        <v>5</v>
      </c>
      <c r="S4" s="93"/>
      <c r="T4" s="3"/>
      <c r="U4" s="94" t="s">
        <v>6</v>
      </c>
      <c r="V4" s="95"/>
    </row>
    <row r="5" spans="1:22" ht="60" customHeight="1">
      <c r="B5" s="7" t="s">
        <v>3</v>
      </c>
      <c r="C5" s="4" t="s">
        <v>4</v>
      </c>
      <c r="D5" s="4" t="s">
        <v>5</v>
      </c>
      <c r="E5" s="4" t="s">
        <v>6</v>
      </c>
      <c r="F5" s="4" t="s">
        <v>7</v>
      </c>
      <c r="G5" s="10" t="s">
        <v>8</v>
      </c>
      <c r="L5" s="19" t="s">
        <v>9</v>
      </c>
      <c r="M5" s="18" t="s">
        <v>10</v>
      </c>
      <c r="N5" s="18"/>
      <c r="O5" s="18" t="s">
        <v>9</v>
      </c>
      <c r="P5" s="18" t="s">
        <v>10</v>
      </c>
      <c r="Q5" s="18"/>
      <c r="R5" s="18" t="s">
        <v>9</v>
      </c>
      <c r="S5" s="18" t="s">
        <v>10</v>
      </c>
      <c r="T5" s="18"/>
      <c r="U5" s="18" t="s">
        <v>9</v>
      </c>
      <c r="V5" s="20" t="s">
        <v>10</v>
      </c>
    </row>
    <row r="6" spans="1:22">
      <c r="A6" s="1" t="s">
        <v>11</v>
      </c>
      <c r="B6" s="6">
        <v>716.85757678409254</v>
      </c>
      <c r="C6" s="1">
        <v>712.41637412866589</v>
      </c>
      <c r="D6" s="1">
        <v>278.153237583595</v>
      </c>
      <c r="E6" s="1">
        <v>0</v>
      </c>
      <c r="F6" s="1">
        <v>0</v>
      </c>
      <c r="G6" s="9">
        <f>SUM(AL_FINANCIAL)</f>
        <v>1707.4271884963534</v>
      </c>
      <c r="L6" s="6"/>
      <c r="V6" s="9"/>
    </row>
    <row r="7" spans="1:22">
      <c r="A7" s="1" t="s">
        <v>12</v>
      </c>
      <c r="B7" s="6">
        <v>614.19234833766143</v>
      </c>
      <c r="C7" s="1">
        <v>2.6652368420856729</v>
      </c>
      <c r="D7" s="1">
        <v>76.815677703275156</v>
      </c>
      <c r="E7" s="1">
        <v>0</v>
      </c>
      <c r="F7" s="1">
        <v>0</v>
      </c>
      <c r="G7" s="9">
        <f>SUM(AK_FINANCIAL)</f>
        <v>693.67326288302218</v>
      </c>
      <c r="I7" s="12"/>
      <c r="J7" s="15"/>
      <c r="L7" s="6">
        <v>250</v>
      </c>
      <c r="M7" s="1">
        <v>490</v>
      </c>
      <c r="O7" s="1">
        <v>0</v>
      </c>
      <c r="P7" s="1">
        <v>0</v>
      </c>
      <c r="R7" s="1">
        <v>0</v>
      </c>
      <c r="S7" s="1">
        <v>0</v>
      </c>
      <c r="U7" s="1">
        <v>0</v>
      </c>
      <c r="V7" s="9">
        <v>0</v>
      </c>
    </row>
    <row r="8" spans="1:22">
      <c r="A8" s="1" t="s">
        <v>13</v>
      </c>
      <c r="B8" s="6">
        <v>4518.7443822261394</v>
      </c>
      <c r="C8" s="1">
        <v>2000.3773726108168</v>
      </c>
      <c r="D8" s="1">
        <v>2079.4538195001646</v>
      </c>
      <c r="E8" s="1">
        <v>0</v>
      </c>
      <c r="F8" s="1">
        <v>0</v>
      </c>
      <c r="G8" s="9">
        <f>SUM(AZ_FINANCIAL)</f>
        <v>8598.575574337121</v>
      </c>
      <c r="I8" s="13" t="s">
        <v>14</v>
      </c>
      <c r="J8" s="16"/>
      <c r="L8" s="6"/>
      <c r="V8" s="9"/>
    </row>
    <row r="9" spans="1:22">
      <c r="A9" s="1" t="s">
        <v>15</v>
      </c>
      <c r="B9" s="6">
        <v>829.13334191259196</v>
      </c>
      <c r="C9" s="1">
        <v>314.78659604115273</v>
      </c>
      <c r="D9" s="1">
        <v>400.98951466715789</v>
      </c>
      <c r="E9" s="1">
        <v>0</v>
      </c>
      <c r="F9" s="1">
        <v>0</v>
      </c>
      <c r="G9" s="9">
        <f>SUM(AR_FINANCIAL)</f>
        <v>1544.9094526209026</v>
      </c>
      <c r="I9" s="13"/>
      <c r="J9" s="16"/>
      <c r="L9" s="6">
        <v>3367</v>
      </c>
      <c r="M9" s="1">
        <v>0</v>
      </c>
      <c r="O9" s="1">
        <v>0</v>
      </c>
      <c r="P9" s="1">
        <v>0</v>
      </c>
      <c r="R9" s="1">
        <v>0</v>
      </c>
      <c r="S9" s="1">
        <v>0</v>
      </c>
      <c r="U9" s="1">
        <v>0</v>
      </c>
      <c r="V9" s="9">
        <v>0</v>
      </c>
    </row>
    <row r="10" spans="1:22">
      <c r="A10" s="1" t="s">
        <v>16</v>
      </c>
      <c r="B10" s="6">
        <v>23883.763473535946</v>
      </c>
      <c r="C10" s="1">
        <v>4014.352235427657</v>
      </c>
      <c r="D10" s="1">
        <v>23026.420442887309</v>
      </c>
      <c r="E10" s="1">
        <v>0</v>
      </c>
      <c r="F10" s="1">
        <v>0</v>
      </c>
      <c r="G10" s="9">
        <f>SUM(CA_FINANCIAL)</f>
        <v>50924.536151850916</v>
      </c>
      <c r="I10" s="13" t="s">
        <v>17</v>
      </c>
      <c r="J10" s="16">
        <v>789601673</v>
      </c>
      <c r="L10" s="6"/>
      <c r="V10" s="9"/>
    </row>
    <row r="11" spans="1:22">
      <c r="A11" s="1" t="s">
        <v>18</v>
      </c>
      <c r="B11" s="6">
        <v>4521.9305862352239</v>
      </c>
      <c r="C11" s="1">
        <v>1090.1352740976226</v>
      </c>
      <c r="D11" s="1">
        <v>2622.826731892746</v>
      </c>
      <c r="E11" s="1">
        <v>0</v>
      </c>
      <c r="F11" s="1">
        <v>0</v>
      </c>
      <c r="G11" s="9">
        <f>SUM(CO_FINANCIAL)</f>
        <v>8234.892592225593</v>
      </c>
      <c r="I11" s="13"/>
      <c r="J11" s="16"/>
      <c r="L11" s="6"/>
      <c r="V11" s="9"/>
    </row>
    <row r="12" spans="1:22">
      <c r="A12" s="1" t="s">
        <v>19</v>
      </c>
      <c r="B12" s="6">
        <v>5583.9690469360812</v>
      </c>
      <c r="C12" s="1">
        <v>1580.1623546498879</v>
      </c>
      <c r="D12" s="1">
        <v>6715.2796268991888</v>
      </c>
      <c r="E12" s="1">
        <v>0</v>
      </c>
      <c r="F12" s="1">
        <v>0</v>
      </c>
      <c r="G12" s="9">
        <f>SUM(CT_FINANCIAL)</f>
        <v>13879.411028485158</v>
      </c>
      <c r="I12" s="13" t="s">
        <v>20</v>
      </c>
      <c r="J12" s="16"/>
      <c r="L12" s="6"/>
      <c r="V12" s="9"/>
    </row>
    <row r="13" spans="1:22">
      <c r="A13" s="1" t="s">
        <v>21</v>
      </c>
      <c r="B13" s="6">
        <v>383.91796300817265</v>
      </c>
      <c r="C13" s="1">
        <v>153.75012122624136</v>
      </c>
      <c r="D13" s="1">
        <v>337.35118880231272</v>
      </c>
      <c r="E13" s="1">
        <v>0</v>
      </c>
      <c r="F13" s="1">
        <v>0</v>
      </c>
      <c r="G13" s="9">
        <f>SUM(DE_FINANCIAL)</f>
        <v>875.01927303672664</v>
      </c>
      <c r="I13" s="13" t="s">
        <v>22</v>
      </c>
      <c r="J13" s="16">
        <v>0</v>
      </c>
      <c r="L13" s="6"/>
      <c r="V13" s="9"/>
    </row>
    <row r="14" spans="1:22">
      <c r="A14" s="1" t="s">
        <v>23</v>
      </c>
      <c r="B14" s="6">
        <v>671.32080736114619</v>
      </c>
      <c r="C14" s="1">
        <v>146.81545525405431</v>
      </c>
      <c r="D14" s="1">
        <v>543.44525624376058</v>
      </c>
      <c r="E14" s="1">
        <v>0</v>
      </c>
      <c r="F14" s="1">
        <v>0</v>
      </c>
      <c r="G14" s="9">
        <f>SUM(DC_FINANCIAL)</f>
        <v>1361.5815188589611</v>
      </c>
      <c r="I14" s="13" t="s">
        <v>24</v>
      </c>
      <c r="J14" s="16">
        <v>0</v>
      </c>
      <c r="L14" s="6"/>
      <c r="V14" s="9"/>
    </row>
    <row r="15" spans="1:22">
      <c r="A15" s="1" t="s">
        <v>25</v>
      </c>
      <c r="B15" s="6">
        <v>14566.853465609074</v>
      </c>
      <c r="C15" s="1">
        <v>5962.8901926315448</v>
      </c>
      <c r="D15" s="1">
        <v>9471.6249614500994</v>
      </c>
      <c r="E15" s="1">
        <v>0</v>
      </c>
      <c r="F15" s="1">
        <v>0</v>
      </c>
      <c r="G15" s="9">
        <f>SUM(FL_FINANCIAL)</f>
        <v>30001.368619690718</v>
      </c>
      <c r="I15" s="13" t="s">
        <v>26</v>
      </c>
      <c r="J15" s="16">
        <v>510037.13999999984</v>
      </c>
      <c r="L15" s="6"/>
      <c r="V15" s="9"/>
    </row>
    <row r="16" spans="1:22">
      <c r="A16" s="1" t="s">
        <v>27</v>
      </c>
      <c r="B16" s="6">
        <v>1895.6418554509248</v>
      </c>
      <c r="C16" s="1">
        <v>1776.5641991231032</v>
      </c>
      <c r="D16" s="1">
        <v>1307.3770111219535</v>
      </c>
      <c r="E16" s="1">
        <v>0</v>
      </c>
      <c r="F16" s="1">
        <v>0</v>
      </c>
      <c r="G16" s="9">
        <f>SUM(GA_FINANCIAL)</f>
        <v>4979.5830656959815</v>
      </c>
      <c r="I16" s="13" t="s">
        <v>28</v>
      </c>
      <c r="J16" s="16">
        <v>0</v>
      </c>
      <c r="L16" s="6"/>
      <c r="V16" s="9"/>
    </row>
    <row r="17" spans="1:22">
      <c r="A17" s="1" t="s">
        <v>29</v>
      </c>
      <c r="B17" s="6">
        <v>1388.6676065905997</v>
      </c>
      <c r="C17" s="1">
        <v>209.24930700136284</v>
      </c>
      <c r="D17" s="1">
        <v>220.49799696567447</v>
      </c>
      <c r="E17" s="1">
        <v>0</v>
      </c>
      <c r="F17" s="1">
        <v>0</v>
      </c>
      <c r="G17" s="9">
        <f>SUM(HI_FINANCIAL)</f>
        <v>1818.4149105576371</v>
      </c>
      <c r="I17" s="13"/>
      <c r="J17" s="16"/>
      <c r="L17" s="6">
        <v>1521</v>
      </c>
      <c r="M17" s="1">
        <v>0</v>
      </c>
      <c r="O17" s="1">
        <v>228</v>
      </c>
      <c r="P17" s="1">
        <v>0</v>
      </c>
      <c r="R17" s="1">
        <v>304</v>
      </c>
      <c r="S17" s="1">
        <v>0</v>
      </c>
      <c r="U17" s="1">
        <v>0</v>
      </c>
      <c r="V17" s="9">
        <v>0</v>
      </c>
    </row>
    <row r="18" spans="1:22">
      <c r="A18" s="1" t="s">
        <v>30</v>
      </c>
      <c r="B18" s="6">
        <v>521.05674832049124</v>
      </c>
      <c r="C18" s="1">
        <v>0.55641094367877197</v>
      </c>
      <c r="D18" s="1">
        <v>129.44874604175246</v>
      </c>
      <c r="E18" s="1">
        <v>0</v>
      </c>
      <c r="F18" s="1">
        <v>0</v>
      </c>
      <c r="G18" s="9">
        <f>SUM(ID_FINANCIAL)</f>
        <v>651.06190530592244</v>
      </c>
      <c r="I18" s="13" t="s">
        <v>31</v>
      </c>
      <c r="J18" s="16"/>
      <c r="L18" s="6"/>
      <c r="V18" s="9"/>
    </row>
    <row r="19" spans="1:22">
      <c r="A19" s="1" t="s">
        <v>32</v>
      </c>
      <c r="B19" s="6">
        <v>7363.2739786566799</v>
      </c>
      <c r="C19" s="1">
        <v>2761.7794534840332</v>
      </c>
      <c r="D19" s="1">
        <v>6102.9370721055375</v>
      </c>
      <c r="E19" s="1">
        <v>0</v>
      </c>
      <c r="F19" s="1">
        <v>0</v>
      </c>
      <c r="G19" s="9">
        <f>SUM(IL_FINANCIAL)</f>
        <v>16227.990504246252</v>
      </c>
      <c r="I19" s="13" t="s">
        <v>33</v>
      </c>
      <c r="J19" s="16">
        <v>0</v>
      </c>
      <c r="L19" s="6"/>
      <c r="V19" s="9"/>
    </row>
    <row r="20" spans="1:22">
      <c r="A20" s="1" t="s">
        <v>34</v>
      </c>
      <c r="B20" s="6">
        <v>2353.927933405193</v>
      </c>
      <c r="C20" s="1">
        <v>968.4202807223802</v>
      </c>
      <c r="D20" s="1">
        <v>1906.9572262062966</v>
      </c>
      <c r="E20" s="1">
        <v>0</v>
      </c>
      <c r="F20" s="1">
        <v>0</v>
      </c>
      <c r="G20" s="9">
        <f>SUM(IN_FINANCIAL)</f>
        <v>5229.3054403338701</v>
      </c>
      <c r="I20" s="13" t="s">
        <v>35</v>
      </c>
      <c r="J20" s="16">
        <v>789601673</v>
      </c>
      <c r="L20" s="6"/>
      <c r="V20" s="9"/>
    </row>
    <row r="21" spans="1:22">
      <c r="A21" s="1" t="s">
        <v>36</v>
      </c>
      <c r="B21" s="6">
        <v>3139.1115154991403</v>
      </c>
      <c r="C21" s="1">
        <v>1001.3569817393825</v>
      </c>
      <c r="D21" s="1">
        <v>1870.7058065449257</v>
      </c>
      <c r="E21" s="1">
        <v>0</v>
      </c>
      <c r="F21" s="1">
        <v>0</v>
      </c>
      <c r="G21" s="9">
        <f>SUM(IA_FINANCIAL)</f>
        <v>6011.1743037834485</v>
      </c>
      <c r="I21" s="13" t="s">
        <v>37</v>
      </c>
      <c r="J21" s="16"/>
      <c r="L21" s="6"/>
      <c r="V21" s="9"/>
    </row>
    <row r="22" spans="1:22">
      <c r="A22" s="1" t="s">
        <v>38</v>
      </c>
      <c r="B22" s="6">
        <v>2913.3905262885833</v>
      </c>
      <c r="C22" s="1">
        <v>970.02712226240965</v>
      </c>
      <c r="D22" s="1">
        <v>4392.1043776434626</v>
      </c>
      <c r="E22" s="1">
        <v>0</v>
      </c>
      <c r="F22" s="1">
        <v>0</v>
      </c>
      <c r="G22" s="9">
        <f>SUM(KS_FINANCIAL)</f>
        <v>8275.522026194456</v>
      </c>
      <c r="I22" s="13" t="s">
        <v>39</v>
      </c>
      <c r="J22" s="16">
        <v>0</v>
      </c>
      <c r="L22" s="6"/>
      <c r="V22" s="9"/>
    </row>
    <row r="23" spans="1:22">
      <c r="A23" s="1" t="s">
        <v>40</v>
      </c>
      <c r="B23" s="6">
        <v>658.70472017318787</v>
      </c>
      <c r="C23" s="1">
        <v>835.61283235898532</v>
      </c>
      <c r="D23" s="1">
        <v>1197.1347074539535</v>
      </c>
      <c r="E23" s="1">
        <v>0</v>
      </c>
      <c r="F23" s="1">
        <v>0</v>
      </c>
      <c r="G23" s="9">
        <f>SUM(KY_FINANCIAL)</f>
        <v>2691.4522599861266</v>
      </c>
      <c r="I23" s="13" t="s">
        <v>41</v>
      </c>
      <c r="J23" s="16"/>
      <c r="L23" s="6"/>
      <c r="V23" s="9"/>
    </row>
    <row r="24" spans="1:22">
      <c r="A24" s="1" t="s">
        <v>42</v>
      </c>
      <c r="B24" s="6">
        <v>0</v>
      </c>
      <c r="C24" s="1">
        <v>0</v>
      </c>
      <c r="D24" s="1">
        <v>0</v>
      </c>
      <c r="E24" s="1">
        <v>0</v>
      </c>
      <c r="F24" s="1">
        <v>0</v>
      </c>
      <c r="G24" s="9">
        <f>SUM(LA_FINANCIAL)</f>
        <v>0</v>
      </c>
      <c r="I24" s="13" t="s">
        <v>43</v>
      </c>
      <c r="J24" s="16">
        <v>0</v>
      </c>
      <c r="L24" s="6"/>
      <c r="V24" s="9"/>
    </row>
    <row r="25" spans="1:22">
      <c r="A25" s="1" t="s">
        <v>44</v>
      </c>
      <c r="B25" s="6">
        <v>1136.691056486432</v>
      </c>
      <c r="C25" s="1">
        <v>766.36476210422688</v>
      </c>
      <c r="D25" s="1">
        <v>666.50813948887946</v>
      </c>
      <c r="E25" s="1">
        <v>0</v>
      </c>
      <c r="F25" s="1">
        <v>0</v>
      </c>
      <c r="G25" s="9">
        <f>SUM(ME_FINANCIAL)</f>
        <v>2569.5639580795382</v>
      </c>
      <c r="I25" s="13"/>
      <c r="J25" s="16"/>
      <c r="L25" s="6"/>
      <c r="V25" s="9"/>
    </row>
    <row r="26" spans="1:22">
      <c r="A26" s="1" t="s">
        <v>45</v>
      </c>
      <c r="B26" s="6">
        <v>4494.5535051173647</v>
      </c>
      <c r="C26" s="1">
        <v>1277.8759987904484</v>
      </c>
      <c r="D26" s="1">
        <v>8041.5780455055183</v>
      </c>
      <c r="E26" s="1">
        <v>0</v>
      </c>
      <c r="F26" s="1">
        <v>0</v>
      </c>
      <c r="G26" s="9">
        <f>SUM(MD_FINANCIAL)</f>
        <v>13814.007549413331</v>
      </c>
      <c r="I26" s="13" t="s">
        <v>46</v>
      </c>
      <c r="J26" s="16">
        <f>SUM(ADD_FINANCIAL)-SUM(LESS_FINANCIAL)</f>
        <v>510037.13999998569</v>
      </c>
      <c r="L26" s="6"/>
      <c r="V26" s="9"/>
    </row>
    <row r="27" spans="1:22">
      <c r="A27" s="1" t="s">
        <v>47</v>
      </c>
      <c r="B27" s="6">
        <v>9857.7795683310542</v>
      </c>
      <c r="C27" s="1">
        <v>17501.327264501575</v>
      </c>
      <c r="D27" s="1">
        <v>6997.5389159593542</v>
      </c>
      <c r="E27" s="1">
        <v>0</v>
      </c>
      <c r="F27" s="1">
        <v>0</v>
      </c>
      <c r="G27" s="9">
        <f>SUM(MA_FINANCIAL)</f>
        <v>34356.645748791983</v>
      </c>
      <c r="I27" s="13" t="s">
        <v>48</v>
      </c>
      <c r="J27" s="16">
        <f>SUM(ALL_BLOCKS)</f>
        <v>510037.13999999984</v>
      </c>
      <c r="L27" s="6"/>
      <c r="V27" s="9"/>
    </row>
    <row r="28" spans="1:22">
      <c r="A28" s="1" t="s">
        <v>49</v>
      </c>
      <c r="B28" s="6">
        <v>10457.470096850535</v>
      </c>
      <c r="C28" s="1">
        <v>2309.8049924249908</v>
      </c>
      <c r="D28" s="1">
        <v>8637.4998796863056</v>
      </c>
      <c r="E28" s="1">
        <v>0</v>
      </c>
      <c r="F28" s="1">
        <v>0</v>
      </c>
      <c r="G28" s="9">
        <f>SUM(MI_FINANCIAL)</f>
        <v>21404.774968961829</v>
      </c>
      <c r="I28" s="14"/>
      <c r="J28" s="17"/>
      <c r="L28" s="6"/>
      <c r="V28" s="9"/>
    </row>
    <row r="29" spans="1:22">
      <c r="A29" s="1" t="s">
        <v>50</v>
      </c>
      <c r="B29" s="6">
        <v>3776.0875114241239</v>
      </c>
      <c r="C29" s="1">
        <v>1818.4939890555024</v>
      </c>
      <c r="D29" s="1">
        <v>5249.5135219902486</v>
      </c>
      <c r="E29" s="1">
        <v>0</v>
      </c>
      <c r="F29" s="1">
        <v>0</v>
      </c>
      <c r="G29" s="9">
        <f>SUM(MN_FINANCIAL)</f>
        <v>10844.095022469875</v>
      </c>
      <c r="L29" s="6"/>
      <c r="V29" s="9"/>
    </row>
    <row r="30" spans="1:22">
      <c r="A30" s="1" t="s">
        <v>51</v>
      </c>
      <c r="B30" s="6">
        <v>298.47532124556477</v>
      </c>
      <c r="C30" s="1">
        <v>510.52113930868143</v>
      </c>
      <c r="D30" s="1">
        <v>295.92595103799653</v>
      </c>
      <c r="E30" s="1">
        <v>0</v>
      </c>
      <c r="F30" s="1">
        <v>0</v>
      </c>
      <c r="G30" s="9">
        <f>SUM(MS_FINANCIAL)</f>
        <v>1104.9224115922427</v>
      </c>
      <c r="L30" s="6"/>
      <c r="V30" s="9"/>
    </row>
    <row r="31" spans="1:22">
      <c r="A31" s="1" t="s">
        <v>52</v>
      </c>
      <c r="B31" s="6">
        <v>3720.541933113615</v>
      </c>
      <c r="C31" s="1">
        <v>780.1814965584698</v>
      </c>
      <c r="D31" s="1">
        <v>3168.3299724017866</v>
      </c>
      <c r="E31" s="1">
        <v>0</v>
      </c>
      <c r="F31" s="1">
        <v>0</v>
      </c>
      <c r="G31" s="9">
        <f>SUM(MO_FINANCIAL)</f>
        <v>7669.0534020738705</v>
      </c>
      <c r="L31" s="6"/>
      <c r="V31" s="9"/>
    </row>
    <row r="32" spans="1:22">
      <c r="A32" s="1" t="s">
        <v>53</v>
      </c>
      <c r="B32" s="6">
        <v>527.25423789615263</v>
      </c>
      <c r="C32" s="1">
        <v>239.75033886654504</v>
      </c>
      <c r="D32" s="1">
        <v>256.65896689181966</v>
      </c>
      <c r="E32" s="1">
        <v>0</v>
      </c>
      <c r="F32" s="1">
        <v>0</v>
      </c>
      <c r="G32" s="9">
        <f>SUM(MT_FINANCIAL)</f>
        <v>1023.6635436545173</v>
      </c>
      <c r="L32" s="6"/>
      <c r="V32" s="9"/>
    </row>
    <row r="33" spans="1:22">
      <c r="A33" s="1" t="s">
        <v>54</v>
      </c>
      <c r="B33" s="6">
        <v>1973.5387042535958</v>
      </c>
      <c r="C33" s="1">
        <v>582.80721493537726</v>
      </c>
      <c r="D33" s="1">
        <v>900.12885357671519</v>
      </c>
      <c r="E33" s="1">
        <v>0</v>
      </c>
      <c r="F33" s="1">
        <v>0</v>
      </c>
      <c r="G33" s="9">
        <f>SUM(NE_FINANCIAL)</f>
        <v>3456.4747727656886</v>
      </c>
      <c r="L33" s="6"/>
      <c r="V33" s="9"/>
    </row>
    <row r="34" spans="1:22">
      <c r="A34" s="1" t="s">
        <v>55</v>
      </c>
      <c r="B34" s="6">
        <v>1604.4208968434129</v>
      </c>
      <c r="C34" s="1">
        <v>456.49758240572999</v>
      </c>
      <c r="D34" s="1">
        <v>607.74165924225588</v>
      </c>
      <c r="E34" s="1">
        <v>0</v>
      </c>
      <c r="F34" s="1">
        <v>0</v>
      </c>
      <c r="G34" s="9">
        <f>SUM(NV_FINANCIAL)</f>
        <v>2668.6601384913988</v>
      </c>
      <c r="L34" s="6"/>
      <c r="V34" s="9"/>
    </row>
    <row r="35" spans="1:22">
      <c r="A35" s="1" t="s">
        <v>56</v>
      </c>
      <c r="B35" s="6">
        <v>1548.9440017210175</v>
      </c>
      <c r="C35" s="1">
        <v>396.61592752390476</v>
      </c>
      <c r="D35" s="1">
        <v>884.62698331780905</v>
      </c>
      <c r="E35" s="1">
        <v>0</v>
      </c>
      <c r="F35" s="1">
        <v>0</v>
      </c>
      <c r="G35" s="9">
        <f>SUM(NH_FINANCIAL)</f>
        <v>2830.1869125627313</v>
      </c>
      <c r="L35" s="6"/>
      <c r="V35" s="9"/>
    </row>
    <row r="36" spans="1:22">
      <c r="A36" s="1" t="s">
        <v>57</v>
      </c>
      <c r="B36" s="6">
        <v>6365.9907327746796</v>
      </c>
      <c r="C36" s="1">
        <v>4756.088166164368</v>
      </c>
      <c r="D36" s="1">
        <v>23797.433154592301</v>
      </c>
      <c r="E36" s="1">
        <v>0</v>
      </c>
      <c r="F36" s="1">
        <v>0</v>
      </c>
      <c r="G36" s="9">
        <f>SUM(NJ_FINANCIAL)</f>
        <v>34919.512053531347</v>
      </c>
      <c r="L36" s="6"/>
      <c r="V36" s="9"/>
    </row>
    <row r="37" spans="1:22">
      <c r="A37" s="1" t="s">
        <v>58</v>
      </c>
      <c r="B37" s="6">
        <v>1826.6295723365595</v>
      </c>
      <c r="C37" s="1">
        <v>354.97298805928648</v>
      </c>
      <c r="D37" s="1">
        <v>330.48561304481331</v>
      </c>
      <c r="E37" s="1">
        <v>0</v>
      </c>
      <c r="F37" s="1">
        <v>0</v>
      </c>
      <c r="G37" s="9">
        <f>SUM(NM_FINANCIAL)</f>
        <v>2512.0881734406594</v>
      </c>
      <c r="L37" s="6"/>
      <c r="V37" s="9"/>
    </row>
    <row r="38" spans="1:22">
      <c r="A38" s="1" t="s">
        <v>59</v>
      </c>
      <c r="B38" s="6">
        <v>26925.403090403644</v>
      </c>
      <c r="C38" s="1">
        <v>16158.977306434506</v>
      </c>
      <c r="D38" s="1">
        <v>39705.52352825056</v>
      </c>
      <c r="E38" s="1">
        <v>0</v>
      </c>
      <c r="F38" s="1">
        <v>0</v>
      </c>
      <c r="G38" s="9">
        <f>SUM(NY_FINANCIAL)</f>
        <v>82789.903925088714</v>
      </c>
      <c r="L38" s="6"/>
      <c r="V38" s="9"/>
    </row>
    <row r="39" spans="1:22">
      <c r="A39" s="1" t="s">
        <v>60</v>
      </c>
      <c r="B39" s="6">
        <v>3093.0978282277169</v>
      </c>
      <c r="C39" s="1">
        <v>1424.5005956819582</v>
      </c>
      <c r="D39" s="1">
        <v>6077.7651857264336</v>
      </c>
      <c r="E39" s="1">
        <v>0</v>
      </c>
      <c r="F39" s="1">
        <v>0</v>
      </c>
      <c r="G39" s="9">
        <f>SUM(NC_FINANCIAL)</f>
        <v>10595.363609636108</v>
      </c>
      <c r="L39" s="6"/>
      <c r="V39" s="9"/>
    </row>
    <row r="40" spans="1:22">
      <c r="A40" s="1" t="s">
        <v>61</v>
      </c>
      <c r="B40" s="6">
        <v>106.08736032296417</v>
      </c>
      <c r="C40" s="1">
        <v>593.56342817047346</v>
      </c>
      <c r="D40" s="1">
        <v>27.715175729617304</v>
      </c>
      <c r="E40" s="1">
        <v>0</v>
      </c>
      <c r="F40" s="1">
        <v>0</v>
      </c>
      <c r="G40" s="9">
        <f>SUM(ND_FINANCIAL)</f>
        <v>727.3659642230549</v>
      </c>
      <c r="L40" s="6"/>
      <c r="V40" s="9"/>
    </row>
    <row r="41" spans="1:22">
      <c r="A41" s="1" t="s">
        <v>62</v>
      </c>
      <c r="B41" s="6">
        <v>6789.3631624933532</v>
      </c>
      <c r="C41" s="1">
        <v>1851.70365903469</v>
      </c>
      <c r="D41" s="1">
        <v>4702.2338709289515</v>
      </c>
      <c r="E41" s="1">
        <v>0</v>
      </c>
      <c r="F41" s="1">
        <v>0</v>
      </c>
      <c r="G41" s="9">
        <f>SUM(OH_FINANCIAL)</f>
        <v>13343.300692456996</v>
      </c>
      <c r="L41" s="6"/>
      <c r="V41" s="9"/>
    </row>
    <row r="42" spans="1:22">
      <c r="A42" s="1" t="s">
        <v>63</v>
      </c>
      <c r="B42" s="6">
        <v>1190.9563868047865</v>
      </c>
      <c r="C42" s="1">
        <v>746.81641021838982</v>
      </c>
      <c r="D42" s="1">
        <v>367.20435935669508</v>
      </c>
      <c r="E42" s="1">
        <v>0</v>
      </c>
      <c r="F42" s="1">
        <v>0</v>
      </c>
      <c r="G42" s="9">
        <f>SUM(OK_FINANCIAL)</f>
        <v>2304.9771563798713</v>
      </c>
      <c r="L42" s="6"/>
      <c r="V42" s="9"/>
    </row>
    <row r="43" spans="1:22">
      <c r="A43" s="1" t="s">
        <v>64</v>
      </c>
      <c r="B43" s="6">
        <v>2156.103113465389</v>
      </c>
      <c r="C43" s="1">
        <v>860.46040138871649</v>
      </c>
      <c r="D43" s="1">
        <v>1571.5896382150283</v>
      </c>
      <c r="E43" s="1">
        <v>0</v>
      </c>
      <c r="F43" s="1">
        <v>0</v>
      </c>
      <c r="G43" s="9">
        <f>SUM(OR_FINANCIAL)</f>
        <v>4588.1531530691336</v>
      </c>
      <c r="L43" s="6"/>
      <c r="V43" s="9"/>
    </row>
    <row r="44" spans="1:22">
      <c r="A44" s="1" t="s">
        <v>65</v>
      </c>
      <c r="B44" s="6">
        <v>12328.186156564565</v>
      </c>
      <c r="C44" s="1">
        <v>3148.8298100653569</v>
      </c>
      <c r="D44" s="1">
        <v>8353.6334988142517</v>
      </c>
      <c r="E44" s="1">
        <v>0</v>
      </c>
      <c r="F44" s="1">
        <v>0</v>
      </c>
      <c r="G44" s="9">
        <f>SUM(PA_FINANCIAL)</f>
        <v>23830.649465444174</v>
      </c>
      <c r="L44" s="6"/>
      <c r="V44" s="9"/>
    </row>
    <row r="45" spans="1:22">
      <c r="A45" s="1" t="s">
        <v>66</v>
      </c>
      <c r="B45" s="6">
        <v>0</v>
      </c>
      <c r="C45" s="1">
        <v>0</v>
      </c>
      <c r="D45" s="1">
        <v>0</v>
      </c>
      <c r="E45" s="1">
        <v>0</v>
      </c>
      <c r="F45" s="1">
        <v>0</v>
      </c>
      <c r="G45" s="9">
        <f>SUM(PR_FINANCIAL)</f>
        <v>0</v>
      </c>
      <c r="L45" s="6"/>
      <c r="V45" s="9"/>
    </row>
    <row r="46" spans="1:22">
      <c r="A46" s="1" t="s">
        <v>67</v>
      </c>
      <c r="B46" s="6">
        <v>745.60491000693912</v>
      </c>
      <c r="C46" s="1">
        <v>471.91536211676117</v>
      </c>
      <c r="D46" s="1">
        <v>1406.5465851823617</v>
      </c>
      <c r="E46" s="1">
        <v>0</v>
      </c>
      <c r="F46" s="1">
        <v>0</v>
      </c>
      <c r="G46" s="9">
        <f>SUM(RI_FINANCIAL)</f>
        <v>2624.066857306062</v>
      </c>
      <c r="L46" s="6"/>
      <c r="V46" s="9"/>
    </row>
    <row r="47" spans="1:22">
      <c r="A47" s="1" t="s">
        <v>68</v>
      </c>
      <c r="B47" s="6">
        <v>1320.5504032556123</v>
      </c>
      <c r="C47" s="1">
        <v>951.67192843508712</v>
      </c>
      <c r="D47" s="1">
        <v>4130.3818847195971</v>
      </c>
      <c r="E47" s="1">
        <v>0</v>
      </c>
      <c r="F47" s="1">
        <v>0</v>
      </c>
      <c r="G47" s="9">
        <f>SUM(SC_FINANCIAL)</f>
        <v>6402.6042164102964</v>
      </c>
      <c r="L47" s="6"/>
      <c r="V47" s="9"/>
    </row>
    <row r="48" spans="1:22">
      <c r="A48" s="1" t="s">
        <v>69</v>
      </c>
      <c r="B48" s="6">
        <v>848.21420279562165</v>
      </c>
      <c r="C48" s="1">
        <v>361.34419852114661</v>
      </c>
      <c r="D48" s="1">
        <v>376.97144707711567</v>
      </c>
      <c r="E48" s="1">
        <v>0</v>
      </c>
      <c r="F48" s="1">
        <v>0</v>
      </c>
      <c r="G48" s="9">
        <f>SUM(SD_FINANCIAL)</f>
        <v>1586.5298483938839</v>
      </c>
      <c r="L48" s="6"/>
      <c r="V48" s="9"/>
    </row>
    <row r="49" spans="1:22">
      <c r="A49" s="1" t="s">
        <v>70</v>
      </c>
      <c r="B49" s="6">
        <v>1231.7101468785718</v>
      </c>
      <c r="C49" s="1">
        <v>1073.2042848413312</v>
      </c>
      <c r="D49" s="1">
        <v>1156.5151500663787</v>
      </c>
      <c r="E49" s="1">
        <v>0</v>
      </c>
      <c r="F49" s="1">
        <v>0</v>
      </c>
      <c r="G49" s="9">
        <f>SUM(TN_FINANCIAL)</f>
        <v>3461.4295817862817</v>
      </c>
      <c r="L49" s="6"/>
      <c r="V49" s="9"/>
    </row>
    <row r="50" spans="1:22">
      <c r="A50" s="1" t="s">
        <v>71</v>
      </c>
      <c r="B50" s="6">
        <v>11261.306160715478</v>
      </c>
      <c r="C50" s="1">
        <v>2379.1294007823108</v>
      </c>
      <c r="D50" s="1">
        <v>3567.6161670217584</v>
      </c>
      <c r="E50" s="1">
        <v>0</v>
      </c>
      <c r="F50" s="1">
        <v>0</v>
      </c>
      <c r="G50" s="9">
        <f>SUM(TX_FINANCIAL)</f>
        <v>17208.051728519546</v>
      </c>
      <c r="L50" s="6"/>
      <c r="V50" s="9"/>
    </row>
    <row r="51" spans="1:22">
      <c r="A51" s="1" t="s">
        <v>72</v>
      </c>
      <c r="B51" s="6">
        <v>1442.3431330245105</v>
      </c>
      <c r="C51" s="1">
        <v>516.7041961946677</v>
      </c>
      <c r="D51" s="1">
        <v>193.32170932642842</v>
      </c>
      <c r="E51" s="1">
        <v>0</v>
      </c>
      <c r="F51" s="1">
        <v>0</v>
      </c>
      <c r="G51" s="9">
        <f>SUM(UT_FINANCIAL)</f>
        <v>2152.3690385456066</v>
      </c>
      <c r="L51" s="6"/>
      <c r="V51" s="9"/>
    </row>
    <row r="52" spans="1:22">
      <c r="A52" s="1" t="s">
        <v>73</v>
      </c>
      <c r="B52" s="6">
        <v>566.77002892529231</v>
      </c>
      <c r="C52" s="1">
        <v>107.99133571914219</v>
      </c>
      <c r="D52" s="1">
        <v>538.17588359673596</v>
      </c>
      <c r="E52" s="1">
        <v>0</v>
      </c>
      <c r="F52" s="1">
        <v>0</v>
      </c>
      <c r="G52" s="9">
        <f>SUM(VT_FINANCIAL)</f>
        <v>1212.9372482411704</v>
      </c>
      <c r="L52" s="6"/>
      <c r="V52" s="9"/>
    </row>
    <row r="53" spans="1:22">
      <c r="A53" s="1" t="s">
        <v>74</v>
      </c>
      <c r="B53" s="6">
        <v>2558.0776924849124</v>
      </c>
      <c r="C53" s="1">
        <v>1195.7997292158043</v>
      </c>
      <c r="D53" s="1">
        <v>1991.719118578945</v>
      </c>
      <c r="E53" s="1">
        <v>0</v>
      </c>
      <c r="F53" s="1">
        <v>0</v>
      </c>
      <c r="G53" s="9">
        <f>SUM(VA_FINANCIAL)</f>
        <v>5745.5965402796619</v>
      </c>
      <c r="L53" s="6"/>
      <c r="V53" s="9"/>
    </row>
    <row r="54" spans="1:22">
      <c r="A54" s="1" t="s">
        <v>75</v>
      </c>
      <c r="B54" s="6">
        <v>7371.8552720731832</v>
      </c>
      <c r="C54" s="1">
        <v>1663.7469866272638</v>
      </c>
      <c r="D54" s="1">
        <v>4958.760339062469</v>
      </c>
      <c r="E54" s="1">
        <v>0</v>
      </c>
      <c r="F54" s="1">
        <v>0</v>
      </c>
      <c r="G54" s="9">
        <f>SUM(WA_FINANCIAL)</f>
        <v>13994.362597762916</v>
      </c>
      <c r="L54" s="6"/>
      <c r="V54" s="9"/>
    </row>
    <row r="55" spans="1:22">
      <c r="A55" s="1" t="s">
        <v>76</v>
      </c>
      <c r="B55" s="6">
        <v>602.65907063569477</v>
      </c>
      <c r="C55" s="1">
        <v>326.41167360363619</v>
      </c>
      <c r="D55" s="1">
        <v>766.46490260759924</v>
      </c>
      <c r="E55" s="1">
        <v>0</v>
      </c>
      <c r="F55" s="1">
        <v>0</v>
      </c>
      <c r="G55" s="9">
        <f>SUM(WV_FINANCIAL)</f>
        <v>1695.5356468469301</v>
      </c>
      <c r="L55" s="6"/>
      <c r="V55" s="9"/>
    </row>
    <row r="56" spans="1:22">
      <c r="A56" s="1" t="s">
        <v>77</v>
      </c>
      <c r="B56" s="6">
        <v>5378.3101664235464</v>
      </c>
      <c r="C56" s="1">
        <v>3030.4374310674975</v>
      </c>
      <c r="D56" s="1">
        <v>4485.6473977002233</v>
      </c>
      <c r="E56" s="1">
        <v>0</v>
      </c>
      <c r="F56" s="1">
        <v>0</v>
      </c>
      <c r="G56" s="9">
        <f>SUM(WI_FINANCIAL)</f>
        <v>12894.394995191269</v>
      </c>
      <c r="L56" s="6"/>
      <c r="V56" s="9"/>
    </row>
    <row r="57" spans="1:22">
      <c r="A57" s="1" t="s">
        <v>78</v>
      </c>
      <c r="B57" s="6">
        <v>0</v>
      </c>
      <c r="C57" s="1">
        <v>0</v>
      </c>
      <c r="D57" s="1">
        <v>0</v>
      </c>
      <c r="E57" s="1">
        <v>0</v>
      </c>
      <c r="F57" s="1">
        <v>0</v>
      </c>
      <c r="G57" s="9">
        <f>SUM(WY_FINANCIAL)</f>
        <v>0</v>
      </c>
      <c r="L57" s="6"/>
      <c r="V57" s="9"/>
    </row>
    <row r="58" spans="1:22">
      <c r="A58" s="1" t="s">
        <v>79</v>
      </c>
      <c r="B58" s="6">
        <v>0</v>
      </c>
      <c r="C58" s="1">
        <v>0</v>
      </c>
      <c r="D58" s="1">
        <v>0</v>
      </c>
      <c r="E58" s="1">
        <v>0</v>
      </c>
      <c r="F58" s="1">
        <v>0</v>
      </c>
      <c r="G58" s="9">
        <f>SUM(OT_FINANCIAL)</f>
        <v>0</v>
      </c>
      <c r="L58" s="6"/>
      <c r="V58" s="9"/>
    </row>
    <row r="59" spans="1:22">
      <c r="B59" s="6"/>
      <c r="G59" s="9"/>
      <c r="L59" s="6"/>
      <c r="V59" s="9"/>
    </row>
    <row r="60" spans="1:22">
      <c r="A60" s="1" t="s">
        <v>8</v>
      </c>
      <c r="B60" s="6">
        <f>SUM(LIFE)</f>
        <v>210029.4333002269</v>
      </c>
      <c r="C60" s="1">
        <f>SUM(ALLOCATED)</f>
        <v>93116.427799362893</v>
      </c>
      <c r="D60" s="1">
        <f>SUM(HEALTH)</f>
        <v>206891.27890041014</v>
      </c>
      <c r="E60" s="1">
        <f>SUM(UNALLOCATED)</f>
        <v>0</v>
      </c>
      <c r="F60" s="1">
        <f>SUM(LTC)</f>
        <v>0</v>
      </c>
      <c r="G60" s="9">
        <f>SUM(ALL_BLOCKS)</f>
        <v>510037.13999999984</v>
      </c>
      <c r="L60" s="6">
        <f>SUM(LIFE_CALLED)</f>
        <v>5138</v>
      </c>
      <c r="M60" s="1">
        <f>SUM(LIFE_REFUNDED)</f>
        <v>490</v>
      </c>
      <c r="O60" s="1">
        <f>SUM(ALLOC_CALLED)</f>
        <v>228</v>
      </c>
      <c r="P60" s="1">
        <f>SUM(ALLOC_REFUNDED)</f>
        <v>0</v>
      </c>
      <c r="R60" s="1">
        <f>SUM(HEALTH_CALLED)</f>
        <v>304</v>
      </c>
      <c r="S60" s="1">
        <f>SUM(HEALTH_REFUNDED)</f>
        <v>0</v>
      </c>
      <c r="U60" s="1">
        <f>SUM(UNALLOC_CALLED)</f>
        <v>0</v>
      </c>
      <c r="V60" s="9">
        <f>SUM(UNALLOC_REFUNDED)</f>
        <v>0</v>
      </c>
    </row>
    <row r="61" spans="1:22" ht="5.0999999999999996" customHeight="1">
      <c r="B61" s="6"/>
      <c r="G61" s="9"/>
      <c r="L61" s="6"/>
      <c r="V61" s="9"/>
    </row>
    <row r="62" spans="1:22">
      <c r="B62" s="6"/>
      <c r="G62" s="9"/>
      <c r="L62" s="78" t="s">
        <v>80</v>
      </c>
      <c r="M62" s="79"/>
      <c r="N62" s="79"/>
      <c r="O62" s="79"/>
      <c r="P62" s="79"/>
      <c r="Q62" s="79"/>
      <c r="R62" s="79"/>
      <c r="S62" s="79"/>
      <c r="T62" s="79"/>
      <c r="U62" s="79"/>
      <c r="V62" s="80"/>
    </row>
    <row r="63" spans="1:22">
      <c r="B63" s="6"/>
      <c r="G63" s="9"/>
      <c r="L63" s="81"/>
      <c r="M63" s="79"/>
      <c r="N63" s="79"/>
      <c r="O63" s="79"/>
      <c r="P63" s="79"/>
      <c r="Q63" s="79"/>
      <c r="R63" s="79"/>
      <c r="S63" s="79"/>
      <c r="T63" s="79"/>
      <c r="U63" s="79"/>
      <c r="V63" s="80"/>
    </row>
    <row r="64" spans="1:22">
      <c r="B64" s="8"/>
      <c r="C64" s="5"/>
      <c r="D64" s="5"/>
      <c r="E64" s="5"/>
      <c r="F64" s="5"/>
      <c r="G64" s="11"/>
      <c r="L64" s="82"/>
      <c r="M64" s="83"/>
      <c r="N64" s="83"/>
      <c r="O64" s="83"/>
      <c r="P64" s="83"/>
      <c r="Q64" s="83"/>
      <c r="R64" s="83"/>
      <c r="S64" s="83"/>
      <c r="T64" s="83"/>
      <c r="U64" s="83"/>
      <c r="V64" s="84"/>
    </row>
  </sheetData>
  <mergeCells count="8">
    <mergeCell ref="L62:V64"/>
    <mergeCell ref="A1:G1"/>
    <mergeCell ref="B3:G3"/>
    <mergeCell ref="L3:V3"/>
    <mergeCell ref="L4:M4"/>
    <mergeCell ref="O4:P4"/>
    <mergeCell ref="R4:S4"/>
    <mergeCell ref="U4:V4"/>
  </mergeCells>
  <pageMargins left="0" right="0" top="0" bottom="0" header="0" footer="0"/>
  <pageSetup scale="48"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pageSetUpPr fitToPage="1"/>
  </sheetPr>
  <dimension ref="A1:V64"/>
  <sheetViews>
    <sheetView zoomScale="75" workbookViewId="0">
      <selection sqref="A1:G1"/>
    </sheetView>
  </sheetViews>
  <sheetFormatPr defaultColWidth="9.109375" defaultRowHeight="14.4"/>
  <cols>
    <col min="1" max="1" width="20" style="1" customWidth="1"/>
    <col min="2" max="7" width="15" style="1" customWidth="1"/>
    <col min="8" max="8" width="1" style="1" customWidth="1"/>
    <col min="9" max="9" width="30" style="1" customWidth="1"/>
    <col min="10" max="10" width="15" style="1" customWidth="1"/>
    <col min="11" max="11" width="1" style="1" customWidth="1"/>
    <col min="12" max="13" width="15" style="1" customWidth="1"/>
    <col min="14" max="14" width="1" style="1" customWidth="1"/>
    <col min="15" max="16" width="15" style="1" customWidth="1"/>
    <col min="17" max="17" width="1" style="1" customWidth="1"/>
    <col min="18" max="19" width="15" style="1" customWidth="1"/>
    <col min="20" max="20" width="1" style="1" customWidth="1"/>
    <col min="21" max="22" width="15" style="1" customWidth="1"/>
    <col min="23" max="23" width="9.109375" style="1" customWidth="1"/>
    <col min="24" max="16384" width="9.109375" style="1"/>
  </cols>
  <sheetData>
    <row r="1" spans="1:22">
      <c r="A1" s="85" t="s">
        <v>146</v>
      </c>
      <c r="B1" s="79"/>
      <c r="C1" s="79"/>
      <c r="D1" s="79"/>
      <c r="E1" s="79"/>
      <c r="F1" s="79"/>
      <c r="G1" s="79"/>
    </row>
    <row r="3" spans="1:22">
      <c r="B3" s="86" t="s">
        <v>1</v>
      </c>
      <c r="C3" s="87"/>
      <c r="D3" s="87"/>
      <c r="E3" s="87"/>
      <c r="F3" s="87"/>
      <c r="G3" s="88"/>
      <c r="L3" s="89" t="s">
        <v>2</v>
      </c>
      <c r="M3" s="90"/>
      <c r="N3" s="90"/>
      <c r="O3" s="90"/>
      <c r="P3" s="90"/>
      <c r="Q3" s="90"/>
      <c r="R3" s="90"/>
      <c r="S3" s="90"/>
      <c r="T3" s="90"/>
      <c r="U3" s="90"/>
      <c r="V3" s="91"/>
    </row>
    <row r="4" spans="1:22">
      <c r="B4" s="6"/>
      <c r="G4" s="9"/>
      <c r="L4" s="92" t="s">
        <v>3</v>
      </c>
      <c r="M4" s="93"/>
      <c r="N4" s="3"/>
      <c r="O4" s="94" t="s">
        <v>4</v>
      </c>
      <c r="P4" s="93"/>
      <c r="Q4" s="3"/>
      <c r="R4" s="94" t="s">
        <v>5</v>
      </c>
      <c r="S4" s="93"/>
      <c r="T4" s="3"/>
      <c r="U4" s="94" t="s">
        <v>6</v>
      </c>
      <c r="V4" s="95"/>
    </row>
    <row r="5" spans="1:22" ht="60" customHeight="1">
      <c r="B5" s="7" t="s">
        <v>3</v>
      </c>
      <c r="C5" s="4" t="s">
        <v>4</v>
      </c>
      <c r="D5" s="4" t="s">
        <v>5</v>
      </c>
      <c r="E5" s="4" t="s">
        <v>6</v>
      </c>
      <c r="F5" s="4" t="s">
        <v>7</v>
      </c>
      <c r="G5" s="10" t="s">
        <v>8</v>
      </c>
      <c r="L5" s="19" t="s">
        <v>9</v>
      </c>
      <c r="M5" s="18" t="s">
        <v>10</v>
      </c>
      <c r="N5" s="18"/>
      <c r="O5" s="18" t="s">
        <v>9</v>
      </c>
      <c r="P5" s="18" t="s">
        <v>10</v>
      </c>
      <c r="Q5" s="18"/>
      <c r="R5" s="18" t="s">
        <v>9</v>
      </c>
      <c r="S5" s="18" t="s">
        <v>10</v>
      </c>
      <c r="T5" s="18"/>
      <c r="U5" s="18" t="s">
        <v>9</v>
      </c>
      <c r="V5" s="20" t="s">
        <v>10</v>
      </c>
    </row>
    <row r="6" spans="1:22">
      <c r="A6" s="1" t="s">
        <v>11</v>
      </c>
      <c r="B6" s="6">
        <v>-8510.7547463822557</v>
      </c>
      <c r="C6" s="1">
        <v>-3750.1426682008168</v>
      </c>
      <c r="D6" s="1">
        <v>0</v>
      </c>
      <c r="E6" s="1">
        <v>0</v>
      </c>
      <c r="F6" s="1">
        <v>0</v>
      </c>
      <c r="G6" s="9">
        <f>SUM(AL_FINANCIAL)</f>
        <v>-12260.897414583073</v>
      </c>
      <c r="L6" s="6">
        <v>344000</v>
      </c>
      <c r="M6" s="1">
        <v>0</v>
      </c>
      <c r="O6" s="1">
        <v>6060</v>
      </c>
      <c r="P6" s="1">
        <v>0</v>
      </c>
      <c r="R6" s="1">
        <v>0</v>
      </c>
      <c r="S6" s="1">
        <v>0</v>
      </c>
      <c r="U6" s="1">
        <v>0</v>
      </c>
      <c r="V6" s="9">
        <v>0</v>
      </c>
    </row>
    <row r="7" spans="1:22">
      <c r="A7" s="1" t="s">
        <v>12</v>
      </c>
      <c r="B7" s="6">
        <v>-1239.7004073062799</v>
      </c>
      <c r="C7" s="1">
        <v>-553.33325962904109</v>
      </c>
      <c r="D7" s="1">
        <v>0</v>
      </c>
      <c r="E7" s="1">
        <v>-526.53156057171236</v>
      </c>
      <c r="F7" s="1">
        <v>0</v>
      </c>
      <c r="G7" s="9">
        <f>SUM(AK_FINANCIAL)</f>
        <v>-2319.5652275070333</v>
      </c>
      <c r="I7" s="12"/>
      <c r="J7" s="15"/>
      <c r="L7" s="6">
        <v>9158</v>
      </c>
      <c r="M7" s="1">
        <v>0</v>
      </c>
      <c r="O7" s="1">
        <v>5158</v>
      </c>
      <c r="P7" s="1">
        <v>18000</v>
      </c>
      <c r="R7" s="1">
        <v>0</v>
      </c>
      <c r="S7" s="1">
        <v>0</v>
      </c>
      <c r="U7" s="1">
        <v>4558</v>
      </c>
      <c r="V7" s="9">
        <v>0</v>
      </c>
    </row>
    <row r="8" spans="1:22">
      <c r="A8" s="1" t="s">
        <v>13</v>
      </c>
      <c r="B8" s="6">
        <v>-3212.7674113994726</v>
      </c>
      <c r="C8" s="1">
        <v>-8575.5938221942342</v>
      </c>
      <c r="D8" s="1">
        <v>0</v>
      </c>
      <c r="E8" s="1">
        <v>0</v>
      </c>
      <c r="F8" s="1">
        <v>0</v>
      </c>
      <c r="G8" s="9">
        <f>SUM(AZ_FINANCIAL)</f>
        <v>-11788.361233593707</v>
      </c>
      <c r="I8" s="13" t="s">
        <v>14</v>
      </c>
      <c r="J8" s="16"/>
      <c r="L8" s="6"/>
      <c r="V8" s="9"/>
    </row>
    <row r="9" spans="1:22">
      <c r="A9" s="1" t="s">
        <v>15</v>
      </c>
      <c r="B9" s="6">
        <v>-926.91425921570772</v>
      </c>
      <c r="C9" s="1">
        <v>-2959.9942371331708</v>
      </c>
      <c r="D9" s="1">
        <v>0</v>
      </c>
      <c r="E9" s="1">
        <v>-2.0392657506945682</v>
      </c>
      <c r="F9" s="1">
        <v>0</v>
      </c>
      <c r="G9" s="9">
        <f>SUM(AR_FINANCIAL)</f>
        <v>-3888.9477620995731</v>
      </c>
      <c r="I9" s="13"/>
      <c r="J9" s="16"/>
      <c r="L9" s="6">
        <v>88885</v>
      </c>
      <c r="M9" s="1">
        <v>0</v>
      </c>
      <c r="O9" s="1">
        <v>0</v>
      </c>
      <c r="P9" s="1">
        <v>0</v>
      </c>
      <c r="R9" s="1">
        <v>0</v>
      </c>
      <c r="S9" s="1">
        <v>0</v>
      </c>
      <c r="U9" s="1">
        <v>0</v>
      </c>
      <c r="V9" s="9">
        <v>0</v>
      </c>
    </row>
    <row r="10" spans="1:22">
      <c r="A10" s="1" t="s">
        <v>16</v>
      </c>
      <c r="B10" s="6">
        <v>27087.411225065123</v>
      </c>
      <c r="C10" s="1">
        <v>12483.403773282189</v>
      </c>
      <c r="D10" s="1">
        <v>0</v>
      </c>
      <c r="E10" s="1">
        <v>0</v>
      </c>
      <c r="F10" s="1">
        <v>0</v>
      </c>
      <c r="G10" s="9">
        <f>SUM(CA_FINANCIAL)</f>
        <v>39570.814998347312</v>
      </c>
      <c r="I10" s="13" t="s">
        <v>17</v>
      </c>
      <c r="J10" s="16">
        <v>5323073573.2348661</v>
      </c>
      <c r="L10" s="6">
        <v>1212180</v>
      </c>
      <c r="M10" s="1">
        <v>2100000</v>
      </c>
      <c r="O10" s="1">
        <v>554820</v>
      </c>
      <c r="P10" s="1">
        <v>950000</v>
      </c>
      <c r="R10" s="1">
        <v>0</v>
      </c>
      <c r="S10" s="1">
        <v>0</v>
      </c>
      <c r="U10" s="1">
        <v>0</v>
      </c>
      <c r="V10" s="9">
        <v>0</v>
      </c>
    </row>
    <row r="11" spans="1:22">
      <c r="A11" s="1" t="s">
        <v>18</v>
      </c>
      <c r="B11" s="6">
        <v>0</v>
      </c>
      <c r="C11" s="1">
        <v>0</v>
      </c>
      <c r="D11" s="1">
        <v>0</v>
      </c>
      <c r="E11" s="1">
        <v>0</v>
      </c>
      <c r="F11" s="1">
        <v>0</v>
      </c>
      <c r="G11" s="9">
        <f>SUM(CO_FINANCIAL)</f>
        <v>0</v>
      </c>
      <c r="I11" s="13"/>
      <c r="J11" s="16"/>
      <c r="L11" s="6">
        <v>197709</v>
      </c>
      <c r="M11" s="1">
        <v>0</v>
      </c>
      <c r="O11" s="1">
        <v>12260</v>
      </c>
      <c r="P11" s="1">
        <v>0</v>
      </c>
      <c r="R11" s="1">
        <v>0</v>
      </c>
      <c r="S11" s="1">
        <v>0</v>
      </c>
      <c r="U11" s="1">
        <v>0</v>
      </c>
      <c r="V11" s="9">
        <v>0</v>
      </c>
    </row>
    <row r="12" spans="1:22">
      <c r="A12" s="1" t="s">
        <v>19</v>
      </c>
      <c r="B12" s="6">
        <v>-20904.973129012651</v>
      </c>
      <c r="C12" s="1">
        <v>-86221.546988923103</v>
      </c>
      <c r="D12" s="1">
        <v>0</v>
      </c>
      <c r="E12" s="1">
        <v>-1266.4127155924289</v>
      </c>
      <c r="F12" s="1">
        <v>0</v>
      </c>
      <c r="G12" s="9">
        <f>SUM(CT_FINANCIAL)</f>
        <v>-108392.93283352818</v>
      </c>
      <c r="I12" s="13" t="s">
        <v>20</v>
      </c>
      <c r="J12" s="16"/>
      <c r="L12" s="6">
        <v>3223000</v>
      </c>
      <c r="M12" s="1">
        <v>3223000</v>
      </c>
      <c r="O12" s="1">
        <v>2322000</v>
      </c>
      <c r="P12" s="1">
        <v>2322000</v>
      </c>
      <c r="R12" s="1">
        <v>0</v>
      </c>
      <c r="S12" s="1">
        <v>0</v>
      </c>
      <c r="U12" s="1">
        <v>95000</v>
      </c>
      <c r="V12" s="9">
        <v>95000</v>
      </c>
    </row>
    <row r="13" spans="1:22">
      <c r="A13" s="1" t="s">
        <v>21</v>
      </c>
      <c r="B13" s="6">
        <v>2621.9437039570184</v>
      </c>
      <c r="C13" s="1">
        <v>1219.0154545749319</v>
      </c>
      <c r="D13" s="1">
        <v>0</v>
      </c>
      <c r="E13" s="1">
        <v>359.30303777492736</v>
      </c>
      <c r="F13" s="1">
        <v>0</v>
      </c>
      <c r="G13" s="9">
        <f>SUM(DE_FINANCIAL)</f>
        <v>4200.2621963068777</v>
      </c>
      <c r="I13" s="13" t="s">
        <v>22</v>
      </c>
      <c r="J13" s="16">
        <v>0</v>
      </c>
      <c r="L13" s="6">
        <v>109750</v>
      </c>
      <c r="M13" s="1">
        <v>0</v>
      </c>
      <c r="O13" s="1">
        <v>15250</v>
      </c>
      <c r="P13" s="1">
        <v>0</v>
      </c>
      <c r="R13" s="1">
        <v>0</v>
      </c>
      <c r="S13" s="1">
        <v>0</v>
      </c>
      <c r="U13" s="1">
        <v>0</v>
      </c>
      <c r="V13" s="9">
        <v>0</v>
      </c>
    </row>
    <row r="14" spans="1:22">
      <c r="A14" s="1" t="s">
        <v>23</v>
      </c>
      <c r="B14" s="6">
        <v>0</v>
      </c>
      <c r="C14" s="1">
        <v>0</v>
      </c>
      <c r="D14" s="1">
        <v>0</v>
      </c>
      <c r="E14" s="1">
        <v>0</v>
      </c>
      <c r="F14" s="1">
        <v>0</v>
      </c>
      <c r="G14" s="9">
        <f>SUM(DC_FINANCIAL)</f>
        <v>0</v>
      </c>
      <c r="I14" s="13" t="s">
        <v>24</v>
      </c>
      <c r="J14" s="16">
        <v>15185144.999999832</v>
      </c>
      <c r="L14" s="6"/>
      <c r="V14" s="9"/>
    </row>
    <row r="15" spans="1:22">
      <c r="A15" s="1" t="s">
        <v>25</v>
      </c>
      <c r="B15" s="6">
        <v>-26869.927765575121</v>
      </c>
      <c r="C15" s="1">
        <v>-32755.426521028392</v>
      </c>
      <c r="D15" s="1">
        <v>0</v>
      </c>
      <c r="E15" s="1">
        <v>0</v>
      </c>
      <c r="F15" s="1">
        <v>0</v>
      </c>
      <c r="G15" s="9">
        <f>SUM(FL_FINANCIAL)</f>
        <v>-59625.354286603513</v>
      </c>
      <c r="I15" s="13" t="s">
        <v>26</v>
      </c>
      <c r="J15" s="16">
        <v>5610808.5499999477</v>
      </c>
      <c r="L15" s="6"/>
      <c r="V15" s="9"/>
    </row>
    <row r="16" spans="1:22">
      <c r="A16" s="1" t="s">
        <v>27</v>
      </c>
      <c r="B16" s="6">
        <v>37737.269221162423</v>
      </c>
      <c r="C16" s="1">
        <v>18668.173503850354</v>
      </c>
      <c r="D16" s="1">
        <v>0</v>
      </c>
      <c r="E16" s="1">
        <v>2617.4417016977968</v>
      </c>
      <c r="F16" s="1">
        <v>0</v>
      </c>
      <c r="G16" s="9">
        <f>SUM(GA_FINANCIAL)</f>
        <v>59022.884426710574</v>
      </c>
      <c r="I16" s="13" t="s">
        <v>28</v>
      </c>
      <c r="J16" s="16">
        <v>0</v>
      </c>
      <c r="L16" s="6">
        <v>1653345</v>
      </c>
      <c r="M16" s="1">
        <v>0</v>
      </c>
      <c r="O16" s="1">
        <v>242689</v>
      </c>
      <c r="P16" s="1">
        <v>5681.63</v>
      </c>
      <c r="R16" s="1">
        <v>0</v>
      </c>
      <c r="S16" s="1">
        <v>0</v>
      </c>
      <c r="U16" s="1">
        <v>89966</v>
      </c>
      <c r="V16" s="9">
        <v>-271.26</v>
      </c>
    </row>
    <row r="17" spans="1:22">
      <c r="A17" s="1" t="s">
        <v>29</v>
      </c>
      <c r="B17" s="6">
        <v>-947.29205743171042</v>
      </c>
      <c r="C17" s="1">
        <v>-23.788435420103269</v>
      </c>
      <c r="D17" s="1">
        <v>0</v>
      </c>
      <c r="E17" s="1">
        <v>0</v>
      </c>
      <c r="F17" s="1">
        <v>0</v>
      </c>
      <c r="G17" s="9">
        <f>SUM(HI_FINANCIAL)</f>
        <v>-971.08049285181369</v>
      </c>
      <c r="I17" s="13"/>
      <c r="J17" s="16"/>
      <c r="L17" s="6">
        <v>390404</v>
      </c>
      <c r="M17" s="1">
        <v>0</v>
      </c>
      <c r="O17" s="1">
        <v>27611</v>
      </c>
      <c r="P17" s="1">
        <v>0</v>
      </c>
      <c r="R17" s="1">
        <v>128</v>
      </c>
      <c r="S17" s="1">
        <v>0</v>
      </c>
      <c r="U17" s="1">
        <v>0</v>
      </c>
      <c r="V17" s="9">
        <v>0</v>
      </c>
    </row>
    <row r="18" spans="1:22">
      <c r="A18" s="1" t="s">
        <v>30</v>
      </c>
      <c r="B18" s="6">
        <v>129.49603215721072</v>
      </c>
      <c r="C18" s="1">
        <v>30.184921397417384</v>
      </c>
      <c r="D18" s="1">
        <v>0</v>
      </c>
      <c r="E18" s="1">
        <v>0</v>
      </c>
      <c r="F18" s="1">
        <v>0</v>
      </c>
      <c r="G18" s="9">
        <f>SUM(ID_FINANCIAL)</f>
        <v>159.6809535546281</v>
      </c>
      <c r="I18" s="13" t="s">
        <v>31</v>
      </c>
      <c r="J18" s="16"/>
      <c r="L18" s="6">
        <v>97650</v>
      </c>
      <c r="M18" s="1">
        <v>165039</v>
      </c>
      <c r="O18" s="1">
        <v>67350</v>
      </c>
      <c r="P18" s="1">
        <v>0</v>
      </c>
      <c r="R18" s="1">
        <v>0</v>
      </c>
      <c r="S18" s="1">
        <v>0</v>
      </c>
      <c r="U18" s="1">
        <v>0</v>
      </c>
      <c r="V18" s="9">
        <v>0</v>
      </c>
    </row>
    <row r="19" spans="1:22">
      <c r="A19" s="1" t="s">
        <v>32</v>
      </c>
      <c r="B19" s="6">
        <v>-17407.351993518998</v>
      </c>
      <c r="C19" s="1">
        <v>-53738.603760808706</v>
      </c>
      <c r="D19" s="1">
        <v>0</v>
      </c>
      <c r="E19" s="1">
        <v>-4567.7132563201594</v>
      </c>
      <c r="F19" s="1">
        <v>0</v>
      </c>
      <c r="G19" s="9">
        <f>SUM(IL_FINANCIAL)</f>
        <v>-75713.669010647864</v>
      </c>
      <c r="I19" s="13" t="s">
        <v>33</v>
      </c>
      <c r="J19" s="16">
        <v>5160590573.2348652</v>
      </c>
      <c r="L19" s="6">
        <v>2250000</v>
      </c>
      <c r="M19" s="1">
        <v>6218000</v>
      </c>
      <c r="O19" s="1">
        <v>2750000</v>
      </c>
      <c r="P19" s="1">
        <v>3035000</v>
      </c>
      <c r="R19" s="1">
        <v>0</v>
      </c>
      <c r="S19" s="1">
        <v>0</v>
      </c>
      <c r="U19" s="1">
        <v>550000</v>
      </c>
      <c r="V19" s="9">
        <v>1138000</v>
      </c>
    </row>
    <row r="20" spans="1:22">
      <c r="A20" s="1" t="s">
        <v>34</v>
      </c>
      <c r="B20" s="6">
        <v>9988.4201265690499</v>
      </c>
      <c r="C20" s="1">
        <v>24725.829804641195</v>
      </c>
      <c r="D20" s="1">
        <v>0</v>
      </c>
      <c r="E20" s="1">
        <v>1245.2170158551889</v>
      </c>
      <c r="F20" s="1">
        <v>0</v>
      </c>
      <c r="G20" s="9">
        <f>SUM(IN_FINANCIAL)</f>
        <v>35959.466947065433</v>
      </c>
      <c r="I20" s="13" t="s">
        <v>35</v>
      </c>
      <c r="J20" s="16">
        <v>135157780.99999994</v>
      </c>
      <c r="L20" s="6"/>
      <c r="V20" s="9"/>
    </row>
    <row r="21" spans="1:22">
      <c r="A21" s="1" t="s">
        <v>36</v>
      </c>
      <c r="B21" s="6">
        <v>-6233.3549137673253</v>
      </c>
      <c r="C21" s="1">
        <v>-2985.9562257358411</v>
      </c>
      <c r="D21" s="1">
        <v>0</v>
      </c>
      <c r="E21" s="1">
        <v>0</v>
      </c>
      <c r="F21" s="1">
        <v>0</v>
      </c>
      <c r="G21" s="9">
        <f>SUM(IA_FINANCIAL)</f>
        <v>-9219.3111395031665</v>
      </c>
      <c r="I21" s="13" t="s">
        <v>37</v>
      </c>
      <c r="J21" s="16"/>
      <c r="L21" s="6">
        <v>504000</v>
      </c>
      <c r="M21" s="1">
        <v>0</v>
      </c>
      <c r="O21" s="1">
        <v>64000</v>
      </c>
      <c r="P21" s="1">
        <v>0</v>
      </c>
      <c r="R21" s="1">
        <v>0</v>
      </c>
      <c r="S21" s="1">
        <v>0</v>
      </c>
      <c r="U21" s="1">
        <v>0</v>
      </c>
      <c r="V21" s="9">
        <v>0</v>
      </c>
    </row>
    <row r="22" spans="1:22">
      <c r="A22" s="1" t="s">
        <v>38</v>
      </c>
      <c r="B22" s="6">
        <v>2276.9301983073819</v>
      </c>
      <c r="C22" s="1">
        <v>1529.3451733399706</v>
      </c>
      <c r="D22" s="1">
        <v>0</v>
      </c>
      <c r="E22" s="1">
        <v>0</v>
      </c>
      <c r="F22" s="1">
        <v>0</v>
      </c>
      <c r="G22" s="9">
        <f>SUM(KS_FINANCIAL)</f>
        <v>3806.2753716473526</v>
      </c>
      <c r="I22" s="13" t="s">
        <v>39</v>
      </c>
      <c r="J22" s="16">
        <v>0</v>
      </c>
      <c r="L22" s="6">
        <v>184000</v>
      </c>
      <c r="M22" s="1">
        <v>0</v>
      </c>
      <c r="O22" s="1">
        <v>50000</v>
      </c>
      <c r="P22" s="1">
        <v>0</v>
      </c>
      <c r="R22" s="1">
        <v>0</v>
      </c>
      <c r="S22" s="1">
        <v>0</v>
      </c>
      <c r="U22" s="1">
        <v>0</v>
      </c>
      <c r="V22" s="9">
        <v>0</v>
      </c>
    </row>
    <row r="23" spans="1:22">
      <c r="A23" s="1" t="s">
        <v>40</v>
      </c>
      <c r="B23" s="6">
        <v>-15474.015995639958</v>
      </c>
      <c r="C23" s="1">
        <v>-5148.7420727284043</v>
      </c>
      <c r="D23" s="1">
        <v>0</v>
      </c>
      <c r="E23" s="1">
        <v>0</v>
      </c>
      <c r="F23" s="1">
        <v>0</v>
      </c>
      <c r="G23" s="9">
        <f>SUM(KY_FINANCIAL)</f>
        <v>-20622.758068368363</v>
      </c>
      <c r="I23" s="13" t="s">
        <v>41</v>
      </c>
      <c r="J23" s="16"/>
      <c r="L23" s="6">
        <v>694762</v>
      </c>
      <c r="M23" s="1">
        <v>681287</v>
      </c>
      <c r="O23" s="1">
        <v>207259</v>
      </c>
      <c r="P23" s="1">
        <v>203121</v>
      </c>
      <c r="R23" s="1">
        <v>0</v>
      </c>
      <c r="S23" s="1">
        <v>0</v>
      </c>
      <c r="U23" s="1">
        <v>0</v>
      </c>
      <c r="V23" s="9">
        <v>0</v>
      </c>
    </row>
    <row r="24" spans="1:22">
      <c r="A24" s="1" t="s">
        <v>42</v>
      </c>
      <c r="B24" s="6">
        <v>0</v>
      </c>
      <c r="C24" s="1">
        <v>0</v>
      </c>
      <c r="D24" s="1">
        <v>0</v>
      </c>
      <c r="E24" s="1">
        <v>0</v>
      </c>
      <c r="F24" s="1">
        <v>0</v>
      </c>
      <c r="G24" s="9">
        <f>SUM(LA_FINANCIAL)</f>
        <v>0</v>
      </c>
      <c r="I24" s="13" t="s">
        <v>43</v>
      </c>
      <c r="J24" s="16">
        <v>49786580.999999508</v>
      </c>
      <c r="L24" s="6"/>
      <c r="V24" s="9"/>
    </row>
    <row r="25" spans="1:22">
      <c r="A25" s="1" t="s">
        <v>44</v>
      </c>
      <c r="B25" s="6">
        <v>-2564.3169388378883</v>
      </c>
      <c r="C25" s="1">
        <v>-17731.616485516803</v>
      </c>
      <c r="D25" s="1">
        <v>0</v>
      </c>
      <c r="E25" s="1">
        <v>-644.22006928344308</v>
      </c>
      <c r="F25" s="1">
        <v>0</v>
      </c>
      <c r="G25" s="9">
        <f>SUM(ME_FINANCIAL)</f>
        <v>-20940.153493638136</v>
      </c>
      <c r="I25" s="13"/>
      <c r="J25" s="16"/>
      <c r="L25" s="6">
        <v>44800</v>
      </c>
      <c r="M25" s="1">
        <v>0</v>
      </c>
      <c r="O25" s="1">
        <v>200200</v>
      </c>
      <c r="P25" s="1">
        <v>0</v>
      </c>
      <c r="R25" s="1">
        <v>0</v>
      </c>
      <c r="S25" s="1">
        <v>0</v>
      </c>
      <c r="U25" s="1">
        <v>0</v>
      </c>
      <c r="V25" s="9">
        <v>0</v>
      </c>
    </row>
    <row r="26" spans="1:22">
      <c r="A26" s="1" t="s">
        <v>45</v>
      </c>
      <c r="B26" s="6">
        <v>-7204.9778210291406</v>
      </c>
      <c r="C26" s="1">
        <v>-9184.8415691141854</v>
      </c>
      <c r="D26" s="1">
        <v>0</v>
      </c>
      <c r="E26" s="1">
        <v>0</v>
      </c>
      <c r="F26" s="1">
        <v>0</v>
      </c>
      <c r="G26" s="9">
        <f>SUM(MD_FINANCIAL)</f>
        <v>-16389.819390143326</v>
      </c>
      <c r="I26" s="13" t="s">
        <v>46</v>
      </c>
      <c r="J26" s="16">
        <f>SUM(ADD_FINANCIAL)-SUM(LESS_FINANCIAL)</f>
        <v>-1665408.4499979019</v>
      </c>
      <c r="L26" s="6">
        <v>126719</v>
      </c>
      <c r="M26" s="1">
        <v>0</v>
      </c>
      <c r="O26" s="1">
        <v>63281</v>
      </c>
      <c r="P26" s="1">
        <v>0</v>
      </c>
      <c r="R26" s="1">
        <v>0</v>
      </c>
      <c r="S26" s="1">
        <v>0</v>
      </c>
      <c r="U26" s="1">
        <v>0</v>
      </c>
      <c r="V26" s="9">
        <v>0</v>
      </c>
    </row>
    <row r="27" spans="1:22">
      <c r="A27" s="1" t="s">
        <v>47</v>
      </c>
      <c r="B27" s="6">
        <v>-14090.547665252816</v>
      </c>
      <c r="C27" s="1">
        <v>-4560.4072868307994</v>
      </c>
      <c r="D27" s="1">
        <v>0</v>
      </c>
      <c r="E27" s="1">
        <v>0</v>
      </c>
      <c r="F27" s="1">
        <v>0</v>
      </c>
      <c r="G27" s="9">
        <f>SUM(MA_FINANCIAL)</f>
        <v>-18650.954952083615</v>
      </c>
      <c r="I27" s="13" t="s">
        <v>48</v>
      </c>
      <c r="J27" s="16">
        <f>SUM(ALL_BLOCKS)</f>
        <v>-1665408.4499997196</v>
      </c>
      <c r="L27" s="6">
        <v>626000</v>
      </c>
      <c r="M27" s="1">
        <v>0</v>
      </c>
      <c r="O27" s="1">
        <v>189000</v>
      </c>
      <c r="P27" s="1">
        <v>0</v>
      </c>
      <c r="R27" s="1">
        <v>0</v>
      </c>
      <c r="S27" s="1">
        <v>0</v>
      </c>
      <c r="U27" s="1">
        <v>0</v>
      </c>
      <c r="V27" s="9">
        <v>0</v>
      </c>
    </row>
    <row r="28" spans="1:22">
      <c r="A28" s="1" t="s">
        <v>49</v>
      </c>
      <c r="B28" s="6">
        <v>-26281.273525991186</v>
      </c>
      <c r="C28" s="1">
        <v>-215696.91826423816</v>
      </c>
      <c r="D28" s="1">
        <v>0</v>
      </c>
      <c r="E28" s="1">
        <v>-116279.04180746642</v>
      </c>
      <c r="F28" s="1">
        <v>0</v>
      </c>
      <c r="G28" s="9">
        <f>SUM(MI_FINANCIAL)</f>
        <v>-358257.23359769577</v>
      </c>
      <c r="I28" s="14"/>
      <c r="J28" s="17"/>
      <c r="L28" s="6">
        <v>380000</v>
      </c>
      <c r="M28" s="1">
        <v>563200</v>
      </c>
      <c r="O28" s="1">
        <v>3340000</v>
      </c>
      <c r="P28" s="1">
        <v>0</v>
      </c>
      <c r="R28" s="1">
        <v>0</v>
      </c>
      <c r="S28" s="1">
        <v>0</v>
      </c>
      <c r="U28" s="1">
        <v>750000</v>
      </c>
      <c r="V28" s="9">
        <v>0</v>
      </c>
    </row>
    <row r="29" spans="1:22">
      <c r="A29" s="1" t="s">
        <v>50</v>
      </c>
      <c r="B29" s="6">
        <v>-6636.8798366875562</v>
      </c>
      <c r="C29" s="1">
        <v>-6412.2714800821996</v>
      </c>
      <c r="D29" s="1">
        <v>0</v>
      </c>
      <c r="E29" s="1">
        <v>-6934.0996778886329</v>
      </c>
      <c r="F29" s="1">
        <v>0</v>
      </c>
      <c r="G29" s="9">
        <f>SUM(MN_FINANCIAL)</f>
        <v>-19983.250994658389</v>
      </c>
      <c r="L29" s="6">
        <v>927500</v>
      </c>
      <c r="M29" s="1">
        <v>0</v>
      </c>
      <c r="O29" s="1">
        <v>397500</v>
      </c>
      <c r="P29" s="1">
        <v>0</v>
      </c>
      <c r="R29" s="1">
        <v>0</v>
      </c>
      <c r="S29" s="1">
        <v>0</v>
      </c>
      <c r="U29" s="1">
        <v>0</v>
      </c>
      <c r="V29" s="9">
        <v>0</v>
      </c>
    </row>
    <row r="30" spans="1:22">
      <c r="A30" s="1" t="s">
        <v>51</v>
      </c>
      <c r="B30" s="6">
        <v>3002.5079115918634</v>
      </c>
      <c r="C30" s="1">
        <v>2689.4620836847607</v>
      </c>
      <c r="D30" s="1">
        <v>0</v>
      </c>
      <c r="E30" s="1">
        <v>0</v>
      </c>
      <c r="F30" s="1">
        <v>0</v>
      </c>
      <c r="G30" s="9">
        <f>SUM(MS_FINANCIAL)</f>
        <v>5691.9699952766241</v>
      </c>
      <c r="L30" s="6">
        <v>311500</v>
      </c>
      <c r="M30" s="1">
        <v>0</v>
      </c>
      <c r="O30" s="1">
        <v>0</v>
      </c>
      <c r="P30" s="1">
        <v>0</v>
      </c>
      <c r="R30" s="1">
        <v>0</v>
      </c>
      <c r="S30" s="1">
        <v>0</v>
      </c>
      <c r="U30" s="1">
        <v>0</v>
      </c>
      <c r="V30" s="9">
        <v>0</v>
      </c>
    </row>
    <row r="31" spans="1:22">
      <c r="A31" s="1" t="s">
        <v>52</v>
      </c>
      <c r="B31" s="6">
        <v>6467.402166275424</v>
      </c>
      <c r="C31" s="1">
        <v>4246.5007701414288</v>
      </c>
      <c r="D31" s="1">
        <v>0</v>
      </c>
      <c r="E31" s="1">
        <v>0</v>
      </c>
      <c r="F31" s="1">
        <v>0</v>
      </c>
      <c r="G31" s="9">
        <f>SUM(MO_FINANCIAL)</f>
        <v>10713.902936416853</v>
      </c>
      <c r="L31" s="6">
        <v>850104</v>
      </c>
      <c r="M31" s="1">
        <v>0</v>
      </c>
      <c r="O31" s="1">
        <v>11428</v>
      </c>
      <c r="P31" s="1">
        <v>0</v>
      </c>
      <c r="R31" s="1">
        <v>0</v>
      </c>
      <c r="S31" s="1">
        <v>0</v>
      </c>
      <c r="U31" s="1">
        <v>0</v>
      </c>
      <c r="V31" s="9">
        <v>0</v>
      </c>
    </row>
    <row r="32" spans="1:22">
      <c r="A32" s="1" t="s">
        <v>53</v>
      </c>
      <c r="B32" s="6">
        <v>-6489.449534893356</v>
      </c>
      <c r="C32" s="1">
        <v>-2427.5484219762729</v>
      </c>
      <c r="D32" s="1">
        <v>0</v>
      </c>
      <c r="E32" s="1">
        <v>0</v>
      </c>
      <c r="F32" s="1">
        <v>0</v>
      </c>
      <c r="G32" s="9">
        <f>SUM(MT_FINANCIAL)</f>
        <v>-8916.997956869629</v>
      </c>
      <c r="L32" s="6">
        <v>145750</v>
      </c>
      <c r="M32" s="1">
        <v>0</v>
      </c>
      <c r="O32" s="1">
        <v>59660</v>
      </c>
      <c r="P32" s="1">
        <v>0</v>
      </c>
      <c r="R32" s="1">
        <v>0</v>
      </c>
      <c r="S32" s="1">
        <v>0</v>
      </c>
      <c r="U32" s="1">
        <v>0</v>
      </c>
      <c r="V32" s="9">
        <v>0</v>
      </c>
    </row>
    <row r="33" spans="1:22">
      <c r="A33" s="1" t="s">
        <v>54</v>
      </c>
      <c r="B33" s="6">
        <v>-2250.9039080564835</v>
      </c>
      <c r="C33" s="1">
        <v>-6473.0887977689854</v>
      </c>
      <c r="D33" s="1">
        <v>0</v>
      </c>
      <c r="E33" s="1">
        <v>0</v>
      </c>
      <c r="F33" s="1">
        <v>0</v>
      </c>
      <c r="G33" s="9">
        <f>SUM(NE_FINANCIAL)</f>
        <v>-8723.9927058254689</v>
      </c>
      <c r="L33" s="6">
        <v>176300</v>
      </c>
      <c r="M33" s="1">
        <v>0</v>
      </c>
      <c r="O33" s="1">
        <v>40295</v>
      </c>
      <c r="P33" s="1">
        <v>0</v>
      </c>
      <c r="R33" s="1">
        <v>0</v>
      </c>
      <c r="S33" s="1">
        <v>0</v>
      </c>
      <c r="U33" s="1">
        <v>0</v>
      </c>
      <c r="V33" s="9">
        <v>0</v>
      </c>
    </row>
    <row r="34" spans="1:22">
      <c r="A34" s="1" t="s">
        <v>55</v>
      </c>
      <c r="B34" s="6">
        <v>-27.984070952530601</v>
      </c>
      <c r="C34" s="1">
        <v>-15.052563103286957</v>
      </c>
      <c r="D34" s="1">
        <v>0</v>
      </c>
      <c r="E34" s="1">
        <v>0</v>
      </c>
      <c r="F34" s="1">
        <v>0</v>
      </c>
      <c r="G34" s="9">
        <f>SUM(NV_FINANCIAL)</f>
        <v>-43.036634055817558</v>
      </c>
      <c r="L34" s="6">
        <v>75100</v>
      </c>
      <c r="M34" s="1">
        <v>0</v>
      </c>
      <c r="O34" s="1">
        <v>58300</v>
      </c>
      <c r="P34" s="1">
        <v>0</v>
      </c>
      <c r="R34" s="1">
        <v>0</v>
      </c>
      <c r="S34" s="1">
        <v>0</v>
      </c>
      <c r="U34" s="1">
        <v>0</v>
      </c>
      <c r="V34" s="9">
        <v>0</v>
      </c>
    </row>
    <row r="35" spans="1:22">
      <c r="A35" s="1" t="s">
        <v>56</v>
      </c>
      <c r="B35" s="6">
        <v>-8188.309870572004</v>
      </c>
      <c r="C35" s="1">
        <v>-36680.392599245533</v>
      </c>
      <c r="D35" s="1">
        <v>0</v>
      </c>
      <c r="E35" s="1">
        <v>0</v>
      </c>
      <c r="F35" s="1">
        <v>0</v>
      </c>
      <c r="G35" s="9">
        <f>SUM(NH_FINANCIAL)</f>
        <v>-44868.702469817537</v>
      </c>
      <c r="L35" s="6">
        <v>140000</v>
      </c>
      <c r="M35" s="1">
        <v>107002</v>
      </c>
      <c r="O35" s="1">
        <v>360000</v>
      </c>
      <c r="P35" s="1">
        <v>446376</v>
      </c>
      <c r="R35" s="1">
        <v>0</v>
      </c>
      <c r="S35" s="1">
        <v>0</v>
      </c>
      <c r="U35" s="1">
        <v>0</v>
      </c>
      <c r="V35" s="9">
        <v>0</v>
      </c>
    </row>
    <row r="36" spans="1:22">
      <c r="A36" s="1" t="s">
        <v>57</v>
      </c>
      <c r="B36" s="6">
        <v>-51871.711293566739</v>
      </c>
      <c r="C36" s="1">
        <v>-281812.55137302633</v>
      </c>
      <c r="D36" s="1">
        <v>0</v>
      </c>
      <c r="E36" s="1">
        <v>-15919.844581460289</v>
      </c>
      <c r="F36" s="1">
        <v>0</v>
      </c>
      <c r="G36" s="9">
        <f>SUM(NJ_FINANCIAL)</f>
        <v>-349604.10724805336</v>
      </c>
      <c r="L36" s="6">
        <v>1260000</v>
      </c>
      <c r="M36" s="1">
        <v>1627581</v>
      </c>
      <c r="O36" s="1">
        <v>3740000</v>
      </c>
      <c r="P36" s="1">
        <v>4616428</v>
      </c>
      <c r="R36" s="1">
        <v>0</v>
      </c>
      <c r="S36" s="1">
        <v>0</v>
      </c>
      <c r="U36" s="1">
        <v>500000</v>
      </c>
      <c r="V36" s="9">
        <v>610524</v>
      </c>
    </row>
    <row r="37" spans="1:22">
      <c r="A37" s="1" t="s">
        <v>58</v>
      </c>
      <c r="B37" s="6">
        <v>997.58861241524573</v>
      </c>
      <c r="C37" s="1">
        <v>1210.3962298621773</v>
      </c>
      <c r="D37" s="1">
        <v>0</v>
      </c>
      <c r="E37" s="1">
        <v>0</v>
      </c>
      <c r="F37" s="1">
        <v>0</v>
      </c>
      <c r="G37" s="9">
        <f>SUM(NM_FINANCIAL)</f>
        <v>2207.984842277423</v>
      </c>
      <c r="L37" s="6">
        <v>1000000</v>
      </c>
      <c r="M37" s="1">
        <v>0</v>
      </c>
      <c r="O37" s="1">
        <v>302243</v>
      </c>
      <c r="P37" s="1">
        <v>0</v>
      </c>
      <c r="R37" s="1">
        <v>0</v>
      </c>
      <c r="S37" s="1">
        <v>0</v>
      </c>
      <c r="U37" s="1">
        <v>0</v>
      </c>
      <c r="V37" s="9">
        <v>0</v>
      </c>
    </row>
    <row r="38" spans="1:22">
      <c r="A38" s="1" t="s">
        <v>59</v>
      </c>
      <c r="B38" s="6">
        <v>-99386.970106366789</v>
      </c>
      <c r="C38" s="1">
        <v>-265512.21401918307</v>
      </c>
      <c r="D38" s="1">
        <v>0</v>
      </c>
      <c r="E38" s="1">
        <v>-9646.7778394741181</v>
      </c>
      <c r="F38" s="1">
        <v>0</v>
      </c>
      <c r="G38" s="9">
        <f>SUM(NY_FINANCIAL)</f>
        <v>-374545.96196502401</v>
      </c>
      <c r="L38" s="6">
        <v>91500000</v>
      </c>
      <c r="M38" s="1">
        <v>54000000</v>
      </c>
      <c r="O38" s="1">
        <v>0</v>
      </c>
      <c r="P38" s="1">
        <v>0</v>
      </c>
      <c r="R38" s="1">
        <v>0</v>
      </c>
      <c r="S38" s="1">
        <v>0</v>
      </c>
      <c r="U38" s="1">
        <v>0</v>
      </c>
      <c r="V38" s="9">
        <v>0</v>
      </c>
    </row>
    <row r="39" spans="1:22">
      <c r="A39" s="1" t="s">
        <v>60</v>
      </c>
      <c r="B39" s="6">
        <v>-11324.720400752063</v>
      </c>
      <c r="C39" s="1">
        <v>-11110.34497308702</v>
      </c>
      <c r="D39" s="1">
        <v>0</v>
      </c>
      <c r="E39" s="1">
        <v>-648.78369296178244</v>
      </c>
      <c r="F39" s="1">
        <v>0</v>
      </c>
      <c r="G39" s="9">
        <f>SUM(NC_FINANCIAL)</f>
        <v>-23083.849066800867</v>
      </c>
      <c r="L39" s="6">
        <v>250000</v>
      </c>
      <c r="M39" s="1">
        <v>275000</v>
      </c>
      <c r="O39" s="1">
        <v>250000</v>
      </c>
      <c r="P39" s="1">
        <v>275000</v>
      </c>
      <c r="R39" s="1">
        <v>0</v>
      </c>
      <c r="S39" s="1">
        <v>0</v>
      </c>
      <c r="U39" s="1">
        <v>0</v>
      </c>
      <c r="V39" s="9">
        <v>0</v>
      </c>
    </row>
    <row r="40" spans="1:22">
      <c r="A40" s="1" t="s">
        <v>61</v>
      </c>
      <c r="B40" s="6">
        <v>4426.3335341239872</v>
      </c>
      <c r="C40" s="1">
        <v>353.38385212330286</v>
      </c>
      <c r="D40" s="1">
        <v>0</v>
      </c>
      <c r="E40" s="1">
        <v>0</v>
      </c>
      <c r="F40" s="1">
        <v>0</v>
      </c>
      <c r="G40" s="9">
        <f>SUM(ND_FINANCIAL)</f>
        <v>4779.7173862472901</v>
      </c>
      <c r="L40" s="6">
        <v>10253</v>
      </c>
      <c r="M40" s="1">
        <v>0</v>
      </c>
      <c r="O40" s="1">
        <v>502</v>
      </c>
      <c r="P40" s="1">
        <v>0</v>
      </c>
      <c r="R40" s="1">
        <v>0</v>
      </c>
      <c r="S40" s="1">
        <v>0</v>
      </c>
      <c r="U40" s="1">
        <v>0</v>
      </c>
      <c r="V40" s="9">
        <v>0</v>
      </c>
    </row>
    <row r="41" spans="1:22">
      <c r="A41" s="1" t="s">
        <v>62</v>
      </c>
      <c r="B41" s="6">
        <v>-25718.786723923287</v>
      </c>
      <c r="C41" s="1">
        <v>-33373.523756944574</v>
      </c>
      <c r="D41" s="1">
        <v>0</v>
      </c>
      <c r="E41" s="1">
        <v>-5925.4734451940167</v>
      </c>
      <c r="F41" s="1">
        <v>0</v>
      </c>
      <c r="G41" s="9">
        <f>SUM(OH_FINANCIAL)</f>
        <v>-65017.783926061878</v>
      </c>
      <c r="L41" s="6">
        <v>200000</v>
      </c>
      <c r="M41" s="1">
        <v>0</v>
      </c>
      <c r="O41" s="1">
        <v>150000</v>
      </c>
      <c r="P41" s="1">
        <v>0</v>
      </c>
      <c r="R41" s="1">
        <v>0</v>
      </c>
      <c r="S41" s="1">
        <v>0</v>
      </c>
      <c r="U41" s="1">
        <v>150000</v>
      </c>
      <c r="V41" s="9">
        <v>0</v>
      </c>
    </row>
    <row r="42" spans="1:22">
      <c r="A42" s="1" t="s">
        <v>63</v>
      </c>
      <c r="B42" s="6">
        <v>-4677.6324068559043</v>
      </c>
      <c r="C42" s="1">
        <v>-1957.5953304577852</v>
      </c>
      <c r="D42" s="1">
        <v>0</v>
      </c>
      <c r="E42" s="1">
        <v>0</v>
      </c>
      <c r="F42" s="1">
        <v>0</v>
      </c>
      <c r="G42" s="9">
        <f>SUM(OK_FINANCIAL)</f>
        <v>-6635.2277373136894</v>
      </c>
      <c r="L42" s="6">
        <v>155000</v>
      </c>
      <c r="M42" s="1">
        <v>148000</v>
      </c>
      <c r="O42" s="1">
        <v>95000</v>
      </c>
      <c r="P42" s="1">
        <v>92000</v>
      </c>
      <c r="R42" s="1">
        <v>0</v>
      </c>
      <c r="S42" s="1">
        <v>0</v>
      </c>
      <c r="U42" s="1">
        <v>0</v>
      </c>
      <c r="V42" s="9">
        <v>0</v>
      </c>
    </row>
    <row r="43" spans="1:22">
      <c r="A43" s="1" t="s">
        <v>64</v>
      </c>
      <c r="B43" s="6">
        <v>-1405.2318078605531</v>
      </c>
      <c r="C43" s="1">
        <v>-9131.4689069739252</v>
      </c>
      <c r="D43" s="1">
        <v>0</v>
      </c>
      <c r="E43" s="1">
        <v>0</v>
      </c>
      <c r="F43" s="1">
        <v>0</v>
      </c>
      <c r="G43" s="9">
        <f>SUM(OR_FINANCIAL)</f>
        <v>-10536.700714834478</v>
      </c>
      <c r="L43" s="6"/>
      <c r="V43" s="9"/>
    </row>
    <row r="44" spans="1:22">
      <c r="A44" s="1" t="s">
        <v>65</v>
      </c>
      <c r="B44" s="6">
        <v>-43459.785080580506</v>
      </c>
      <c r="C44" s="1">
        <v>-24559.645898175717</v>
      </c>
      <c r="D44" s="1">
        <v>0</v>
      </c>
      <c r="E44" s="1">
        <v>-7192.6298240282485</v>
      </c>
      <c r="F44" s="1">
        <v>0</v>
      </c>
      <c r="G44" s="9">
        <f>SUM(PA_FINANCIAL)</f>
        <v>-75212.060802784472</v>
      </c>
      <c r="L44" s="6">
        <v>500000</v>
      </c>
      <c r="M44" s="1">
        <v>0</v>
      </c>
      <c r="O44" s="1">
        <v>0</v>
      </c>
      <c r="P44" s="1">
        <v>0</v>
      </c>
      <c r="R44" s="1">
        <v>0</v>
      </c>
      <c r="S44" s="1">
        <v>0</v>
      </c>
      <c r="U44" s="1">
        <v>0</v>
      </c>
      <c r="V44" s="9">
        <v>0</v>
      </c>
    </row>
    <row r="45" spans="1:22">
      <c r="A45" s="1" t="s">
        <v>66</v>
      </c>
      <c r="B45" s="6">
        <v>-62.506773424260246</v>
      </c>
      <c r="C45" s="1">
        <v>-163.53660800462512</v>
      </c>
      <c r="D45" s="1">
        <v>0</v>
      </c>
      <c r="E45" s="1">
        <v>0</v>
      </c>
      <c r="F45" s="1">
        <v>0</v>
      </c>
      <c r="G45" s="9">
        <f>SUM(PR_FINANCIAL)</f>
        <v>-226.04338142888537</v>
      </c>
      <c r="L45" s="6"/>
      <c r="V45" s="9"/>
    </row>
    <row r="46" spans="1:22">
      <c r="A46" s="1" t="s">
        <v>67</v>
      </c>
      <c r="B46" s="6">
        <v>-1224.8731052013463</v>
      </c>
      <c r="C46" s="1">
        <v>-511.14761428110069</v>
      </c>
      <c r="D46" s="1">
        <v>0</v>
      </c>
      <c r="E46" s="1">
        <v>0</v>
      </c>
      <c r="F46" s="1">
        <v>0</v>
      </c>
      <c r="G46" s="9">
        <f>SUM(RI_FINANCIAL)</f>
        <v>-1736.020719482447</v>
      </c>
      <c r="L46" s="6">
        <v>66025</v>
      </c>
      <c r="M46" s="1">
        <v>0</v>
      </c>
      <c r="O46" s="1">
        <v>67975</v>
      </c>
      <c r="P46" s="1">
        <v>0</v>
      </c>
      <c r="R46" s="1">
        <v>0</v>
      </c>
      <c r="S46" s="1">
        <v>0</v>
      </c>
      <c r="U46" s="1">
        <v>0</v>
      </c>
      <c r="V46" s="9">
        <v>0</v>
      </c>
    </row>
    <row r="47" spans="1:22">
      <c r="A47" s="1" t="s">
        <v>68</v>
      </c>
      <c r="B47" s="6">
        <v>-8477.5013482101494</v>
      </c>
      <c r="C47" s="1">
        <v>-5447.2942464699881</v>
      </c>
      <c r="D47" s="1">
        <v>0</v>
      </c>
      <c r="E47" s="1">
        <v>0</v>
      </c>
      <c r="F47" s="1">
        <v>0</v>
      </c>
      <c r="G47" s="9">
        <f>SUM(SC_FINANCIAL)</f>
        <v>-13924.795594680138</v>
      </c>
      <c r="L47" s="6"/>
      <c r="V47" s="9"/>
    </row>
    <row r="48" spans="1:22">
      <c r="A48" s="1" t="s">
        <v>69</v>
      </c>
      <c r="B48" s="6">
        <v>-44.354634123359574</v>
      </c>
      <c r="C48" s="1">
        <v>-4.1667831893955736</v>
      </c>
      <c r="D48" s="1">
        <v>0</v>
      </c>
      <c r="E48" s="1">
        <v>0</v>
      </c>
      <c r="F48" s="1">
        <v>0</v>
      </c>
      <c r="G48" s="9">
        <f>SUM(SD_FINANCIAL)</f>
        <v>-48.521417312755148</v>
      </c>
      <c r="L48" s="6">
        <v>1900000</v>
      </c>
      <c r="M48" s="1">
        <v>2065520</v>
      </c>
      <c r="O48" s="1">
        <v>0</v>
      </c>
      <c r="P48" s="1">
        <v>0</v>
      </c>
      <c r="R48" s="1">
        <v>0</v>
      </c>
      <c r="S48" s="1">
        <v>0</v>
      </c>
      <c r="U48" s="1">
        <v>0</v>
      </c>
      <c r="V48" s="9">
        <v>0</v>
      </c>
    </row>
    <row r="49" spans="1:22">
      <c r="A49" s="1" t="s">
        <v>70</v>
      </c>
      <c r="B49" s="6">
        <v>-9513.496351928392</v>
      </c>
      <c r="C49" s="1">
        <v>-1949.3074343806657</v>
      </c>
      <c r="D49" s="1">
        <v>0</v>
      </c>
      <c r="E49" s="1">
        <v>0</v>
      </c>
      <c r="F49" s="1">
        <v>0</v>
      </c>
      <c r="G49" s="9">
        <f>SUM(TN_FINANCIAL)</f>
        <v>-11462.803786309058</v>
      </c>
      <c r="L49" s="6">
        <v>300000</v>
      </c>
      <c r="M49" s="1">
        <v>0</v>
      </c>
      <c r="O49" s="1">
        <v>130000</v>
      </c>
      <c r="P49" s="1">
        <v>0</v>
      </c>
      <c r="R49" s="1">
        <v>0</v>
      </c>
      <c r="S49" s="1">
        <v>0</v>
      </c>
      <c r="U49" s="1">
        <v>0</v>
      </c>
      <c r="V49" s="9">
        <v>0</v>
      </c>
    </row>
    <row r="50" spans="1:22">
      <c r="A50" s="1" t="s">
        <v>71</v>
      </c>
      <c r="B50" s="6">
        <v>-26454.004278681474</v>
      </c>
      <c r="C50" s="1">
        <v>-8146.3219346582191</v>
      </c>
      <c r="D50" s="1">
        <v>0</v>
      </c>
      <c r="E50" s="1">
        <v>-4122.921443226558</v>
      </c>
      <c r="F50" s="1">
        <v>0</v>
      </c>
      <c r="G50" s="9">
        <f>SUM(TX_FINANCIAL)</f>
        <v>-38723.247656566251</v>
      </c>
      <c r="L50" s="6">
        <v>678676</v>
      </c>
      <c r="M50" s="1">
        <v>827199.84725400002</v>
      </c>
      <c r="O50" s="1">
        <v>120850</v>
      </c>
      <c r="P50" s="1">
        <v>147222.508026</v>
      </c>
      <c r="R50" s="1">
        <v>3545420</v>
      </c>
      <c r="S50" s="1">
        <v>4321351.3147200001</v>
      </c>
      <c r="U50" s="1">
        <v>0</v>
      </c>
      <c r="V50" s="9">
        <v>0</v>
      </c>
    </row>
    <row r="51" spans="1:22">
      <c r="A51" s="1" t="s">
        <v>72</v>
      </c>
      <c r="B51" s="6">
        <v>1891.7268221105041</v>
      </c>
      <c r="C51" s="1">
        <v>879.31085820729641</v>
      </c>
      <c r="D51" s="1">
        <v>0</v>
      </c>
      <c r="E51" s="1">
        <v>3055.4325927039899</v>
      </c>
      <c r="F51" s="1">
        <v>0</v>
      </c>
      <c r="G51" s="9">
        <f>SUM(UT_FINANCIAL)</f>
        <v>5826.4702730217905</v>
      </c>
      <c r="L51" s="6">
        <v>373502</v>
      </c>
      <c r="M51" s="1">
        <v>318285</v>
      </c>
      <c r="O51" s="1">
        <v>123276</v>
      </c>
      <c r="P51" s="1">
        <v>106095</v>
      </c>
      <c r="R51" s="1">
        <v>3221</v>
      </c>
      <c r="S51" s="1">
        <v>0</v>
      </c>
      <c r="U51" s="1">
        <v>0</v>
      </c>
      <c r="V51" s="9">
        <v>0</v>
      </c>
    </row>
    <row r="52" spans="1:22">
      <c r="A52" s="1" t="s">
        <v>73</v>
      </c>
      <c r="B52" s="6">
        <v>-1234.1059176188155</v>
      </c>
      <c r="C52" s="1">
        <v>-15956.158169840637</v>
      </c>
      <c r="D52" s="1">
        <v>0</v>
      </c>
      <c r="E52" s="1">
        <v>-3903.7641015315021</v>
      </c>
      <c r="F52" s="1">
        <v>0</v>
      </c>
      <c r="G52" s="9">
        <f>SUM(VT_FINANCIAL)</f>
        <v>-21094.028188990953</v>
      </c>
      <c r="L52" s="6">
        <v>23000</v>
      </c>
      <c r="M52" s="1">
        <v>0</v>
      </c>
      <c r="O52" s="1">
        <v>219500</v>
      </c>
      <c r="P52" s="1">
        <v>0</v>
      </c>
      <c r="R52" s="1">
        <v>0</v>
      </c>
      <c r="S52" s="1">
        <v>0</v>
      </c>
      <c r="U52" s="1">
        <v>0</v>
      </c>
      <c r="V52" s="9">
        <v>0</v>
      </c>
    </row>
    <row r="53" spans="1:22">
      <c r="A53" s="1" t="s">
        <v>74</v>
      </c>
      <c r="B53" s="6">
        <v>-4062.9111771342577</v>
      </c>
      <c r="C53" s="1">
        <v>-3535.2676829569391</v>
      </c>
      <c r="D53" s="1">
        <v>0</v>
      </c>
      <c r="E53" s="1">
        <v>0</v>
      </c>
      <c r="F53" s="1">
        <v>0</v>
      </c>
      <c r="G53" s="9">
        <f>SUM(VA_FINANCIAL)</f>
        <v>-7598.1788600911968</v>
      </c>
      <c r="L53" s="6">
        <v>683540</v>
      </c>
      <c r="M53" s="1">
        <v>1010868</v>
      </c>
      <c r="O53" s="1">
        <v>8711</v>
      </c>
      <c r="P53" s="1">
        <v>7374</v>
      </c>
      <c r="R53" s="1">
        <v>398463</v>
      </c>
      <c r="S53" s="1">
        <v>420000</v>
      </c>
      <c r="U53" s="1">
        <v>0</v>
      </c>
      <c r="V53" s="9">
        <v>0</v>
      </c>
    </row>
    <row r="54" spans="1:22">
      <c r="A54" s="1" t="s">
        <v>75</v>
      </c>
      <c r="B54" s="6">
        <v>-3353.3005562562903</v>
      </c>
      <c r="C54" s="1">
        <v>-19266.876843377133</v>
      </c>
      <c r="D54" s="1">
        <v>0</v>
      </c>
      <c r="E54" s="1">
        <v>-493.73891868887404</v>
      </c>
      <c r="F54" s="1">
        <v>0</v>
      </c>
      <c r="G54" s="9">
        <f>SUM(WA_FINANCIAL)</f>
        <v>-23113.916318322299</v>
      </c>
      <c r="L54" s="6"/>
      <c r="V54" s="9"/>
    </row>
    <row r="55" spans="1:22">
      <c r="A55" s="1" t="s">
        <v>76</v>
      </c>
      <c r="B55" s="6">
        <v>-3377.8716799038375</v>
      </c>
      <c r="C55" s="1">
        <v>-711.88581042809165</v>
      </c>
      <c r="D55" s="1">
        <v>0</v>
      </c>
      <c r="E55" s="1">
        <v>0</v>
      </c>
      <c r="F55" s="1">
        <v>0</v>
      </c>
      <c r="G55" s="9">
        <f>SUM(WV_FINANCIAL)</f>
        <v>-4089.7574903319291</v>
      </c>
      <c r="L55" s="6">
        <v>51698</v>
      </c>
      <c r="M55" s="1">
        <v>63442</v>
      </c>
      <c r="O55" s="1">
        <v>2293</v>
      </c>
      <c r="P55" s="1">
        <v>351</v>
      </c>
      <c r="R55" s="1">
        <v>79100</v>
      </c>
      <c r="S55" s="1">
        <v>95605</v>
      </c>
      <c r="U55" s="1">
        <v>0</v>
      </c>
      <c r="V55" s="9">
        <v>0</v>
      </c>
    </row>
    <row r="56" spans="1:22">
      <c r="A56" s="1" t="s">
        <v>77</v>
      </c>
      <c r="B56" s="6">
        <v>-3104.111186220689</v>
      </c>
      <c r="C56" s="1">
        <v>-1582.1765605368128</v>
      </c>
      <c r="D56" s="1">
        <v>0</v>
      </c>
      <c r="E56" s="1">
        <v>0</v>
      </c>
      <c r="F56" s="1">
        <v>0</v>
      </c>
      <c r="G56" s="9">
        <f>SUM(WI_FINANCIAL)</f>
        <v>-4686.2877467575017</v>
      </c>
      <c r="L56" s="6"/>
      <c r="V56" s="9"/>
    </row>
    <row r="57" spans="1:22">
      <c r="A57" s="1" t="s">
        <v>78</v>
      </c>
      <c r="B57" s="6">
        <v>-4373.6820939973113</v>
      </c>
      <c r="C57" s="1">
        <v>-57.885947374422358</v>
      </c>
      <c r="D57" s="1">
        <v>0</v>
      </c>
      <c r="E57" s="1">
        <v>0</v>
      </c>
      <c r="F57" s="1">
        <v>0</v>
      </c>
      <c r="G57" s="9">
        <f>SUM(WY_FINANCIAL)</f>
        <v>-4431.5680413717337</v>
      </c>
      <c r="L57" s="6">
        <v>214537</v>
      </c>
      <c r="M57" s="1">
        <v>0</v>
      </c>
      <c r="O57" s="1">
        <v>16178</v>
      </c>
      <c r="P57" s="1">
        <v>0</v>
      </c>
      <c r="R57" s="1">
        <v>105957</v>
      </c>
      <c r="S57" s="1">
        <v>0</v>
      </c>
      <c r="U57" s="1">
        <v>0</v>
      </c>
      <c r="V57" s="9">
        <v>0</v>
      </c>
    </row>
    <row r="58" spans="1:22">
      <c r="A58" s="1" t="s">
        <v>79</v>
      </c>
      <c r="B58" s="6">
        <v>0</v>
      </c>
      <c r="C58" s="1">
        <v>0</v>
      </c>
      <c r="D58" s="1">
        <v>0</v>
      </c>
      <c r="E58" s="1">
        <v>0</v>
      </c>
      <c r="F58" s="1">
        <v>0</v>
      </c>
      <c r="G58" s="9">
        <f>SUM(OT_FINANCIAL)</f>
        <v>0</v>
      </c>
      <c r="L58" s="6"/>
      <c r="V58" s="9"/>
    </row>
    <row r="59" spans="1:22">
      <c r="B59" s="6"/>
      <c r="G59" s="9"/>
      <c r="L59" s="6"/>
      <c r="V59" s="9"/>
    </row>
    <row r="60" spans="1:22">
      <c r="A60" s="1" t="s">
        <v>8</v>
      </c>
      <c r="B60" s="6">
        <f>SUM(LIFE)</f>
        <v>-381962.22322039324</v>
      </c>
      <c r="C60" s="1">
        <f>SUM(ALLOCATED)</f>
        <v>-1112649.6289279202</v>
      </c>
      <c r="D60" s="1">
        <f>SUM(HEALTH)</f>
        <v>0</v>
      </c>
      <c r="E60" s="1">
        <f>SUM(UNALLOCATED)</f>
        <v>-170796.59785140699</v>
      </c>
      <c r="F60" s="1">
        <f>SUM(LTC)</f>
        <v>0</v>
      </c>
      <c r="G60" s="9">
        <f>SUM(ALL_BLOCKS)</f>
        <v>-1665408.4499997196</v>
      </c>
      <c r="L60" s="6">
        <f>SUM(LIFE_CALLED)</f>
        <v>113928847</v>
      </c>
      <c r="M60" s="1">
        <f>SUM(LIFE_REFUNDED)</f>
        <v>73393423.847253993</v>
      </c>
      <c r="O60" s="1">
        <f>SUM(ALLOC_CALLED)</f>
        <v>16270649</v>
      </c>
      <c r="P60" s="1">
        <f>SUM(ALLOC_REFUNDED)</f>
        <v>12224649.138025999</v>
      </c>
      <c r="R60" s="1">
        <f>SUM(HEALTH_CALLED)</f>
        <v>4132289</v>
      </c>
      <c r="S60" s="1">
        <f>SUM(HEALTH_REFUNDED)</f>
        <v>4836956.3147200001</v>
      </c>
      <c r="U60" s="1">
        <f>SUM(UNALLOC_CALLED)</f>
        <v>2139524</v>
      </c>
      <c r="V60" s="9">
        <f>SUM(UNALLOC_REFUNDED)</f>
        <v>1843252.74</v>
      </c>
    </row>
    <row r="61" spans="1:22" ht="5.0999999999999996" customHeight="1">
      <c r="B61" s="6"/>
      <c r="G61" s="9"/>
      <c r="L61" s="6"/>
      <c r="V61" s="9"/>
    </row>
    <row r="62" spans="1:22">
      <c r="B62" s="6"/>
      <c r="G62" s="9"/>
      <c r="L62" s="78" t="s">
        <v>80</v>
      </c>
      <c r="M62" s="79"/>
      <c r="N62" s="79"/>
      <c r="O62" s="79"/>
      <c r="P62" s="79"/>
      <c r="Q62" s="79"/>
      <c r="R62" s="79"/>
      <c r="S62" s="79"/>
      <c r="T62" s="79"/>
      <c r="U62" s="79"/>
      <c r="V62" s="80"/>
    </row>
    <row r="63" spans="1:22">
      <c r="B63" s="6"/>
      <c r="G63" s="9"/>
      <c r="L63" s="81"/>
      <c r="M63" s="79"/>
      <c r="N63" s="79"/>
      <c r="O63" s="79"/>
      <c r="P63" s="79"/>
      <c r="Q63" s="79"/>
      <c r="R63" s="79"/>
      <c r="S63" s="79"/>
      <c r="T63" s="79"/>
      <c r="U63" s="79"/>
      <c r="V63" s="80"/>
    </row>
    <row r="64" spans="1:22">
      <c r="B64" s="8"/>
      <c r="C64" s="5"/>
      <c r="D64" s="5"/>
      <c r="E64" s="5"/>
      <c r="F64" s="5"/>
      <c r="G64" s="11"/>
      <c r="L64" s="82"/>
      <c r="M64" s="83"/>
      <c r="N64" s="83"/>
      <c r="O64" s="83"/>
      <c r="P64" s="83"/>
      <c r="Q64" s="83"/>
      <c r="R64" s="83"/>
      <c r="S64" s="83"/>
      <c r="T64" s="83"/>
      <c r="U64" s="83"/>
      <c r="V64" s="84"/>
    </row>
  </sheetData>
  <mergeCells count="8">
    <mergeCell ref="L62:V64"/>
    <mergeCell ref="A1:G1"/>
    <mergeCell ref="B3:G3"/>
    <mergeCell ref="L3:V3"/>
    <mergeCell ref="L4:M4"/>
    <mergeCell ref="O4:P4"/>
    <mergeCell ref="R4:S4"/>
    <mergeCell ref="U4:V4"/>
  </mergeCells>
  <pageMargins left="0" right="0" top="0" bottom="0" header="0" footer="0"/>
  <pageSetup scale="48"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pageSetUpPr fitToPage="1"/>
  </sheetPr>
  <dimension ref="A1:V64"/>
  <sheetViews>
    <sheetView zoomScale="75" workbookViewId="0">
      <selection sqref="A1:G1"/>
    </sheetView>
  </sheetViews>
  <sheetFormatPr defaultColWidth="9.109375" defaultRowHeight="14.4"/>
  <cols>
    <col min="1" max="1" width="20" style="1" customWidth="1"/>
    <col min="2" max="7" width="15" style="1" customWidth="1"/>
    <col min="8" max="8" width="1" style="1" customWidth="1"/>
    <col min="9" max="9" width="30" style="1" customWidth="1"/>
    <col min="10" max="10" width="15" style="1" customWidth="1"/>
    <col min="11" max="11" width="1" style="1" customWidth="1"/>
    <col min="12" max="13" width="15" style="1" customWidth="1"/>
    <col min="14" max="14" width="1" style="1" customWidth="1"/>
    <col min="15" max="16" width="15" style="1" customWidth="1"/>
    <col min="17" max="17" width="1" style="1" customWidth="1"/>
    <col min="18" max="19" width="15" style="1" customWidth="1"/>
    <col min="20" max="20" width="1" style="1" customWidth="1"/>
    <col min="21" max="22" width="15" style="1" customWidth="1"/>
    <col min="23" max="23" width="9.109375" style="1" customWidth="1"/>
    <col min="24" max="16384" width="9.109375" style="1"/>
  </cols>
  <sheetData>
    <row r="1" spans="1:22">
      <c r="A1" s="85" t="s">
        <v>147</v>
      </c>
      <c r="B1" s="79"/>
      <c r="C1" s="79"/>
      <c r="D1" s="79"/>
      <c r="E1" s="79"/>
      <c r="F1" s="79"/>
      <c r="G1" s="79"/>
    </row>
    <row r="3" spans="1:22">
      <c r="B3" s="86" t="s">
        <v>1</v>
      </c>
      <c r="C3" s="87"/>
      <c r="D3" s="87"/>
      <c r="E3" s="87"/>
      <c r="F3" s="87"/>
      <c r="G3" s="88"/>
      <c r="L3" s="89" t="s">
        <v>2</v>
      </c>
      <c r="M3" s="90"/>
      <c r="N3" s="90"/>
      <c r="O3" s="90"/>
      <c r="P3" s="90"/>
      <c r="Q3" s="90"/>
      <c r="R3" s="90"/>
      <c r="S3" s="90"/>
      <c r="T3" s="90"/>
      <c r="U3" s="90"/>
      <c r="V3" s="91"/>
    </row>
    <row r="4" spans="1:22">
      <c r="B4" s="6"/>
      <c r="G4" s="9"/>
      <c r="L4" s="92" t="s">
        <v>3</v>
      </c>
      <c r="M4" s="93"/>
      <c r="N4" s="3"/>
      <c r="O4" s="94" t="s">
        <v>4</v>
      </c>
      <c r="P4" s="93"/>
      <c r="Q4" s="3"/>
      <c r="R4" s="94" t="s">
        <v>5</v>
      </c>
      <c r="S4" s="93"/>
      <c r="T4" s="3"/>
      <c r="U4" s="94" t="s">
        <v>6</v>
      </c>
      <c r="V4" s="95"/>
    </row>
    <row r="5" spans="1:22" ht="60" customHeight="1">
      <c r="B5" s="7" t="s">
        <v>3</v>
      </c>
      <c r="C5" s="4" t="s">
        <v>4</v>
      </c>
      <c r="D5" s="4" t="s">
        <v>5</v>
      </c>
      <c r="E5" s="4" t="s">
        <v>6</v>
      </c>
      <c r="F5" s="4" t="s">
        <v>7</v>
      </c>
      <c r="G5" s="10" t="s">
        <v>8</v>
      </c>
      <c r="L5" s="19" t="s">
        <v>9</v>
      </c>
      <c r="M5" s="18" t="s">
        <v>10</v>
      </c>
      <c r="N5" s="18"/>
      <c r="O5" s="18" t="s">
        <v>9</v>
      </c>
      <c r="P5" s="18" t="s">
        <v>10</v>
      </c>
      <c r="Q5" s="18"/>
      <c r="R5" s="18" t="s">
        <v>9</v>
      </c>
      <c r="S5" s="18" t="s">
        <v>10</v>
      </c>
      <c r="T5" s="18"/>
      <c r="U5" s="18" t="s">
        <v>9</v>
      </c>
      <c r="V5" s="20" t="s">
        <v>10</v>
      </c>
    </row>
    <row r="6" spans="1:22">
      <c r="A6" s="1" t="s">
        <v>11</v>
      </c>
      <c r="B6" s="6">
        <v>186.88310756352439</v>
      </c>
      <c r="C6" s="1">
        <v>223.64903248920746</v>
      </c>
      <c r="D6" s="1">
        <v>-2615.6624283463539</v>
      </c>
      <c r="E6" s="1">
        <v>0</v>
      </c>
      <c r="F6" s="1">
        <v>0</v>
      </c>
      <c r="G6" s="9">
        <f>SUM(AL_FINANCIAL)</f>
        <v>-2205.130288293622</v>
      </c>
      <c r="L6" s="6">
        <v>98826</v>
      </c>
      <c r="M6" s="1">
        <v>0</v>
      </c>
      <c r="O6" s="1">
        <v>81514</v>
      </c>
      <c r="P6" s="1">
        <v>0</v>
      </c>
      <c r="R6" s="1">
        <v>3000</v>
      </c>
      <c r="S6" s="1">
        <v>0</v>
      </c>
      <c r="U6" s="1">
        <v>0</v>
      </c>
      <c r="V6" s="9">
        <v>0</v>
      </c>
    </row>
    <row r="7" spans="1:22">
      <c r="A7" s="1" t="s">
        <v>12</v>
      </c>
      <c r="B7" s="6">
        <v>1495.8023215727917</v>
      </c>
      <c r="C7" s="1">
        <v>6961.8090966739546</v>
      </c>
      <c r="D7" s="1">
        <v>0</v>
      </c>
      <c r="E7" s="1">
        <v>0</v>
      </c>
      <c r="F7" s="1">
        <v>0</v>
      </c>
      <c r="G7" s="9">
        <f>SUM(AK_FINANCIAL)</f>
        <v>8457.6114182467463</v>
      </c>
      <c r="I7" s="12"/>
      <c r="J7" s="15"/>
      <c r="L7" s="6">
        <v>135583</v>
      </c>
      <c r="M7" s="1">
        <v>55200</v>
      </c>
      <c r="O7" s="1">
        <v>33801</v>
      </c>
      <c r="P7" s="1">
        <v>47371</v>
      </c>
      <c r="R7" s="1">
        <v>0</v>
      </c>
      <c r="S7" s="1">
        <v>0</v>
      </c>
      <c r="U7" s="1">
        <v>0</v>
      </c>
      <c r="V7" s="9">
        <v>0</v>
      </c>
    </row>
    <row r="8" spans="1:22">
      <c r="A8" s="1" t="s">
        <v>13</v>
      </c>
      <c r="B8" s="6">
        <v>37302.520993901271</v>
      </c>
      <c r="C8" s="1">
        <v>80567.368927005795</v>
      </c>
      <c r="D8" s="1">
        <v>2037.0828045685594</v>
      </c>
      <c r="E8" s="1">
        <v>0</v>
      </c>
      <c r="F8" s="1">
        <v>0</v>
      </c>
      <c r="G8" s="9">
        <f>SUM(AZ_FINANCIAL)</f>
        <v>119906.97272547563</v>
      </c>
      <c r="I8" s="13" t="s">
        <v>14</v>
      </c>
      <c r="J8" s="16"/>
      <c r="L8" s="6">
        <v>575300</v>
      </c>
      <c r="M8" s="1">
        <v>0</v>
      </c>
      <c r="O8" s="1">
        <v>394119</v>
      </c>
      <c r="P8" s="1">
        <v>0</v>
      </c>
      <c r="R8" s="1">
        <v>0</v>
      </c>
      <c r="S8" s="1">
        <v>0</v>
      </c>
      <c r="U8" s="1">
        <v>0</v>
      </c>
      <c r="V8" s="9">
        <v>0</v>
      </c>
    </row>
    <row r="9" spans="1:22">
      <c r="A9" s="1" t="s">
        <v>15</v>
      </c>
      <c r="B9" s="6">
        <v>32982.439474360799</v>
      </c>
      <c r="C9" s="1">
        <v>38344.448946781529</v>
      </c>
      <c r="D9" s="1">
        <v>-192821.73335806094</v>
      </c>
      <c r="E9" s="1">
        <v>0</v>
      </c>
      <c r="F9" s="1">
        <v>0</v>
      </c>
      <c r="G9" s="9">
        <f>SUM(AR_FINANCIAL)</f>
        <v>-121494.84493691861</v>
      </c>
      <c r="I9" s="13"/>
      <c r="J9" s="16"/>
      <c r="L9" s="6">
        <v>203542</v>
      </c>
      <c r="M9" s="1">
        <v>0</v>
      </c>
      <c r="O9" s="1">
        <v>0</v>
      </c>
      <c r="P9" s="1">
        <v>0</v>
      </c>
      <c r="R9" s="1">
        <v>337005</v>
      </c>
      <c r="S9" s="1">
        <v>0</v>
      </c>
      <c r="U9" s="1">
        <v>0</v>
      </c>
      <c r="V9" s="9">
        <v>0</v>
      </c>
    </row>
    <row r="10" spans="1:22">
      <c r="A10" s="1" t="s">
        <v>16</v>
      </c>
      <c r="B10" s="6">
        <v>-170787.11644173681</v>
      </c>
      <c r="C10" s="1">
        <v>-586711.80739202444</v>
      </c>
      <c r="D10" s="1">
        <v>0</v>
      </c>
      <c r="E10" s="1">
        <v>0</v>
      </c>
      <c r="F10" s="1">
        <v>0</v>
      </c>
      <c r="G10" s="9">
        <f>SUM(CA_FINANCIAL)</f>
        <v>-757498.92383376125</v>
      </c>
      <c r="I10" s="13" t="s">
        <v>17</v>
      </c>
      <c r="J10" s="16">
        <v>250904755.24000001</v>
      </c>
      <c r="L10" s="6">
        <v>1363000</v>
      </c>
      <c r="M10" s="1">
        <v>725000</v>
      </c>
      <c r="O10" s="1">
        <v>3337000</v>
      </c>
      <c r="P10" s="1">
        <v>1400000</v>
      </c>
      <c r="R10" s="1">
        <v>450000</v>
      </c>
      <c r="S10" s="1">
        <v>150000</v>
      </c>
      <c r="U10" s="1">
        <v>0</v>
      </c>
      <c r="V10" s="9">
        <v>0</v>
      </c>
    </row>
    <row r="11" spans="1:22">
      <c r="A11" s="1" t="s">
        <v>18</v>
      </c>
      <c r="B11" s="6">
        <v>0</v>
      </c>
      <c r="C11" s="1">
        <v>0</v>
      </c>
      <c r="D11" s="1">
        <v>0</v>
      </c>
      <c r="E11" s="1">
        <v>0</v>
      </c>
      <c r="F11" s="1">
        <v>0</v>
      </c>
      <c r="G11" s="9">
        <f>SUM(CO_FINANCIAL)</f>
        <v>0</v>
      </c>
      <c r="I11" s="13"/>
      <c r="J11" s="16"/>
      <c r="L11" s="6">
        <v>10025</v>
      </c>
      <c r="M11" s="1">
        <v>0</v>
      </c>
      <c r="O11" s="1">
        <v>245</v>
      </c>
      <c r="P11" s="1">
        <v>0</v>
      </c>
      <c r="R11" s="1">
        <v>39730</v>
      </c>
      <c r="S11" s="1">
        <v>0</v>
      </c>
      <c r="U11" s="1">
        <v>0</v>
      </c>
      <c r="V11" s="9">
        <v>0</v>
      </c>
    </row>
    <row r="12" spans="1:22">
      <c r="A12" s="1" t="s">
        <v>19</v>
      </c>
      <c r="B12" s="6">
        <v>-11010.44126464791</v>
      </c>
      <c r="C12" s="1">
        <v>-16481.686299095949</v>
      </c>
      <c r="D12" s="1">
        <v>0</v>
      </c>
      <c r="E12" s="1">
        <v>0</v>
      </c>
      <c r="F12" s="1">
        <v>0</v>
      </c>
      <c r="G12" s="9">
        <f>SUM(CT_FINANCIAL)</f>
        <v>-27492.127563743859</v>
      </c>
      <c r="I12" s="13" t="s">
        <v>20</v>
      </c>
      <c r="J12" s="16"/>
      <c r="L12" s="6">
        <v>109000</v>
      </c>
      <c r="M12" s="1">
        <v>0</v>
      </c>
      <c r="O12" s="1">
        <v>80000</v>
      </c>
      <c r="P12" s="1">
        <v>0</v>
      </c>
      <c r="R12" s="1">
        <v>0</v>
      </c>
      <c r="S12" s="1">
        <v>0</v>
      </c>
      <c r="U12" s="1">
        <v>0</v>
      </c>
      <c r="V12" s="9">
        <v>0</v>
      </c>
    </row>
    <row r="13" spans="1:22">
      <c r="A13" s="1" t="s">
        <v>21</v>
      </c>
      <c r="B13" s="6">
        <v>8558.2109729127988</v>
      </c>
      <c r="C13" s="1">
        <v>18653.504811255771</v>
      </c>
      <c r="D13" s="1">
        <v>-662.38919556650239</v>
      </c>
      <c r="E13" s="1">
        <v>0</v>
      </c>
      <c r="F13" s="1">
        <v>0</v>
      </c>
      <c r="G13" s="9">
        <f>SUM(DE_FINANCIAL)</f>
        <v>26549.326588602067</v>
      </c>
      <c r="I13" s="13" t="s">
        <v>22</v>
      </c>
      <c r="J13" s="16">
        <v>0</v>
      </c>
      <c r="L13" s="6">
        <v>64500</v>
      </c>
      <c r="M13" s="1">
        <v>0</v>
      </c>
      <c r="O13" s="1">
        <v>85500</v>
      </c>
      <c r="P13" s="1">
        <v>0</v>
      </c>
      <c r="R13" s="1">
        <v>0</v>
      </c>
      <c r="S13" s="1">
        <v>0</v>
      </c>
      <c r="U13" s="1">
        <v>0</v>
      </c>
      <c r="V13" s="9">
        <v>0</v>
      </c>
    </row>
    <row r="14" spans="1:22">
      <c r="A14" s="1" t="s">
        <v>23</v>
      </c>
      <c r="B14" s="6">
        <v>0</v>
      </c>
      <c r="C14" s="1">
        <v>0</v>
      </c>
      <c r="D14" s="1">
        <v>0</v>
      </c>
      <c r="E14" s="1">
        <v>0</v>
      </c>
      <c r="F14" s="1">
        <v>0</v>
      </c>
      <c r="G14" s="9">
        <f>SUM(DC_FINANCIAL)</f>
        <v>0</v>
      </c>
      <c r="I14" s="13" t="s">
        <v>24</v>
      </c>
      <c r="J14" s="16">
        <v>0</v>
      </c>
      <c r="L14" s="6"/>
      <c r="V14" s="9"/>
    </row>
    <row r="15" spans="1:22">
      <c r="A15" s="1" t="s">
        <v>25</v>
      </c>
      <c r="B15" s="6">
        <v>189393.46284711303</v>
      </c>
      <c r="C15" s="1">
        <v>463643.08744483534</v>
      </c>
      <c r="D15" s="1">
        <v>11990.372730636896</v>
      </c>
      <c r="E15" s="1">
        <v>5811.7582404316236</v>
      </c>
      <c r="F15" s="1">
        <v>0</v>
      </c>
      <c r="G15" s="9">
        <f>SUM(FL_FINANCIAL)</f>
        <v>670838.68126301689</v>
      </c>
      <c r="I15" s="13" t="s">
        <v>26</v>
      </c>
      <c r="J15" s="16">
        <v>1567779.4900000005</v>
      </c>
      <c r="L15" s="6">
        <v>1900000</v>
      </c>
      <c r="M15" s="1">
        <v>0</v>
      </c>
      <c r="O15" s="1">
        <v>3800000</v>
      </c>
      <c r="P15" s="1">
        <v>0</v>
      </c>
      <c r="R15" s="1">
        <v>0</v>
      </c>
      <c r="S15" s="1">
        <v>0</v>
      </c>
      <c r="U15" s="1">
        <v>0</v>
      </c>
      <c r="V15" s="9">
        <v>0</v>
      </c>
    </row>
    <row r="16" spans="1:22">
      <c r="A16" s="1" t="s">
        <v>27</v>
      </c>
      <c r="B16" s="6">
        <v>-29566.922384183388</v>
      </c>
      <c r="C16" s="1">
        <v>-63450.048718245002</v>
      </c>
      <c r="D16" s="1">
        <v>-252.96298853885264</v>
      </c>
      <c r="E16" s="1">
        <v>0</v>
      </c>
      <c r="F16" s="1">
        <v>0</v>
      </c>
      <c r="G16" s="9">
        <f>SUM(GA_FINANCIAL)</f>
        <v>-93269.934090967246</v>
      </c>
      <c r="I16" s="13" t="s">
        <v>28</v>
      </c>
      <c r="J16" s="16">
        <v>0</v>
      </c>
      <c r="L16" s="6">
        <v>3053818</v>
      </c>
      <c r="M16" s="1">
        <v>0</v>
      </c>
      <c r="O16" s="1">
        <v>0</v>
      </c>
      <c r="P16" s="1">
        <v>0</v>
      </c>
      <c r="R16" s="1">
        <v>0</v>
      </c>
      <c r="S16" s="1">
        <v>0</v>
      </c>
      <c r="U16" s="1">
        <v>0</v>
      </c>
      <c r="V16" s="9">
        <v>0</v>
      </c>
    </row>
    <row r="17" spans="1:22">
      <c r="A17" s="1" t="s">
        <v>29</v>
      </c>
      <c r="B17" s="6">
        <v>0</v>
      </c>
      <c r="C17" s="1">
        <v>0</v>
      </c>
      <c r="D17" s="1">
        <v>0</v>
      </c>
      <c r="E17" s="1">
        <v>0</v>
      </c>
      <c r="F17" s="1">
        <v>0</v>
      </c>
      <c r="G17" s="9">
        <f>SUM(HI_FINANCIAL)</f>
        <v>0</v>
      </c>
      <c r="I17" s="13"/>
      <c r="J17" s="16"/>
      <c r="L17" s="6"/>
      <c r="V17" s="9"/>
    </row>
    <row r="18" spans="1:22">
      <c r="A18" s="1" t="s">
        <v>30</v>
      </c>
      <c r="B18" s="6">
        <v>1736.0558910701438</v>
      </c>
      <c r="C18" s="1">
        <v>4443.3815807547071</v>
      </c>
      <c r="D18" s="1">
        <v>0</v>
      </c>
      <c r="E18" s="1">
        <v>0</v>
      </c>
      <c r="F18" s="1">
        <v>0</v>
      </c>
      <c r="G18" s="9">
        <f>SUM(ID_FINANCIAL)</f>
        <v>6179.4374718248509</v>
      </c>
      <c r="I18" s="13" t="s">
        <v>31</v>
      </c>
      <c r="J18" s="16"/>
      <c r="L18" s="6">
        <v>55000</v>
      </c>
      <c r="M18" s="1">
        <v>0</v>
      </c>
      <c r="O18" s="1">
        <v>85000</v>
      </c>
      <c r="P18" s="1">
        <v>0</v>
      </c>
      <c r="R18" s="1">
        <v>0</v>
      </c>
      <c r="S18" s="1">
        <v>0</v>
      </c>
      <c r="U18" s="1">
        <v>0</v>
      </c>
      <c r="V18" s="9">
        <v>0</v>
      </c>
    </row>
    <row r="19" spans="1:22">
      <c r="A19" s="1" t="s">
        <v>32</v>
      </c>
      <c r="B19" s="6">
        <v>-6598.6195370960049</v>
      </c>
      <c r="C19" s="1">
        <v>-36792.617208786774</v>
      </c>
      <c r="D19" s="1">
        <v>-289.58754259457783</v>
      </c>
      <c r="E19" s="1">
        <v>0</v>
      </c>
      <c r="F19" s="1">
        <v>0</v>
      </c>
      <c r="G19" s="9">
        <f>SUM(IL_FINANCIAL)</f>
        <v>-43680.824288477357</v>
      </c>
      <c r="I19" s="13" t="s">
        <v>33</v>
      </c>
      <c r="J19" s="16">
        <v>121248273.15500002</v>
      </c>
      <c r="L19" s="6">
        <v>1100000</v>
      </c>
      <c r="M19" s="1">
        <v>1046000</v>
      </c>
      <c r="O19" s="1">
        <v>4700000</v>
      </c>
      <c r="P19" s="1">
        <v>3988000</v>
      </c>
      <c r="R19" s="1">
        <v>30000</v>
      </c>
      <c r="S19" s="1">
        <v>31000</v>
      </c>
      <c r="U19" s="1">
        <v>30000</v>
      </c>
      <c r="V19" s="9">
        <v>84000</v>
      </c>
    </row>
    <row r="20" spans="1:22">
      <c r="A20" s="1" t="s">
        <v>34</v>
      </c>
      <c r="B20" s="6">
        <v>1660275.1452555358</v>
      </c>
      <c r="C20" s="1">
        <v>6005627.9728038125</v>
      </c>
      <c r="D20" s="1">
        <v>11088.284584327957</v>
      </c>
      <c r="E20" s="1">
        <v>4688188.0256065447</v>
      </c>
      <c r="F20" s="1">
        <v>0</v>
      </c>
      <c r="G20" s="9">
        <f>SUM(IN_FINANCIAL)</f>
        <v>12365179.42825022</v>
      </c>
      <c r="I20" s="13" t="s">
        <v>35</v>
      </c>
      <c r="J20" s="16">
        <v>2469</v>
      </c>
      <c r="L20" s="6">
        <v>16867025</v>
      </c>
      <c r="M20" s="1">
        <v>5000000</v>
      </c>
      <c r="O20" s="1">
        <v>60219197</v>
      </c>
      <c r="P20" s="1">
        <v>0</v>
      </c>
      <c r="R20" s="1">
        <v>17051</v>
      </c>
      <c r="S20" s="1">
        <v>0</v>
      </c>
      <c r="U20" s="1">
        <v>0</v>
      </c>
      <c r="V20" s="9">
        <v>0</v>
      </c>
    </row>
    <row r="21" spans="1:22">
      <c r="A21" s="1" t="s">
        <v>36</v>
      </c>
      <c r="B21" s="6">
        <v>139378.38233708555</v>
      </c>
      <c r="C21" s="1">
        <v>358405.72002563905</v>
      </c>
      <c r="D21" s="1">
        <v>-21573.712194450422</v>
      </c>
      <c r="E21" s="1">
        <v>0</v>
      </c>
      <c r="F21" s="1">
        <v>0</v>
      </c>
      <c r="G21" s="9">
        <f>SUM(IA_FINANCIAL)</f>
        <v>476210.39016827417</v>
      </c>
      <c r="I21" s="13" t="s">
        <v>37</v>
      </c>
      <c r="J21" s="16"/>
      <c r="L21" s="6">
        <v>990079</v>
      </c>
      <c r="M21" s="1">
        <v>0</v>
      </c>
      <c r="O21" s="1">
        <v>1835190</v>
      </c>
      <c r="P21" s="1">
        <v>0</v>
      </c>
      <c r="R21" s="1">
        <v>9720</v>
      </c>
      <c r="S21" s="1">
        <v>0</v>
      </c>
      <c r="U21" s="1">
        <v>0</v>
      </c>
      <c r="V21" s="9">
        <v>0</v>
      </c>
    </row>
    <row r="22" spans="1:22">
      <c r="A22" s="1" t="s">
        <v>38</v>
      </c>
      <c r="B22" s="6">
        <v>75781.837200329406</v>
      </c>
      <c r="C22" s="1">
        <v>125311.03406249522</v>
      </c>
      <c r="D22" s="1">
        <v>-24825.662791541708</v>
      </c>
      <c r="E22" s="1">
        <v>0</v>
      </c>
      <c r="F22" s="1">
        <v>0</v>
      </c>
      <c r="G22" s="9">
        <f>SUM(KS_FINANCIAL)</f>
        <v>176267.20847128291</v>
      </c>
      <c r="I22" s="13" t="s">
        <v>39</v>
      </c>
      <c r="J22" s="16">
        <v>7587731.2300000014</v>
      </c>
      <c r="L22" s="6">
        <v>200000</v>
      </c>
      <c r="M22" s="1">
        <v>0</v>
      </c>
      <c r="O22" s="1">
        <v>2300000</v>
      </c>
      <c r="P22" s="1">
        <v>0</v>
      </c>
      <c r="R22" s="1">
        <v>0</v>
      </c>
      <c r="S22" s="1">
        <v>0</v>
      </c>
      <c r="U22" s="1">
        <v>0</v>
      </c>
      <c r="V22" s="9">
        <v>0</v>
      </c>
    </row>
    <row r="23" spans="1:22">
      <c r="A23" s="1" t="s">
        <v>40</v>
      </c>
      <c r="B23" s="6">
        <v>-6278.5512075998849</v>
      </c>
      <c r="C23" s="1">
        <v>-3661.1380590974804</v>
      </c>
      <c r="D23" s="1">
        <v>-688.60072413175476</v>
      </c>
      <c r="E23" s="1">
        <v>0</v>
      </c>
      <c r="F23" s="1">
        <v>0</v>
      </c>
      <c r="G23" s="9">
        <f>SUM(KY_FINANCIAL)</f>
        <v>-10628.28999082912</v>
      </c>
      <c r="I23" s="13" t="s">
        <v>41</v>
      </c>
      <c r="J23" s="16"/>
      <c r="L23" s="6">
        <v>264400</v>
      </c>
      <c r="M23" s="1">
        <v>175256</v>
      </c>
      <c r="O23" s="1">
        <v>130200</v>
      </c>
      <c r="P23" s="1">
        <v>87747</v>
      </c>
      <c r="R23" s="1">
        <v>25200</v>
      </c>
      <c r="S23" s="1">
        <v>0</v>
      </c>
      <c r="U23" s="1">
        <v>0</v>
      </c>
      <c r="V23" s="9">
        <v>0</v>
      </c>
    </row>
    <row r="24" spans="1:22">
      <c r="A24" s="1" t="s">
        <v>42</v>
      </c>
      <c r="B24" s="6">
        <v>0</v>
      </c>
      <c r="C24" s="1">
        <v>0</v>
      </c>
      <c r="D24" s="1">
        <v>0</v>
      </c>
      <c r="E24" s="1">
        <v>0</v>
      </c>
      <c r="F24" s="1">
        <v>0</v>
      </c>
      <c r="G24" s="9">
        <f>SUM(LA_FINANCIAL)</f>
        <v>0</v>
      </c>
      <c r="I24" s="13" t="s">
        <v>43</v>
      </c>
      <c r="J24" s="16">
        <v>110874057.845</v>
      </c>
      <c r="L24" s="6"/>
      <c r="V24" s="9"/>
    </row>
    <row r="25" spans="1:22">
      <c r="A25" s="1" t="s">
        <v>44</v>
      </c>
      <c r="B25" s="6">
        <v>76308.130681694427</v>
      </c>
      <c r="C25" s="1">
        <v>125843.96966954152</v>
      </c>
      <c r="D25" s="1">
        <v>20.264159405624852</v>
      </c>
      <c r="E25" s="1">
        <v>0</v>
      </c>
      <c r="F25" s="1">
        <v>0</v>
      </c>
      <c r="G25" s="9">
        <f>SUM(ME_FINANCIAL)</f>
        <v>202172.36451064158</v>
      </c>
      <c r="I25" s="13"/>
      <c r="J25" s="16"/>
      <c r="L25" s="6">
        <v>650000</v>
      </c>
      <c r="M25" s="1">
        <v>0</v>
      </c>
      <c r="O25" s="1">
        <v>375000</v>
      </c>
      <c r="P25" s="1">
        <v>0</v>
      </c>
      <c r="R25" s="1">
        <v>0</v>
      </c>
      <c r="S25" s="1">
        <v>0</v>
      </c>
      <c r="U25" s="1">
        <v>0</v>
      </c>
      <c r="V25" s="9">
        <v>0</v>
      </c>
    </row>
    <row r="26" spans="1:22">
      <c r="A26" s="1" t="s">
        <v>45</v>
      </c>
      <c r="B26" s="6">
        <v>22122.032850749674</v>
      </c>
      <c r="C26" s="1">
        <v>54696.6239843269</v>
      </c>
      <c r="D26" s="1">
        <v>-34407.295260335959</v>
      </c>
      <c r="E26" s="1">
        <v>0</v>
      </c>
      <c r="F26" s="1">
        <v>0</v>
      </c>
      <c r="G26" s="9">
        <f>SUM(MD_FINANCIAL)</f>
        <v>42411.361574740615</v>
      </c>
      <c r="I26" s="13" t="s">
        <v>46</v>
      </c>
      <c r="J26" s="16">
        <f>SUM(ADD_FINANCIAL)-SUM(LESS_FINANCIAL)</f>
        <v>12760003.5</v>
      </c>
      <c r="L26" s="6">
        <v>1350000</v>
      </c>
      <c r="M26" s="1">
        <v>0</v>
      </c>
      <c r="O26" s="1">
        <v>0</v>
      </c>
      <c r="P26" s="1">
        <v>0</v>
      </c>
      <c r="R26" s="1">
        <v>0</v>
      </c>
      <c r="S26" s="1">
        <v>0</v>
      </c>
      <c r="U26" s="1">
        <v>0</v>
      </c>
      <c r="V26" s="9">
        <v>0</v>
      </c>
    </row>
    <row r="27" spans="1:22">
      <c r="A27" s="1" t="s">
        <v>47</v>
      </c>
      <c r="B27" s="6">
        <v>-17379.578934084187</v>
      </c>
      <c r="C27" s="1">
        <v>-15188.805018426065</v>
      </c>
      <c r="D27" s="1">
        <v>-1091.3382145511077</v>
      </c>
      <c r="E27" s="1">
        <v>0</v>
      </c>
      <c r="F27" s="1">
        <v>0</v>
      </c>
      <c r="G27" s="9">
        <f>SUM(MA_FINANCIAL)</f>
        <v>-33659.722167061358</v>
      </c>
      <c r="I27" s="13" t="s">
        <v>48</v>
      </c>
      <c r="J27" s="16">
        <f>SUM(ALL_BLOCKS)</f>
        <v>12760003.499999996</v>
      </c>
      <c r="L27" s="6">
        <v>150000</v>
      </c>
      <c r="M27" s="1">
        <v>0</v>
      </c>
      <c r="O27" s="1">
        <v>0</v>
      </c>
      <c r="P27" s="1">
        <v>0</v>
      </c>
      <c r="R27" s="1">
        <v>0</v>
      </c>
      <c r="S27" s="1">
        <v>0</v>
      </c>
      <c r="U27" s="1">
        <v>0</v>
      </c>
      <c r="V27" s="9">
        <v>0</v>
      </c>
    </row>
    <row r="28" spans="1:22">
      <c r="A28" s="1" t="s">
        <v>49</v>
      </c>
      <c r="B28" s="6">
        <v>439071.53926010849</v>
      </c>
      <c r="C28" s="1">
        <v>797723.41487585753</v>
      </c>
      <c r="D28" s="1">
        <v>1346.8103660120278</v>
      </c>
      <c r="E28" s="1">
        <v>0</v>
      </c>
      <c r="F28" s="1">
        <v>0</v>
      </c>
      <c r="G28" s="9">
        <f>SUM(MI_FINANCIAL)</f>
        <v>1238141.7645019779</v>
      </c>
      <c r="I28" s="14"/>
      <c r="J28" s="17"/>
      <c r="L28" s="6">
        <v>4690700</v>
      </c>
      <c r="M28" s="1">
        <v>2950000</v>
      </c>
      <c r="O28" s="1">
        <v>4559300</v>
      </c>
      <c r="P28" s="1">
        <v>708000</v>
      </c>
      <c r="R28" s="1">
        <v>0</v>
      </c>
      <c r="S28" s="1">
        <v>0</v>
      </c>
      <c r="U28" s="1">
        <v>0</v>
      </c>
      <c r="V28" s="9">
        <v>0</v>
      </c>
    </row>
    <row r="29" spans="1:22">
      <c r="A29" s="1" t="s">
        <v>50</v>
      </c>
      <c r="B29" s="6">
        <v>378109.08234880352</v>
      </c>
      <c r="C29" s="1">
        <v>1065773.0305906613</v>
      </c>
      <c r="D29" s="1">
        <v>5862.1024698830006</v>
      </c>
      <c r="E29" s="1">
        <v>0</v>
      </c>
      <c r="F29" s="1">
        <v>0</v>
      </c>
      <c r="G29" s="9">
        <f>SUM(MN_FINANCIAL)</f>
        <v>1449744.2154093478</v>
      </c>
      <c r="L29" s="6">
        <v>3413000</v>
      </c>
      <c r="M29" s="1">
        <v>1670481</v>
      </c>
      <c r="O29" s="1">
        <v>5537000</v>
      </c>
      <c r="P29" s="1">
        <v>2625507</v>
      </c>
      <c r="R29" s="1">
        <v>26500</v>
      </c>
      <c r="S29" s="1">
        <v>0</v>
      </c>
      <c r="U29" s="1">
        <v>0</v>
      </c>
      <c r="V29" s="9">
        <v>0</v>
      </c>
    </row>
    <row r="30" spans="1:22">
      <c r="A30" s="1" t="s">
        <v>51</v>
      </c>
      <c r="B30" s="6">
        <v>4627.8937689592331</v>
      </c>
      <c r="C30" s="1">
        <v>15697.355976600749</v>
      </c>
      <c r="D30" s="1">
        <v>-33355.364115062148</v>
      </c>
      <c r="E30" s="1">
        <v>0</v>
      </c>
      <c r="F30" s="1">
        <v>0</v>
      </c>
      <c r="G30" s="9">
        <f>SUM(MS_FINANCIAL)</f>
        <v>-13030.114369502167</v>
      </c>
      <c r="L30" s="6">
        <v>25000</v>
      </c>
      <c r="M30" s="1">
        <v>0</v>
      </c>
      <c r="O30" s="1">
        <v>50000</v>
      </c>
      <c r="P30" s="1">
        <v>0</v>
      </c>
      <c r="R30" s="1">
        <v>161306</v>
      </c>
      <c r="S30" s="1">
        <v>0</v>
      </c>
      <c r="U30" s="1">
        <v>0</v>
      </c>
      <c r="V30" s="9">
        <v>0</v>
      </c>
    </row>
    <row r="31" spans="1:22">
      <c r="A31" s="1" t="s">
        <v>52</v>
      </c>
      <c r="B31" s="6">
        <v>8218.3973918817646</v>
      </c>
      <c r="C31" s="1">
        <v>23863.307335293182</v>
      </c>
      <c r="D31" s="1">
        <v>-56088.949454425368</v>
      </c>
      <c r="E31" s="1">
        <v>0</v>
      </c>
      <c r="F31" s="1">
        <v>0</v>
      </c>
      <c r="G31" s="9">
        <f>SUM(MO_FINANCIAL)</f>
        <v>-24007.244727250421</v>
      </c>
      <c r="L31" s="6">
        <v>0</v>
      </c>
      <c r="M31" s="1">
        <v>0</v>
      </c>
      <c r="O31" s="1">
        <v>300000</v>
      </c>
      <c r="P31" s="1">
        <v>0</v>
      </c>
      <c r="R31" s="1">
        <v>0</v>
      </c>
      <c r="S31" s="1">
        <v>0</v>
      </c>
      <c r="U31" s="1">
        <v>0</v>
      </c>
      <c r="V31" s="9">
        <v>0</v>
      </c>
    </row>
    <row r="32" spans="1:22">
      <c r="A32" s="1" t="s">
        <v>53</v>
      </c>
      <c r="B32" s="6">
        <v>-9847.3424059351819</v>
      </c>
      <c r="C32" s="1">
        <v>-265.15989239015255</v>
      </c>
      <c r="D32" s="1">
        <v>-195.33458605850436</v>
      </c>
      <c r="E32" s="1">
        <v>0</v>
      </c>
      <c r="F32" s="1">
        <v>0</v>
      </c>
      <c r="G32" s="9">
        <f>SUM(MT_FINANCIAL)</f>
        <v>-10307.83688438384</v>
      </c>
      <c r="L32" s="6">
        <v>60000</v>
      </c>
      <c r="M32" s="1">
        <v>0</v>
      </c>
      <c r="O32" s="1">
        <v>0</v>
      </c>
      <c r="P32" s="1">
        <v>0</v>
      </c>
      <c r="R32" s="1">
        <v>0</v>
      </c>
      <c r="S32" s="1">
        <v>0</v>
      </c>
      <c r="U32" s="1">
        <v>0</v>
      </c>
      <c r="V32" s="9">
        <v>0</v>
      </c>
    </row>
    <row r="33" spans="1:22">
      <c r="A33" s="1" t="s">
        <v>54</v>
      </c>
      <c r="B33" s="6">
        <v>-308271.60349836387</v>
      </c>
      <c r="C33" s="1">
        <v>378798.288370625</v>
      </c>
      <c r="D33" s="1">
        <v>-3388028.2879662104</v>
      </c>
      <c r="E33" s="1">
        <v>0</v>
      </c>
      <c r="F33" s="1">
        <v>0</v>
      </c>
      <c r="G33" s="9">
        <f>SUM(NE_FINANCIAL)</f>
        <v>-3317501.6030939491</v>
      </c>
      <c r="L33" s="6">
        <v>492432</v>
      </c>
      <c r="M33" s="1">
        <v>0</v>
      </c>
      <c r="O33" s="1">
        <v>0</v>
      </c>
      <c r="P33" s="1">
        <v>11100</v>
      </c>
      <c r="R33" s="1">
        <v>50000</v>
      </c>
      <c r="S33" s="1">
        <v>0</v>
      </c>
      <c r="U33" s="1">
        <v>0</v>
      </c>
      <c r="V33" s="9">
        <v>0</v>
      </c>
    </row>
    <row r="34" spans="1:22">
      <c r="A34" s="1" t="s">
        <v>55</v>
      </c>
      <c r="B34" s="6">
        <v>-54410.052308716608</v>
      </c>
      <c r="C34" s="1">
        <v>-57631.253597382085</v>
      </c>
      <c r="D34" s="1">
        <v>-8549.6865397068632</v>
      </c>
      <c r="E34" s="1">
        <v>0</v>
      </c>
      <c r="F34" s="1">
        <v>0</v>
      </c>
      <c r="G34" s="9">
        <f>SUM(NV_FINANCIAL)</f>
        <v>-120590.99244580555</v>
      </c>
      <c r="L34" s="6">
        <v>51500</v>
      </c>
      <c r="M34" s="1">
        <v>0</v>
      </c>
      <c r="O34" s="1">
        <v>87200</v>
      </c>
      <c r="P34" s="1">
        <v>0</v>
      </c>
      <c r="R34" s="1">
        <v>0</v>
      </c>
      <c r="S34" s="1">
        <v>0</v>
      </c>
      <c r="U34" s="1">
        <v>0</v>
      </c>
      <c r="V34" s="9">
        <v>0</v>
      </c>
    </row>
    <row r="35" spans="1:22">
      <c r="A35" s="1" t="s">
        <v>56</v>
      </c>
      <c r="B35" s="6">
        <v>-5468.5119497962696</v>
      </c>
      <c r="C35" s="1">
        <v>-8539.8260477564836</v>
      </c>
      <c r="D35" s="1">
        <v>-49.696259627225402</v>
      </c>
      <c r="E35" s="1">
        <v>0</v>
      </c>
      <c r="F35" s="1">
        <v>0</v>
      </c>
      <c r="G35" s="9">
        <f>SUM(NH_FINANCIAL)</f>
        <v>-14058.034257179979</v>
      </c>
      <c r="L35" s="6">
        <v>50000</v>
      </c>
      <c r="M35" s="1">
        <v>0</v>
      </c>
      <c r="O35" s="1">
        <v>50000</v>
      </c>
      <c r="P35" s="1">
        <v>0</v>
      </c>
      <c r="R35" s="1">
        <v>0</v>
      </c>
      <c r="S35" s="1">
        <v>0</v>
      </c>
      <c r="U35" s="1">
        <v>0</v>
      </c>
      <c r="V35" s="9">
        <v>0</v>
      </c>
    </row>
    <row r="36" spans="1:22">
      <c r="A36" s="1" t="s">
        <v>57</v>
      </c>
      <c r="B36" s="6">
        <v>0</v>
      </c>
      <c r="C36" s="1">
        <v>0</v>
      </c>
      <c r="D36" s="1">
        <v>0</v>
      </c>
      <c r="E36" s="1">
        <v>0</v>
      </c>
      <c r="F36" s="1">
        <v>0</v>
      </c>
      <c r="G36" s="9">
        <f>SUM(NJ_FINANCIAL)</f>
        <v>0</v>
      </c>
      <c r="L36" s="6"/>
      <c r="V36" s="9"/>
    </row>
    <row r="37" spans="1:22">
      <c r="A37" s="1" t="s">
        <v>58</v>
      </c>
      <c r="B37" s="6">
        <v>-30187.264812835281</v>
      </c>
      <c r="C37" s="1">
        <v>-16590.99579736578</v>
      </c>
      <c r="D37" s="1">
        <v>-28836.544691196814</v>
      </c>
      <c r="E37" s="1">
        <v>0</v>
      </c>
      <c r="F37" s="1">
        <v>0</v>
      </c>
      <c r="G37" s="9">
        <f>SUM(NM_FINANCIAL)</f>
        <v>-75614.805301397879</v>
      </c>
      <c r="L37" s="6"/>
      <c r="V37" s="9"/>
    </row>
    <row r="38" spans="1:22">
      <c r="A38" s="1" t="s">
        <v>59</v>
      </c>
      <c r="B38" s="6">
        <v>0</v>
      </c>
      <c r="C38" s="1">
        <v>0</v>
      </c>
      <c r="D38" s="1">
        <v>0</v>
      </c>
      <c r="E38" s="1">
        <v>0</v>
      </c>
      <c r="F38" s="1">
        <v>0</v>
      </c>
      <c r="G38" s="9">
        <f>SUM(NY_FINANCIAL)</f>
        <v>0</v>
      </c>
      <c r="L38" s="6"/>
      <c r="V38" s="9"/>
    </row>
    <row r="39" spans="1:22">
      <c r="A39" s="1" t="s">
        <v>60</v>
      </c>
      <c r="B39" s="6">
        <v>-31355.737315974082</v>
      </c>
      <c r="C39" s="1">
        <v>-39046.35892348655</v>
      </c>
      <c r="D39" s="1">
        <v>-1096.4525577662159</v>
      </c>
      <c r="E39" s="1">
        <v>0</v>
      </c>
      <c r="F39" s="1">
        <v>0</v>
      </c>
      <c r="G39" s="9">
        <f>SUM(NC_FINANCIAL)</f>
        <v>-71498.548797226846</v>
      </c>
      <c r="L39" s="6">
        <v>350000</v>
      </c>
      <c r="M39" s="1">
        <v>289750</v>
      </c>
      <c r="O39" s="1">
        <v>250000</v>
      </c>
      <c r="P39" s="1">
        <v>235250</v>
      </c>
      <c r="R39" s="1">
        <v>0</v>
      </c>
      <c r="S39" s="1">
        <v>0</v>
      </c>
      <c r="U39" s="1">
        <v>0</v>
      </c>
      <c r="V39" s="9">
        <v>0</v>
      </c>
    </row>
    <row r="40" spans="1:22">
      <c r="A40" s="1" t="s">
        <v>61</v>
      </c>
      <c r="B40" s="6">
        <v>-65444.288407243512</v>
      </c>
      <c r="C40" s="1">
        <v>-44442.819796349082</v>
      </c>
      <c r="D40" s="1">
        <v>-1454.3483159333646</v>
      </c>
      <c r="E40" s="1">
        <v>0</v>
      </c>
      <c r="F40" s="1">
        <v>0</v>
      </c>
      <c r="G40" s="9">
        <f>SUM(ND_FINANCIAL)</f>
        <v>-111341.45651952596</v>
      </c>
      <c r="L40" s="6">
        <v>96400</v>
      </c>
      <c r="M40" s="1">
        <v>0</v>
      </c>
      <c r="O40" s="1">
        <v>147500</v>
      </c>
      <c r="P40" s="1">
        <v>0</v>
      </c>
      <c r="R40" s="1">
        <v>0</v>
      </c>
      <c r="S40" s="1">
        <v>0</v>
      </c>
      <c r="U40" s="1">
        <v>66890</v>
      </c>
      <c r="V40" s="9">
        <v>0</v>
      </c>
    </row>
    <row r="41" spans="1:22">
      <c r="A41" s="1" t="s">
        <v>62</v>
      </c>
      <c r="B41" s="6">
        <v>173910.54883989575</v>
      </c>
      <c r="C41" s="1">
        <v>497854.41362456512</v>
      </c>
      <c r="D41" s="1">
        <v>3483.1675583067772</v>
      </c>
      <c r="E41" s="1">
        <v>11438.903533431439</v>
      </c>
      <c r="F41" s="1">
        <v>0</v>
      </c>
      <c r="G41" s="9">
        <f>SUM(OH_FINANCIAL)</f>
        <v>686687.03355619917</v>
      </c>
      <c r="L41" s="6">
        <v>4860000</v>
      </c>
      <c r="M41" s="1">
        <v>0</v>
      </c>
      <c r="O41" s="1">
        <v>8640000</v>
      </c>
      <c r="P41" s="1">
        <v>0</v>
      </c>
      <c r="R41" s="1">
        <v>0</v>
      </c>
      <c r="S41" s="1">
        <v>0</v>
      </c>
      <c r="U41" s="1">
        <v>0</v>
      </c>
      <c r="V41" s="9">
        <v>0</v>
      </c>
    </row>
    <row r="42" spans="1:22">
      <c r="A42" s="1" t="s">
        <v>63</v>
      </c>
      <c r="B42" s="6">
        <v>-82980.673349031538</v>
      </c>
      <c r="C42" s="1">
        <v>-124486.00390926097</v>
      </c>
      <c r="D42" s="1">
        <v>-407658.49542452494</v>
      </c>
      <c r="E42" s="1">
        <v>0</v>
      </c>
      <c r="F42" s="1">
        <v>0</v>
      </c>
      <c r="G42" s="9">
        <f>SUM(OK_FINANCIAL)</f>
        <v>-615125.17268281744</v>
      </c>
      <c r="L42" s="6">
        <v>666000</v>
      </c>
      <c r="M42" s="1">
        <v>432900</v>
      </c>
      <c r="O42" s="1">
        <v>721000</v>
      </c>
      <c r="P42" s="1">
        <v>468000</v>
      </c>
      <c r="R42" s="1">
        <v>414000</v>
      </c>
      <c r="S42" s="1">
        <v>269100</v>
      </c>
      <c r="U42" s="1">
        <v>0</v>
      </c>
      <c r="V42" s="9">
        <v>0</v>
      </c>
    </row>
    <row r="43" spans="1:22">
      <c r="A43" s="1" t="s">
        <v>64</v>
      </c>
      <c r="B43" s="6">
        <v>-5191.8490080028278</v>
      </c>
      <c r="C43" s="1">
        <v>-19453.446786187764</v>
      </c>
      <c r="D43" s="1">
        <v>-20.068906851282861</v>
      </c>
      <c r="E43" s="1">
        <v>0</v>
      </c>
      <c r="F43" s="1">
        <v>0</v>
      </c>
      <c r="G43" s="9">
        <f>SUM(OR_FINANCIAL)</f>
        <v>-24665.364701041875</v>
      </c>
      <c r="L43" s="6">
        <v>166015</v>
      </c>
      <c r="M43" s="1">
        <v>0</v>
      </c>
      <c r="O43" s="1">
        <v>738136</v>
      </c>
      <c r="P43" s="1">
        <v>0</v>
      </c>
      <c r="R43" s="1">
        <v>0</v>
      </c>
      <c r="S43" s="1">
        <v>0</v>
      </c>
      <c r="U43" s="1">
        <v>0</v>
      </c>
      <c r="V43" s="9">
        <v>0</v>
      </c>
    </row>
    <row r="44" spans="1:22">
      <c r="A44" s="1" t="s">
        <v>65</v>
      </c>
      <c r="B44" s="6">
        <v>299302.13858891861</v>
      </c>
      <c r="C44" s="1">
        <v>1031941.9077955522</v>
      </c>
      <c r="D44" s="1">
        <v>6745.9693798064691</v>
      </c>
      <c r="E44" s="1">
        <v>0</v>
      </c>
      <c r="F44" s="1">
        <v>0</v>
      </c>
      <c r="G44" s="9">
        <f>SUM(PA_FINANCIAL)</f>
        <v>1337990.0157642772</v>
      </c>
      <c r="L44" s="6">
        <v>2700000</v>
      </c>
      <c r="M44" s="1">
        <v>0</v>
      </c>
      <c r="O44" s="1">
        <v>8300000</v>
      </c>
      <c r="P44" s="1">
        <v>0</v>
      </c>
      <c r="R44" s="1">
        <v>0</v>
      </c>
      <c r="S44" s="1">
        <v>0</v>
      </c>
      <c r="U44" s="1">
        <v>0</v>
      </c>
      <c r="V44" s="9">
        <v>0</v>
      </c>
    </row>
    <row r="45" spans="1:22">
      <c r="A45" s="1" t="s">
        <v>66</v>
      </c>
      <c r="B45" s="6">
        <v>0</v>
      </c>
      <c r="C45" s="1">
        <v>0</v>
      </c>
      <c r="D45" s="1">
        <v>0</v>
      </c>
      <c r="E45" s="1">
        <v>0</v>
      </c>
      <c r="F45" s="1">
        <v>0</v>
      </c>
      <c r="G45" s="9">
        <f>SUM(PR_FINANCIAL)</f>
        <v>0</v>
      </c>
      <c r="L45" s="6"/>
      <c r="V45" s="9"/>
    </row>
    <row r="46" spans="1:22">
      <c r="A46" s="1" t="s">
        <v>67</v>
      </c>
      <c r="B46" s="6">
        <v>0</v>
      </c>
      <c r="C46" s="1">
        <v>0</v>
      </c>
      <c r="D46" s="1">
        <v>0</v>
      </c>
      <c r="E46" s="1">
        <v>0</v>
      </c>
      <c r="F46" s="1">
        <v>0</v>
      </c>
      <c r="G46" s="9">
        <f>SUM(RI_FINANCIAL)</f>
        <v>0</v>
      </c>
      <c r="L46" s="6"/>
      <c r="V46" s="9"/>
    </row>
    <row r="47" spans="1:22">
      <c r="A47" s="1" t="s">
        <v>68</v>
      </c>
      <c r="B47" s="6">
        <v>58123.038212561223</v>
      </c>
      <c r="C47" s="1">
        <v>20048.862237735244</v>
      </c>
      <c r="D47" s="1">
        <v>-503.67295264158304</v>
      </c>
      <c r="E47" s="1">
        <v>0</v>
      </c>
      <c r="F47" s="1">
        <v>0</v>
      </c>
      <c r="G47" s="9">
        <f>SUM(SC_FINANCIAL)</f>
        <v>77668.22749765488</v>
      </c>
      <c r="L47" s="6">
        <v>519500</v>
      </c>
      <c r="M47" s="1">
        <v>0</v>
      </c>
      <c r="O47" s="1">
        <v>80500</v>
      </c>
      <c r="P47" s="1">
        <v>0</v>
      </c>
      <c r="R47" s="1">
        <v>0</v>
      </c>
      <c r="S47" s="1">
        <v>0</v>
      </c>
      <c r="U47" s="1">
        <v>0</v>
      </c>
      <c r="V47" s="9">
        <v>0</v>
      </c>
    </row>
    <row r="48" spans="1:22">
      <c r="A48" s="1" t="s">
        <v>69</v>
      </c>
      <c r="B48" s="6">
        <v>58216.103826197563</v>
      </c>
      <c r="C48" s="1">
        <v>95627.756164336228</v>
      </c>
      <c r="D48" s="1">
        <v>2210.395021056589</v>
      </c>
      <c r="E48" s="1">
        <v>0</v>
      </c>
      <c r="F48" s="1">
        <v>0</v>
      </c>
      <c r="G48" s="9">
        <f>SUM(SD_FINANCIAL)</f>
        <v>156054.25501159037</v>
      </c>
      <c r="L48" s="6">
        <v>342154</v>
      </c>
      <c r="M48" s="1">
        <v>0</v>
      </c>
      <c r="O48" s="1">
        <v>692351</v>
      </c>
      <c r="P48" s="1">
        <v>528151</v>
      </c>
      <c r="R48" s="1">
        <v>57868</v>
      </c>
      <c r="S48" s="1">
        <v>0</v>
      </c>
      <c r="U48" s="1">
        <v>0</v>
      </c>
      <c r="V48" s="9">
        <v>0</v>
      </c>
    </row>
    <row r="49" spans="1:22">
      <c r="A49" s="1" t="s">
        <v>70</v>
      </c>
      <c r="B49" s="6">
        <v>25729.668151394144</v>
      </c>
      <c r="C49" s="1">
        <v>46569.846868887311</v>
      </c>
      <c r="D49" s="1">
        <v>-7802.1777959438841</v>
      </c>
      <c r="E49" s="1">
        <v>0</v>
      </c>
      <c r="F49" s="1">
        <v>0</v>
      </c>
      <c r="G49" s="9">
        <f>SUM(TN_FINANCIAL)</f>
        <v>64497.337224337571</v>
      </c>
      <c r="L49" s="6">
        <v>375000</v>
      </c>
      <c r="M49" s="1">
        <v>0</v>
      </c>
      <c r="O49" s="1">
        <v>600000</v>
      </c>
      <c r="P49" s="1">
        <v>0</v>
      </c>
      <c r="R49" s="1">
        <v>0</v>
      </c>
      <c r="S49" s="1">
        <v>0</v>
      </c>
      <c r="U49" s="1">
        <v>0</v>
      </c>
      <c r="V49" s="9">
        <v>0</v>
      </c>
    </row>
    <row r="50" spans="1:22">
      <c r="A50" s="1" t="s">
        <v>71</v>
      </c>
      <c r="B50" s="6">
        <v>103300.36328828876</v>
      </c>
      <c r="C50" s="1">
        <v>72811.623648613575</v>
      </c>
      <c r="D50" s="1">
        <v>-2239209.2565708389</v>
      </c>
      <c r="E50" s="1">
        <v>12549.438508991581</v>
      </c>
      <c r="F50" s="1">
        <v>0</v>
      </c>
      <c r="G50" s="9">
        <f>SUM(TX_FINANCIAL)</f>
        <v>-2050547.8311249448</v>
      </c>
      <c r="L50" s="6">
        <v>2050596</v>
      </c>
      <c r="M50" s="1">
        <v>1352869.3488</v>
      </c>
      <c r="O50" s="1">
        <v>53829</v>
      </c>
      <c r="P50" s="1">
        <v>35582.820800000001</v>
      </c>
      <c r="R50" s="1">
        <v>2245379</v>
      </c>
      <c r="S50" s="1">
        <v>1481437.8303999999</v>
      </c>
      <c r="U50" s="1">
        <v>0</v>
      </c>
      <c r="V50" s="9">
        <v>0</v>
      </c>
    </row>
    <row r="51" spans="1:22">
      <c r="A51" s="1" t="s">
        <v>72</v>
      </c>
      <c r="B51" s="6">
        <v>-26758.909047053814</v>
      </c>
      <c r="C51" s="1">
        <v>-3910.7300734674836</v>
      </c>
      <c r="D51" s="1">
        <v>0</v>
      </c>
      <c r="E51" s="1">
        <v>0</v>
      </c>
      <c r="F51" s="1">
        <v>0</v>
      </c>
      <c r="G51" s="9">
        <f>SUM(UT_FINANCIAL)</f>
        <v>-30669.639120521297</v>
      </c>
      <c r="L51" s="6">
        <v>23475</v>
      </c>
      <c r="M51" s="1">
        <v>0</v>
      </c>
      <c r="O51" s="1">
        <v>0</v>
      </c>
      <c r="P51" s="1">
        <v>0</v>
      </c>
      <c r="R51" s="1">
        <v>0</v>
      </c>
      <c r="S51" s="1">
        <v>0</v>
      </c>
      <c r="U51" s="1">
        <v>0</v>
      </c>
      <c r="V51" s="9">
        <v>0</v>
      </c>
    </row>
    <row r="52" spans="1:22">
      <c r="A52" s="1" t="s">
        <v>73</v>
      </c>
      <c r="B52" s="6">
        <v>0</v>
      </c>
      <c r="C52" s="1">
        <v>0</v>
      </c>
      <c r="D52" s="1">
        <v>0</v>
      </c>
      <c r="E52" s="1">
        <v>0</v>
      </c>
      <c r="F52" s="1">
        <v>0</v>
      </c>
      <c r="G52" s="9">
        <f>SUM(VT_FINANCIAL)</f>
        <v>0</v>
      </c>
      <c r="L52" s="6"/>
      <c r="V52" s="9"/>
    </row>
    <row r="53" spans="1:22">
      <c r="A53" s="1" t="s">
        <v>74</v>
      </c>
      <c r="B53" s="6">
        <v>172744.09225102933</v>
      </c>
      <c r="C53" s="1">
        <v>806538.35561187845</v>
      </c>
      <c r="D53" s="1">
        <v>171.96100499915974</v>
      </c>
      <c r="E53" s="1">
        <v>0</v>
      </c>
      <c r="F53" s="1">
        <v>0</v>
      </c>
      <c r="G53" s="9">
        <f>SUM(VA_FINANCIAL)</f>
        <v>979454.4088679069</v>
      </c>
      <c r="L53" s="6">
        <v>2600000</v>
      </c>
      <c r="M53" s="1">
        <v>1639270</v>
      </c>
      <c r="O53" s="1">
        <v>8600000</v>
      </c>
      <c r="P53" s="1">
        <v>12272233</v>
      </c>
      <c r="R53" s="1">
        <v>25500</v>
      </c>
      <c r="S53" s="1">
        <v>0</v>
      </c>
      <c r="U53" s="1">
        <v>0</v>
      </c>
      <c r="V53" s="9">
        <v>0</v>
      </c>
    </row>
    <row r="54" spans="1:22">
      <c r="A54" s="1" t="s">
        <v>75</v>
      </c>
      <c r="B54" s="6">
        <v>29734.264872057538</v>
      </c>
      <c r="C54" s="1">
        <v>151884.11028400576</v>
      </c>
      <c r="D54" s="1">
        <v>261.9219238312578</v>
      </c>
      <c r="E54" s="1">
        <v>701.13090579386699</v>
      </c>
      <c r="F54" s="1">
        <v>0</v>
      </c>
      <c r="G54" s="9">
        <f>SUM(WA_FINANCIAL)</f>
        <v>182581.42798568841</v>
      </c>
      <c r="L54" s="6">
        <v>250000</v>
      </c>
      <c r="M54" s="1">
        <v>298366</v>
      </c>
      <c r="O54" s="1">
        <v>700000</v>
      </c>
      <c r="P54" s="1">
        <v>396051</v>
      </c>
      <c r="R54" s="1">
        <v>0</v>
      </c>
      <c r="S54" s="1">
        <v>0</v>
      </c>
      <c r="U54" s="1">
        <v>0</v>
      </c>
      <c r="V54" s="9">
        <v>0</v>
      </c>
    </row>
    <row r="55" spans="1:22">
      <c r="A55" s="1" t="s">
        <v>76</v>
      </c>
      <c r="B55" s="6">
        <v>7864.3156726769666</v>
      </c>
      <c r="C55" s="1">
        <v>17698.381353603181</v>
      </c>
      <c r="D55" s="1">
        <v>0</v>
      </c>
      <c r="E55" s="1">
        <v>0</v>
      </c>
      <c r="F55" s="1">
        <v>0</v>
      </c>
      <c r="G55" s="9">
        <f>SUM(WV_FINANCIAL)</f>
        <v>25562.697026280148</v>
      </c>
      <c r="L55" s="6">
        <v>332438</v>
      </c>
      <c r="M55" s="1">
        <v>235821</v>
      </c>
      <c r="O55" s="1">
        <v>4165</v>
      </c>
      <c r="P55" s="1">
        <v>4869</v>
      </c>
      <c r="R55" s="1">
        <v>79887</v>
      </c>
      <c r="S55" s="1">
        <v>100588</v>
      </c>
      <c r="U55" s="1">
        <v>0</v>
      </c>
      <c r="V55" s="9">
        <v>0</v>
      </c>
    </row>
    <row r="56" spans="1:22">
      <c r="A56" s="1" t="s">
        <v>77</v>
      </c>
      <c r="B56" s="6">
        <v>4595.5933621714357</v>
      </c>
      <c r="C56" s="1">
        <v>4679.1649107092235</v>
      </c>
      <c r="D56" s="1">
        <v>892.0176251292105</v>
      </c>
      <c r="E56" s="1">
        <v>0</v>
      </c>
      <c r="F56" s="1">
        <v>0</v>
      </c>
      <c r="G56" s="9">
        <f>SUM(WI_FINANCIAL)</f>
        <v>10166.77589800987</v>
      </c>
      <c r="L56" s="6">
        <v>180000</v>
      </c>
      <c r="M56" s="1">
        <v>0</v>
      </c>
      <c r="O56" s="1">
        <v>80000</v>
      </c>
      <c r="P56" s="1">
        <v>0</v>
      </c>
      <c r="R56" s="1">
        <v>0</v>
      </c>
      <c r="S56" s="1">
        <v>0</v>
      </c>
      <c r="U56" s="1">
        <v>0</v>
      </c>
      <c r="V56" s="9">
        <v>0</v>
      </c>
    </row>
    <row r="57" spans="1:22">
      <c r="A57" s="1" t="s">
        <v>78</v>
      </c>
      <c r="B57" s="6">
        <v>9312.8478393583973</v>
      </c>
      <c r="C57" s="1">
        <v>16858.152160641832</v>
      </c>
      <c r="D57" s="1">
        <v>0</v>
      </c>
      <c r="E57" s="1">
        <v>0</v>
      </c>
      <c r="F57" s="1">
        <v>0</v>
      </c>
      <c r="G57" s="9">
        <f>SUM(WY_FINANCIAL)</f>
        <v>26171.000000000229</v>
      </c>
      <c r="L57" s="6">
        <v>0</v>
      </c>
      <c r="M57" s="1">
        <v>389762</v>
      </c>
      <c r="O57" s="1">
        <v>0</v>
      </c>
      <c r="P57" s="1">
        <v>389761</v>
      </c>
      <c r="R57" s="1">
        <v>0</v>
      </c>
      <c r="S57" s="1">
        <v>0</v>
      </c>
      <c r="U57" s="1">
        <v>0</v>
      </c>
      <c r="V57" s="9">
        <v>0</v>
      </c>
    </row>
    <row r="58" spans="1:22">
      <c r="A58" s="1" t="s">
        <v>79</v>
      </c>
      <c r="B58" s="6">
        <v>0</v>
      </c>
      <c r="C58" s="1">
        <v>0</v>
      </c>
      <c r="D58" s="1">
        <v>0</v>
      </c>
      <c r="E58" s="1">
        <v>0</v>
      </c>
      <c r="F58" s="1">
        <v>0</v>
      </c>
      <c r="G58" s="9">
        <f>SUM(OT_FINANCIAL)</f>
        <v>0</v>
      </c>
      <c r="L58" s="6"/>
      <c r="V58" s="9"/>
    </row>
    <row r="59" spans="1:22">
      <c r="B59" s="6"/>
      <c r="G59" s="9"/>
      <c r="L59" s="6"/>
      <c r="V59" s="9"/>
    </row>
    <row r="60" spans="1:22">
      <c r="A60" s="1" t="s">
        <v>8</v>
      </c>
      <c r="B60" s="6">
        <f>SUM(LIFE)</f>
        <v>3156843.32973589</v>
      </c>
      <c r="C60" s="1">
        <f>SUM(ALLOCATED)</f>
        <v>11290437.844675858</v>
      </c>
      <c r="D60" s="1">
        <f>SUM(HEALTH)</f>
        <v>-6405966.9312069416</v>
      </c>
      <c r="E60" s="1">
        <f>SUM(UNALLOCATED)</f>
        <v>4718689.2567951931</v>
      </c>
      <c r="F60" s="1">
        <f>SUM(LTC)</f>
        <v>0</v>
      </c>
      <c r="G60" s="9">
        <f>SUM(ALL_BLOCKS)</f>
        <v>12760003.499999996</v>
      </c>
      <c r="L60" s="6">
        <f>SUM(LIFE_CALLED)</f>
        <v>53434308</v>
      </c>
      <c r="M60" s="1">
        <f>SUM(LIFE_REFUNDED)</f>
        <v>16260675.3488</v>
      </c>
      <c r="O60" s="1">
        <f>SUM(ALLOC_CALLED)</f>
        <v>117647747</v>
      </c>
      <c r="P60" s="1">
        <f>SUM(ALLOC_REFUNDED)</f>
        <v>23197622.820799999</v>
      </c>
      <c r="R60" s="1">
        <f>SUM(HEALTH_CALLED)</f>
        <v>3972146</v>
      </c>
      <c r="S60" s="1">
        <f>SUM(HEALTH_REFUNDED)</f>
        <v>2032125.8303999999</v>
      </c>
      <c r="U60" s="1">
        <f>SUM(UNALLOC_CALLED)</f>
        <v>96890</v>
      </c>
      <c r="V60" s="9">
        <f>SUM(UNALLOC_REFUNDED)</f>
        <v>84000</v>
      </c>
    </row>
    <row r="61" spans="1:22" ht="5.0999999999999996" customHeight="1">
      <c r="B61" s="6"/>
      <c r="G61" s="9"/>
      <c r="L61" s="6"/>
      <c r="V61" s="9"/>
    </row>
    <row r="62" spans="1:22">
      <c r="B62" s="6"/>
      <c r="G62" s="9"/>
      <c r="L62" s="78" t="s">
        <v>80</v>
      </c>
      <c r="M62" s="79"/>
      <c r="N62" s="79"/>
      <c r="O62" s="79"/>
      <c r="P62" s="79"/>
      <c r="Q62" s="79"/>
      <c r="R62" s="79"/>
      <c r="S62" s="79"/>
      <c r="T62" s="79"/>
      <c r="U62" s="79"/>
      <c r="V62" s="80"/>
    </row>
    <row r="63" spans="1:22">
      <c r="B63" s="6"/>
      <c r="G63" s="9"/>
      <c r="L63" s="81"/>
      <c r="M63" s="79"/>
      <c r="N63" s="79"/>
      <c r="O63" s="79"/>
      <c r="P63" s="79"/>
      <c r="Q63" s="79"/>
      <c r="R63" s="79"/>
      <c r="S63" s="79"/>
      <c r="T63" s="79"/>
      <c r="U63" s="79"/>
      <c r="V63" s="80"/>
    </row>
    <row r="64" spans="1:22">
      <c r="B64" s="8"/>
      <c r="C64" s="5"/>
      <c r="D64" s="5"/>
      <c r="E64" s="5"/>
      <c r="F64" s="5"/>
      <c r="G64" s="11"/>
      <c r="L64" s="82"/>
      <c r="M64" s="83"/>
      <c r="N64" s="83"/>
      <c r="O64" s="83"/>
      <c r="P64" s="83"/>
      <c r="Q64" s="83"/>
      <c r="R64" s="83"/>
      <c r="S64" s="83"/>
      <c r="T64" s="83"/>
      <c r="U64" s="83"/>
      <c r="V64" s="84"/>
    </row>
  </sheetData>
  <mergeCells count="8">
    <mergeCell ref="L62:V64"/>
    <mergeCell ref="A1:G1"/>
    <mergeCell ref="B3:G3"/>
    <mergeCell ref="L3:V3"/>
    <mergeCell ref="L4:M4"/>
    <mergeCell ref="O4:P4"/>
    <mergeCell ref="R4:S4"/>
    <mergeCell ref="U4:V4"/>
  </mergeCells>
  <pageMargins left="0" right="0" top="0" bottom="0" header="0" footer="0"/>
  <pageSetup scale="48"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pageSetUpPr fitToPage="1"/>
  </sheetPr>
  <dimension ref="A1:V64"/>
  <sheetViews>
    <sheetView zoomScale="75" workbookViewId="0">
      <selection sqref="A1:G1"/>
    </sheetView>
  </sheetViews>
  <sheetFormatPr defaultColWidth="9.109375" defaultRowHeight="14.4"/>
  <cols>
    <col min="1" max="1" width="20" style="1" customWidth="1"/>
    <col min="2" max="7" width="15" style="1" customWidth="1"/>
    <col min="8" max="8" width="1" style="1" customWidth="1"/>
    <col min="9" max="9" width="30" style="1" customWidth="1"/>
    <col min="10" max="10" width="15" style="1" customWidth="1"/>
    <col min="11" max="11" width="1" style="1" customWidth="1"/>
    <col min="12" max="13" width="15" style="1" customWidth="1"/>
    <col min="14" max="14" width="1" style="1" customWidth="1"/>
    <col min="15" max="16" width="15" style="1" customWidth="1"/>
    <col min="17" max="17" width="1" style="1" customWidth="1"/>
    <col min="18" max="19" width="15" style="1" customWidth="1"/>
    <col min="20" max="20" width="1" style="1" customWidth="1"/>
    <col min="21" max="22" width="15" style="1" customWidth="1"/>
    <col min="23" max="23" width="9.109375" style="1" customWidth="1"/>
    <col min="24" max="16384" width="9.109375" style="1"/>
  </cols>
  <sheetData>
    <row r="1" spans="1:22">
      <c r="A1" s="85" t="s">
        <v>148</v>
      </c>
      <c r="B1" s="79"/>
      <c r="C1" s="79"/>
      <c r="D1" s="79"/>
      <c r="E1" s="79"/>
      <c r="F1" s="79"/>
      <c r="G1" s="79"/>
    </row>
    <row r="3" spans="1:22">
      <c r="B3" s="86" t="s">
        <v>1</v>
      </c>
      <c r="C3" s="87"/>
      <c r="D3" s="87"/>
      <c r="E3" s="87"/>
      <c r="F3" s="87"/>
      <c r="G3" s="88"/>
      <c r="L3" s="89" t="s">
        <v>2</v>
      </c>
      <c r="M3" s="90"/>
      <c r="N3" s="90"/>
      <c r="O3" s="90"/>
      <c r="P3" s="90"/>
      <c r="Q3" s="90"/>
      <c r="R3" s="90"/>
      <c r="S3" s="90"/>
      <c r="T3" s="90"/>
      <c r="U3" s="90"/>
      <c r="V3" s="91"/>
    </row>
    <row r="4" spans="1:22">
      <c r="B4" s="6"/>
      <c r="G4" s="9"/>
      <c r="L4" s="92" t="s">
        <v>3</v>
      </c>
      <c r="M4" s="93"/>
      <c r="N4" s="3"/>
      <c r="O4" s="94" t="s">
        <v>4</v>
      </c>
      <c r="P4" s="93"/>
      <c r="Q4" s="3"/>
      <c r="R4" s="94" t="s">
        <v>5</v>
      </c>
      <c r="S4" s="93"/>
      <c r="T4" s="3"/>
      <c r="U4" s="94" t="s">
        <v>6</v>
      </c>
      <c r="V4" s="95"/>
    </row>
    <row r="5" spans="1:22" ht="60" customHeight="1">
      <c r="B5" s="7" t="s">
        <v>3</v>
      </c>
      <c r="C5" s="4" t="s">
        <v>4</v>
      </c>
      <c r="D5" s="4" t="s">
        <v>5</v>
      </c>
      <c r="E5" s="4" t="s">
        <v>6</v>
      </c>
      <c r="F5" s="4" t="s">
        <v>7</v>
      </c>
      <c r="G5" s="10" t="s">
        <v>8</v>
      </c>
      <c r="L5" s="19" t="s">
        <v>9</v>
      </c>
      <c r="M5" s="18" t="s">
        <v>10</v>
      </c>
      <c r="N5" s="18"/>
      <c r="O5" s="18" t="s">
        <v>9</v>
      </c>
      <c r="P5" s="18" t="s">
        <v>10</v>
      </c>
      <c r="Q5" s="18"/>
      <c r="R5" s="18" t="s">
        <v>9</v>
      </c>
      <c r="S5" s="18" t="s">
        <v>10</v>
      </c>
      <c r="T5" s="18"/>
      <c r="U5" s="18" t="s">
        <v>9</v>
      </c>
      <c r="V5" s="20" t="s">
        <v>10</v>
      </c>
    </row>
    <row r="6" spans="1:22">
      <c r="A6" s="1" t="s">
        <v>11</v>
      </c>
      <c r="B6" s="6">
        <v>34184.238043767786</v>
      </c>
      <c r="C6" s="1">
        <v>0</v>
      </c>
      <c r="D6" s="1">
        <v>3559.4864104407725</v>
      </c>
      <c r="E6" s="1">
        <v>0</v>
      </c>
      <c r="F6" s="1">
        <v>0</v>
      </c>
      <c r="G6" s="9">
        <f>SUM(AL_FINANCIAL)</f>
        <v>37743.724454208561</v>
      </c>
      <c r="L6" s="6"/>
      <c r="V6" s="9"/>
    </row>
    <row r="7" spans="1:22">
      <c r="A7" s="1" t="s">
        <v>12</v>
      </c>
      <c r="B7" s="6">
        <v>0</v>
      </c>
      <c r="C7" s="1">
        <v>0</v>
      </c>
      <c r="D7" s="1">
        <v>0</v>
      </c>
      <c r="E7" s="1">
        <v>0</v>
      </c>
      <c r="F7" s="1">
        <v>0</v>
      </c>
      <c r="G7" s="9">
        <f>SUM(AK_FINANCIAL)</f>
        <v>0</v>
      </c>
      <c r="I7" s="12"/>
      <c r="J7" s="15"/>
      <c r="L7" s="6"/>
      <c r="V7" s="9"/>
    </row>
    <row r="8" spans="1:22">
      <c r="A8" s="1" t="s">
        <v>13</v>
      </c>
      <c r="B8" s="6">
        <v>0</v>
      </c>
      <c r="C8" s="1">
        <v>0</v>
      </c>
      <c r="D8" s="1">
        <v>0</v>
      </c>
      <c r="E8" s="1">
        <v>0</v>
      </c>
      <c r="F8" s="1">
        <v>0</v>
      </c>
      <c r="G8" s="9">
        <f>SUM(AZ_FINANCIAL)</f>
        <v>0</v>
      </c>
      <c r="I8" s="13" t="s">
        <v>14</v>
      </c>
      <c r="J8" s="16"/>
      <c r="L8" s="6"/>
      <c r="V8" s="9"/>
    </row>
    <row r="9" spans="1:22">
      <c r="A9" s="1" t="s">
        <v>15</v>
      </c>
      <c r="B9" s="6">
        <v>0</v>
      </c>
      <c r="C9" s="1">
        <v>0</v>
      </c>
      <c r="D9" s="1">
        <v>0</v>
      </c>
      <c r="E9" s="1">
        <v>0</v>
      </c>
      <c r="F9" s="1">
        <v>0</v>
      </c>
      <c r="G9" s="9">
        <f>SUM(AR_FINANCIAL)</f>
        <v>0</v>
      </c>
      <c r="I9" s="13"/>
      <c r="J9" s="16"/>
      <c r="L9" s="6"/>
      <c r="V9" s="9"/>
    </row>
    <row r="10" spans="1:22">
      <c r="A10" s="1" t="s">
        <v>16</v>
      </c>
      <c r="B10" s="6">
        <v>0</v>
      </c>
      <c r="C10" s="1">
        <v>0</v>
      </c>
      <c r="D10" s="1">
        <v>0</v>
      </c>
      <c r="E10" s="1">
        <v>0</v>
      </c>
      <c r="F10" s="1">
        <v>0</v>
      </c>
      <c r="G10" s="9">
        <f>SUM(CA_FINANCIAL)</f>
        <v>0</v>
      </c>
      <c r="I10" s="13" t="s">
        <v>17</v>
      </c>
      <c r="J10" s="16">
        <v>3559238</v>
      </c>
      <c r="L10" s="6"/>
      <c r="V10" s="9"/>
    </row>
    <row r="11" spans="1:22">
      <c r="A11" s="1" t="s">
        <v>18</v>
      </c>
      <c r="B11" s="6">
        <v>0</v>
      </c>
      <c r="C11" s="1">
        <v>0</v>
      </c>
      <c r="D11" s="1">
        <v>0</v>
      </c>
      <c r="E11" s="1">
        <v>0</v>
      </c>
      <c r="F11" s="1">
        <v>0</v>
      </c>
      <c r="G11" s="9">
        <f>SUM(CO_FINANCIAL)</f>
        <v>0</v>
      </c>
      <c r="I11" s="13"/>
      <c r="J11" s="16"/>
      <c r="L11" s="6"/>
      <c r="V11" s="9"/>
    </row>
    <row r="12" spans="1:22">
      <c r="A12" s="1" t="s">
        <v>19</v>
      </c>
      <c r="B12" s="6">
        <v>0</v>
      </c>
      <c r="C12" s="1">
        <v>0</v>
      </c>
      <c r="D12" s="1">
        <v>0</v>
      </c>
      <c r="E12" s="1">
        <v>0</v>
      </c>
      <c r="F12" s="1">
        <v>0</v>
      </c>
      <c r="G12" s="9">
        <f>SUM(CT_FINANCIAL)</f>
        <v>0</v>
      </c>
      <c r="I12" s="13" t="s">
        <v>20</v>
      </c>
      <c r="J12" s="16"/>
      <c r="L12" s="6"/>
      <c r="V12" s="9"/>
    </row>
    <row r="13" spans="1:22">
      <c r="A13" s="1" t="s">
        <v>21</v>
      </c>
      <c r="B13" s="6">
        <v>0</v>
      </c>
      <c r="C13" s="1">
        <v>0</v>
      </c>
      <c r="D13" s="1">
        <v>0</v>
      </c>
      <c r="E13" s="1">
        <v>0</v>
      </c>
      <c r="F13" s="1">
        <v>0</v>
      </c>
      <c r="G13" s="9">
        <f>SUM(DE_FINANCIAL)</f>
        <v>0</v>
      </c>
      <c r="I13" s="13" t="s">
        <v>22</v>
      </c>
      <c r="J13" s="16">
        <v>6291</v>
      </c>
      <c r="L13" s="6"/>
      <c r="V13" s="9"/>
    </row>
    <row r="14" spans="1:22">
      <c r="A14" s="1" t="s">
        <v>23</v>
      </c>
      <c r="B14" s="6">
        <v>31017.068603495085</v>
      </c>
      <c r="C14" s="1">
        <v>0</v>
      </c>
      <c r="D14" s="1">
        <v>0</v>
      </c>
      <c r="E14" s="1">
        <v>0</v>
      </c>
      <c r="F14" s="1">
        <v>0</v>
      </c>
      <c r="G14" s="9">
        <f>SUM(DC_FINANCIAL)</f>
        <v>31017.068603495085</v>
      </c>
      <c r="I14" s="13" t="s">
        <v>24</v>
      </c>
      <c r="J14" s="16">
        <v>260012.00000000003</v>
      </c>
      <c r="L14" s="6">
        <v>51000</v>
      </c>
      <c r="M14" s="1">
        <v>18927</v>
      </c>
      <c r="O14" s="1">
        <v>0</v>
      </c>
      <c r="P14" s="1">
        <v>0</v>
      </c>
      <c r="R14" s="1">
        <v>0</v>
      </c>
      <c r="S14" s="1">
        <v>1257</v>
      </c>
      <c r="U14" s="1">
        <v>0</v>
      </c>
      <c r="V14" s="9">
        <v>0</v>
      </c>
    </row>
    <row r="15" spans="1:22">
      <c r="A15" s="1" t="s">
        <v>25</v>
      </c>
      <c r="B15" s="6">
        <v>56630.919449818437</v>
      </c>
      <c r="C15" s="1">
        <v>61.011392140270431</v>
      </c>
      <c r="D15" s="1">
        <v>0</v>
      </c>
      <c r="E15" s="1">
        <v>0</v>
      </c>
      <c r="F15" s="1">
        <v>0</v>
      </c>
      <c r="G15" s="9">
        <f>SUM(FL_FINANCIAL)</f>
        <v>56691.930841958711</v>
      </c>
      <c r="I15" s="13" t="s">
        <v>26</v>
      </c>
      <c r="J15" s="16">
        <v>399603.27999999991</v>
      </c>
      <c r="L15" s="6"/>
      <c r="V15" s="9"/>
    </row>
    <row r="16" spans="1:22">
      <c r="A16" s="1" t="s">
        <v>27</v>
      </c>
      <c r="B16" s="6">
        <v>0</v>
      </c>
      <c r="C16" s="1">
        <v>0</v>
      </c>
      <c r="D16" s="1">
        <v>0</v>
      </c>
      <c r="E16" s="1">
        <v>0</v>
      </c>
      <c r="F16" s="1">
        <v>0</v>
      </c>
      <c r="G16" s="9">
        <f>SUM(GA_FINANCIAL)</f>
        <v>0</v>
      </c>
      <c r="I16" s="13" t="s">
        <v>28</v>
      </c>
      <c r="J16" s="16">
        <v>0</v>
      </c>
      <c r="L16" s="6"/>
      <c r="V16" s="9"/>
    </row>
    <row r="17" spans="1:22">
      <c r="A17" s="1" t="s">
        <v>29</v>
      </c>
      <c r="B17" s="6">
        <v>0</v>
      </c>
      <c r="C17" s="1">
        <v>0</v>
      </c>
      <c r="D17" s="1">
        <v>0</v>
      </c>
      <c r="E17" s="1">
        <v>0</v>
      </c>
      <c r="F17" s="1">
        <v>0</v>
      </c>
      <c r="G17" s="9">
        <f>SUM(HI_FINANCIAL)</f>
        <v>0</v>
      </c>
      <c r="I17" s="13"/>
      <c r="J17" s="16"/>
      <c r="L17" s="6"/>
      <c r="V17" s="9"/>
    </row>
    <row r="18" spans="1:22">
      <c r="A18" s="1" t="s">
        <v>30</v>
      </c>
      <c r="B18" s="6">
        <v>0</v>
      </c>
      <c r="C18" s="1">
        <v>0</v>
      </c>
      <c r="D18" s="1">
        <v>0</v>
      </c>
      <c r="E18" s="1">
        <v>0</v>
      </c>
      <c r="F18" s="1">
        <v>0</v>
      </c>
      <c r="G18" s="9">
        <f>SUM(ID_FINANCIAL)</f>
        <v>0</v>
      </c>
      <c r="I18" s="13" t="s">
        <v>31</v>
      </c>
      <c r="J18" s="16"/>
      <c r="L18" s="6"/>
      <c r="V18" s="9"/>
    </row>
    <row r="19" spans="1:22">
      <c r="A19" s="1" t="s">
        <v>32</v>
      </c>
      <c r="B19" s="6">
        <v>0</v>
      </c>
      <c r="C19" s="1">
        <v>0</v>
      </c>
      <c r="D19" s="1">
        <v>0</v>
      </c>
      <c r="E19" s="1">
        <v>0</v>
      </c>
      <c r="F19" s="1">
        <v>0</v>
      </c>
      <c r="G19" s="9">
        <f>SUM(IL_FINANCIAL)</f>
        <v>0</v>
      </c>
      <c r="I19" s="13" t="s">
        <v>33</v>
      </c>
      <c r="J19" s="16">
        <v>809429</v>
      </c>
      <c r="L19" s="6"/>
      <c r="V19" s="9"/>
    </row>
    <row r="20" spans="1:22">
      <c r="A20" s="1" t="s">
        <v>34</v>
      </c>
      <c r="B20" s="6">
        <v>1629.3945315993642</v>
      </c>
      <c r="C20" s="1">
        <v>0</v>
      </c>
      <c r="D20" s="1">
        <v>274.89376697325861</v>
      </c>
      <c r="E20" s="1">
        <v>0</v>
      </c>
      <c r="F20" s="1">
        <v>0</v>
      </c>
      <c r="G20" s="9">
        <f>SUM(IN_FINANCIAL)</f>
        <v>1904.2882985726228</v>
      </c>
      <c r="I20" s="13" t="s">
        <v>35</v>
      </c>
      <c r="J20" s="16">
        <v>-5909.8728585120343</v>
      </c>
      <c r="L20" s="6"/>
      <c r="V20" s="9"/>
    </row>
    <row r="21" spans="1:22">
      <c r="A21" s="1" t="s">
        <v>36</v>
      </c>
      <c r="B21" s="6">
        <v>0</v>
      </c>
      <c r="C21" s="1">
        <v>0</v>
      </c>
      <c r="D21" s="1">
        <v>0</v>
      </c>
      <c r="E21" s="1">
        <v>0</v>
      </c>
      <c r="F21" s="1">
        <v>0</v>
      </c>
      <c r="G21" s="9">
        <f>SUM(IA_FINANCIAL)</f>
        <v>0</v>
      </c>
      <c r="I21" s="13" t="s">
        <v>37</v>
      </c>
      <c r="J21" s="16"/>
      <c r="L21" s="6"/>
      <c r="V21" s="9"/>
    </row>
    <row r="22" spans="1:22">
      <c r="A22" s="1" t="s">
        <v>38</v>
      </c>
      <c r="B22" s="6">
        <v>0</v>
      </c>
      <c r="C22" s="1">
        <v>0</v>
      </c>
      <c r="D22" s="1">
        <v>0</v>
      </c>
      <c r="E22" s="1">
        <v>0</v>
      </c>
      <c r="F22" s="1">
        <v>0</v>
      </c>
      <c r="G22" s="9">
        <f>SUM(KS_FINANCIAL)</f>
        <v>0</v>
      </c>
      <c r="I22" s="13" t="s">
        <v>39</v>
      </c>
      <c r="J22" s="16">
        <v>355362</v>
      </c>
      <c r="L22" s="6"/>
      <c r="V22" s="9"/>
    </row>
    <row r="23" spans="1:22">
      <c r="A23" s="1" t="s">
        <v>40</v>
      </c>
      <c r="B23" s="6">
        <v>0</v>
      </c>
      <c r="C23" s="1">
        <v>0</v>
      </c>
      <c r="D23" s="1">
        <v>0</v>
      </c>
      <c r="E23" s="1">
        <v>0</v>
      </c>
      <c r="F23" s="1">
        <v>0</v>
      </c>
      <c r="G23" s="9">
        <f>SUM(KY_FINANCIAL)</f>
        <v>0</v>
      </c>
      <c r="I23" s="13" t="s">
        <v>41</v>
      </c>
      <c r="J23" s="16"/>
      <c r="L23" s="6"/>
      <c r="V23" s="9"/>
    </row>
    <row r="24" spans="1:22">
      <c r="A24" s="1" t="s">
        <v>42</v>
      </c>
      <c r="B24" s="6">
        <v>731221.15143802366</v>
      </c>
      <c r="C24" s="1">
        <v>114506.94213649716</v>
      </c>
      <c r="D24" s="1">
        <v>1412.181655125926</v>
      </c>
      <c r="E24" s="1">
        <v>0</v>
      </c>
      <c r="F24" s="1">
        <v>0</v>
      </c>
      <c r="G24" s="9">
        <f>SUM(LA_FINANCIAL)</f>
        <v>847140.27522964671</v>
      </c>
      <c r="I24" s="13" t="s">
        <v>43</v>
      </c>
      <c r="J24" s="16">
        <v>1757175.0000000002</v>
      </c>
      <c r="L24" s="6">
        <v>1022989</v>
      </c>
      <c r="M24" s="1">
        <v>0</v>
      </c>
      <c r="O24" s="1">
        <v>35389</v>
      </c>
      <c r="P24" s="1">
        <v>0</v>
      </c>
      <c r="R24" s="1">
        <v>587622</v>
      </c>
      <c r="S24" s="1">
        <v>0</v>
      </c>
      <c r="U24" s="1">
        <v>0</v>
      </c>
      <c r="V24" s="9">
        <v>0</v>
      </c>
    </row>
    <row r="25" spans="1:22">
      <c r="A25" s="1" t="s">
        <v>44</v>
      </c>
      <c r="B25" s="6">
        <v>0</v>
      </c>
      <c r="C25" s="1">
        <v>0</v>
      </c>
      <c r="D25" s="1">
        <v>0</v>
      </c>
      <c r="E25" s="1">
        <v>0</v>
      </c>
      <c r="F25" s="1">
        <v>0</v>
      </c>
      <c r="G25" s="9">
        <f>SUM(ME_FINANCIAL)</f>
        <v>0</v>
      </c>
      <c r="I25" s="13"/>
      <c r="J25" s="16"/>
      <c r="L25" s="6"/>
      <c r="V25" s="9"/>
    </row>
    <row r="26" spans="1:22">
      <c r="A26" s="1" t="s">
        <v>45</v>
      </c>
      <c r="B26" s="6">
        <v>76632.289400443231</v>
      </c>
      <c r="C26" s="1">
        <v>24.577172916140665</v>
      </c>
      <c r="D26" s="1">
        <v>292.93333124373066</v>
      </c>
      <c r="E26" s="1">
        <v>0</v>
      </c>
      <c r="F26" s="1">
        <v>0</v>
      </c>
      <c r="G26" s="9">
        <f>SUM(MD_FINANCIAL)</f>
        <v>76949.799904603104</v>
      </c>
      <c r="I26" s="13" t="s">
        <v>46</v>
      </c>
      <c r="J26" s="16">
        <f>SUM(ADD_FINANCIAL)-SUM(LESS_FINANCIAL)</f>
        <v>1309088.152858512</v>
      </c>
      <c r="L26" s="6"/>
      <c r="V26" s="9"/>
    </row>
    <row r="27" spans="1:22">
      <c r="A27" s="1" t="s">
        <v>47</v>
      </c>
      <c r="B27" s="6">
        <v>0</v>
      </c>
      <c r="C27" s="1">
        <v>0</v>
      </c>
      <c r="D27" s="1">
        <v>0</v>
      </c>
      <c r="E27" s="1">
        <v>0</v>
      </c>
      <c r="F27" s="1">
        <v>0</v>
      </c>
      <c r="G27" s="9">
        <f>SUM(MA_FINANCIAL)</f>
        <v>0</v>
      </c>
      <c r="I27" s="13" t="s">
        <v>48</v>
      </c>
      <c r="J27" s="16">
        <f>SUM(ALL_BLOCKS)</f>
        <v>1309088.1528585118</v>
      </c>
      <c r="L27" s="6"/>
      <c r="V27" s="9"/>
    </row>
    <row r="28" spans="1:22">
      <c r="A28" s="1" t="s">
        <v>49</v>
      </c>
      <c r="B28" s="6">
        <v>0</v>
      </c>
      <c r="C28" s="1">
        <v>0</v>
      </c>
      <c r="D28" s="1">
        <v>0</v>
      </c>
      <c r="E28" s="1">
        <v>0</v>
      </c>
      <c r="F28" s="1">
        <v>0</v>
      </c>
      <c r="G28" s="9">
        <f>SUM(MI_FINANCIAL)</f>
        <v>0</v>
      </c>
      <c r="I28" s="14"/>
      <c r="J28" s="17"/>
      <c r="L28" s="6"/>
      <c r="V28" s="9"/>
    </row>
    <row r="29" spans="1:22">
      <c r="A29" s="1" t="s">
        <v>50</v>
      </c>
      <c r="B29" s="6">
        <v>0</v>
      </c>
      <c r="C29" s="1">
        <v>0</v>
      </c>
      <c r="D29" s="1">
        <v>0</v>
      </c>
      <c r="E29" s="1">
        <v>0</v>
      </c>
      <c r="F29" s="1">
        <v>0</v>
      </c>
      <c r="G29" s="9">
        <f>SUM(MN_FINANCIAL)</f>
        <v>0</v>
      </c>
      <c r="L29" s="6"/>
      <c r="V29" s="9"/>
    </row>
    <row r="30" spans="1:22">
      <c r="A30" s="1" t="s">
        <v>51</v>
      </c>
      <c r="B30" s="6">
        <v>7642.3368316237274</v>
      </c>
      <c r="C30" s="1">
        <v>1778.2004135559041</v>
      </c>
      <c r="D30" s="1">
        <v>1560.6652338953049</v>
      </c>
      <c r="E30" s="1">
        <v>0</v>
      </c>
      <c r="F30" s="1">
        <v>0</v>
      </c>
      <c r="G30" s="9">
        <f>SUM(MS_FINANCIAL)</f>
        <v>10981.202479074936</v>
      </c>
      <c r="L30" s="6"/>
      <c r="V30" s="9"/>
    </row>
    <row r="31" spans="1:22">
      <c r="A31" s="1" t="s">
        <v>52</v>
      </c>
      <c r="B31" s="6">
        <v>0</v>
      </c>
      <c r="C31" s="1">
        <v>0</v>
      </c>
      <c r="D31" s="1">
        <v>0</v>
      </c>
      <c r="E31" s="1">
        <v>0</v>
      </c>
      <c r="F31" s="1">
        <v>0</v>
      </c>
      <c r="G31" s="9">
        <f>SUM(MO_FINANCIAL)</f>
        <v>0</v>
      </c>
      <c r="L31" s="6"/>
      <c r="V31" s="9"/>
    </row>
    <row r="32" spans="1:22">
      <c r="A32" s="1" t="s">
        <v>53</v>
      </c>
      <c r="B32" s="6">
        <v>-1012</v>
      </c>
      <c r="C32" s="1">
        <v>0</v>
      </c>
      <c r="D32" s="1">
        <v>0</v>
      </c>
      <c r="E32" s="1">
        <v>0</v>
      </c>
      <c r="F32" s="1">
        <v>0</v>
      </c>
      <c r="G32" s="9">
        <f>SUM(MT_FINANCIAL)</f>
        <v>-1012</v>
      </c>
      <c r="L32" s="6"/>
      <c r="V32" s="9"/>
    </row>
    <row r="33" spans="1:22">
      <c r="A33" s="1" t="s">
        <v>54</v>
      </c>
      <c r="B33" s="6">
        <v>5353.1020387688059</v>
      </c>
      <c r="C33" s="1">
        <v>0</v>
      </c>
      <c r="D33" s="1">
        <v>0</v>
      </c>
      <c r="E33" s="1">
        <v>0</v>
      </c>
      <c r="F33" s="1">
        <v>0</v>
      </c>
      <c r="G33" s="9">
        <f>SUM(NE_FINANCIAL)</f>
        <v>5353.1020387688059</v>
      </c>
      <c r="L33" s="6"/>
      <c r="V33" s="9"/>
    </row>
    <row r="34" spans="1:22">
      <c r="A34" s="1" t="s">
        <v>55</v>
      </c>
      <c r="B34" s="6">
        <v>-1559</v>
      </c>
      <c r="C34" s="1">
        <v>0</v>
      </c>
      <c r="D34" s="1">
        <v>0</v>
      </c>
      <c r="E34" s="1">
        <v>0</v>
      </c>
      <c r="F34" s="1">
        <v>0</v>
      </c>
      <c r="G34" s="9">
        <f>SUM(NV_FINANCIAL)</f>
        <v>-1559</v>
      </c>
      <c r="L34" s="6"/>
      <c r="V34" s="9"/>
    </row>
    <row r="35" spans="1:22">
      <c r="A35" s="1" t="s">
        <v>56</v>
      </c>
      <c r="B35" s="6">
        <v>0</v>
      </c>
      <c r="C35" s="1">
        <v>0</v>
      </c>
      <c r="D35" s="1">
        <v>0</v>
      </c>
      <c r="E35" s="1">
        <v>0</v>
      </c>
      <c r="F35" s="1">
        <v>0</v>
      </c>
      <c r="G35" s="9">
        <f>SUM(NH_FINANCIAL)</f>
        <v>0</v>
      </c>
      <c r="L35" s="6"/>
      <c r="V35" s="9"/>
    </row>
    <row r="36" spans="1:22">
      <c r="A36" s="1" t="s">
        <v>57</v>
      </c>
      <c r="B36" s="6">
        <v>0</v>
      </c>
      <c r="C36" s="1">
        <v>0</v>
      </c>
      <c r="D36" s="1">
        <v>0</v>
      </c>
      <c r="E36" s="1">
        <v>0</v>
      </c>
      <c r="F36" s="1">
        <v>0</v>
      </c>
      <c r="G36" s="9">
        <f>SUM(NJ_FINANCIAL)</f>
        <v>0</v>
      </c>
      <c r="L36" s="6"/>
      <c r="V36" s="9"/>
    </row>
    <row r="37" spans="1:22">
      <c r="A37" s="1" t="s">
        <v>58</v>
      </c>
      <c r="B37" s="6">
        <v>67264.517523129412</v>
      </c>
      <c r="C37" s="1">
        <v>0</v>
      </c>
      <c r="D37" s="1">
        <v>2534.9068877856935</v>
      </c>
      <c r="E37" s="1">
        <v>0</v>
      </c>
      <c r="F37" s="1">
        <v>0</v>
      </c>
      <c r="G37" s="9">
        <f>SUM(NM_FINANCIAL)</f>
        <v>69799.424410915104</v>
      </c>
      <c r="L37" s="6"/>
      <c r="V37" s="9"/>
    </row>
    <row r="38" spans="1:22">
      <c r="A38" s="1" t="s">
        <v>59</v>
      </c>
      <c r="B38" s="6">
        <v>0</v>
      </c>
      <c r="C38" s="1">
        <v>0</v>
      </c>
      <c r="D38" s="1">
        <v>0</v>
      </c>
      <c r="E38" s="1">
        <v>0</v>
      </c>
      <c r="F38" s="1">
        <v>0</v>
      </c>
      <c r="G38" s="9">
        <f>SUM(NY_FINANCIAL)</f>
        <v>0</v>
      </c>
      <c r="L38" s="6"/>
      <c r="V38" s="9"/>
    </row>
    <row r="39" spans="1:22">
      <c r="A39" s="1" t="s">
        <v>60</v>
      </c>
      <c r="B39" s="6">
        <v>0</v>
      </c>
      <c r="C39" s="1">
        <v>0</v>
      </c>
      <c r="D39" s="1">
        <v>0</v>
      </c>
      <c r="E39" s="1">
        <v>0</v>
      </c>
      <c r="F39" s="1">
        <v>0</v>
      </c>
      <c r="G39" s="9">
        <f>SUM(NC_FINANCIAL)</f>
        <v>0</v>
      </c>
      <c r="L39" s="6"/>
      <c r="V39" s="9"/>
    </row>
    <row r="40" spans="1:22">
      <c r="A40" s="1" t="s">
        <v>61</v>
      </c>
      <c r="B40" s="6">
        <v>0</v>
      </c>
      <c r="C40" s="1">
        <v>0</v>
      </c>
      <c r="D40" s="1">
        <v>0</v>
      </c>
      <c r="E40" s="1">
        <v>0</v>
      </c>
      <c r="F40" s="1">
        <v>0</v>
      </c>
      <c r="G40" s="9">
        <f>SUM(ND_FINANCIAL)</f>
        <v>0</v>
      </c>
      <c r="L40" s="6"/>
      <c r="V40" s="9"/>
    </row>
    <row r="41" spans="1:22">
      <c r="A41" s="1" t="s">
        <v>62</v>
      </c>
      <c r="B41" s="6">
        <v>0</v>
      </c>
      <c r="C41" s="1">
        <v>0</v>
      </c>
      <c r="D41" s="1">
        <v>0</v>
      </c>
      <c r="E41" s="1">
        <v>0</v>
      </c>
      <c r="F41" s="1">
        <v>0</v>
      </c>
      <c r="G41" s="9">
        <f>SUM(OH_FINANCIAL)</f>
        <v>0</v>
      </c>
      <c r="L41" s="6"/>
      <c r="V41" s="9"/>
    </row>
    <row r="42" spans="1:22">
      <c r="A42" s="1" t="s">
        <v>63</v>
      </c>
      <c r="B42" s="6">
        <v>2522.4714453297092</v>
      </c>
      <c r="C42" s="1">
        <v>0</v>
      </c>
      <c r="D42" s="1">
        <v>0</v>
      </c>
      <c r="E42" s="1">
        <v>0</v>
      </c>
      <c r="F42" s="1">
        <v>0</v>
      </c>
      <c r="G42" s="9">
        <f>SUM(OK_FINANCIAL)</f>
        <v>2522.4714453297092</v>
      </c>
      <c r="L42" s="6">
        <v>31000</v>
      </c>
      <c r="M42" s="1">
        <v>0</v>
      </c>
      <c r="O42" s="1">
        <v>0</v>
      </c>
      <c r="P42" s="1">
        <v>0</v>
      </c>
      <c r="R42" s="1">
        <v>19000</v>
      </c>
      <c r="S42" s="1">
        <v>0</v>
      </c>
      <c r="U42" s="1">
        <v>0</v>
      </c>
      <c r="V42" s="9">
        <v>0</v>
      </c>
    </row>
    <row r="43" spans="1:22">
      <c r="A43" s="1" t="s">
        <v>64</v>
      </c>
      <c r="B43" s="6">
        <v>0</v>
      </c>
      <c r="C43" s="1">
        <v>0</v>
      </c>
      <c r="D43" s="1">
        <v>0</v>
      </c>
      <c r="E43" s="1">
        <v>0</v>
      </c>
      <c r="F43" s="1">
        <v>0</v>
      </c>
      <c r="G43" s="9">
        <f>SUM(OR_FINANCIAL)</f>
        <v>0</v>
      </c>
      <c r="L43" s="6"/>
      <c r="V43" s="9"/>
    </row>
    <row r="44" spans="1:22">
      <c r="A44" s="1" t="s">
        <v>65</v>
      </c>
      <c r="B44" s="6">
        <v>0</v>
      </c>
      <c r="C44" s="1">
        <v>0</v>
      </c>
      <c r="D44" s="1">
        <v>0</v>
      </c>
      <c r="E44" s="1">
        <v>0</v>
      </c>
      <c r="F44" s="1">
        <v>0</v>
      </c>
      <c r="G44" s="9">
        <f>SUM(PA_FINANCIAL)</f>
        <v>0</v>
      </c>
      <c r="L44" s="6"/>
      <c r="V44" s="9"/>
    </row>
    <row r="45" spans="1:22">
      <c r="A45" s="1" t="s">
        <v>66</v>
      </c>
      <c r="B45" s="6">
        <v>0</v>
      </c>
      <c r="C45" s="1">
        <v>0</v>
      </c>
      <c r="D45" s="1">
        <v>0</v>
      </c>
      <c r="E45" s="1">
        <v>0</v>
      </c>
      <c r="F45" s="1">
        <v>0</v>
      </c>
      <c r="G45" s="9">
        <f>SUM(PR_FINANCIAL)</f>
        <v>0</v>
      </c>
      <c r="L45" s="6"/>
      <c r="V45" s="9"/>
    </row>
    <row r="46" spans="1:22">
      <c r="A46" s="1" t="s">
        <v>67</v>
      </c>
      <c r="B46" s="6">
        <v>0</v>
      </c>
      <c r="C46" s="1">
        <v>0</v>
      </c>
      <c r="D46" s="1">
        <v>0</v>
      </c>
      <c r="E46" s="1">
        <v>0</v>
      </c>
      <c r="F46" s="1">
        <v>0</v>
      </c>
      <c r="G46" s="9">
        <f>SUM(RI_FINANCIAL)</f>
        <v>0</v>
      </c>
      <c r="L46" s="6"/>
      <c r="V46" s="9"/>
    </row>
    <row r="47" spans="1:22">
      <c r="A47" s="1" t="s">
        <v>68</v>
      </c>
      <c r="B47" s="6">
        <v>179806.64730371768</v>
      </c>
      <c r="C47" s="1">
        <v>0</v>
      </c>
      <c r="D47" s="1">
        <v>0</v>
      </c>
      <c r="E47" s="1">
        <v>0</v>
      </c>
      <c r="F47" s="1">
        <v>0</v>
      </c>
      <c r="G47" s="9">
        <f>SUM(SC_FINANCIAL)</f>
        <v>179806.64730371768</v>
      </c>
      <c r="L47" s="6"/>
      <c r="V47" s="9"/>
    </row>
    <row r="48" spans="1:22">
      <c r="A48" s="1" t="s">
        <v>69</v>
      </c>
      <c r="B48" s="6">
        <v>-39798</v>
      </c>
      <c r="C48" s="1">
        <v>0</v>
      </c>
      <c r="D48" s="1">
        <v>0</v>
      </c>
      <c r="E48" s="1">
        <v>0</v>
      </c>
      <c r="F48" s="1">
        <v>0</v>
      </c>
      <c r="G48" s="9">
        <f>SUM(SD_FINANCIAL)</f>
        <v>-39798</v>
      </c>
      <c r="L48" s="6"/>
      <c r="V48" s="9"/>
    </row>
    <row r="49" spans="1:22">
      <c r="A49" s="1" t="s">
        <v>70</v>
      </c>
      <c r="B49" s="6">
        <v>8511.2144964711097</v>
      </c>
      <c r="C49" s="1">
        <v>6498.5305469191553</v>
      </c>
      <c r="D49" s="1">
        <v>0</v>
      </c>
      <c r="E49" s="1">
        <v>0</v>
      </c>
      <c r="F49" s="1">
        <v>0</v>
      </c>
      <c r="G49" s="9">
        <f>SUM(TN_FINANCIAL)</f>
        <v>15009.745043390265</v>
      </c>
      <c r="L49" s="6"/>
      <c r="V49" s="9"/>
    </row>
    <row r="50" spans="1:22">
      <c r="A50" s="1" t="s">
        <v>71</v>
      </c>
      <c r="B50" s="6">
        <v>17992.472804830657</v>
      </c>
      <c r="C50" s="1">
        <v>0</v>
      </c>
      <c r="D50" s="1">
        <v>0</v>
      </c>
      <c r="E50" s="1">
        <v>0</v>
      </c>
      <c r="F50" s="1">
        <v>0</v>
      </c>
      <c r="G50" s="9">
        <f>SUM(TX_FINANCIAL)</f>
        <v>17992.472804830657</v>
      </c>
      <c r="L50" s="6">
        <v>40003</v>
      </c>
      <c r="M50" s="1">
        <v>22198</v>
      </c>
      <c r="O50" s="1">
        <v>0</v>
      </c>
      <c r="P50" s="1">
        <v>0</v>
      </c>
      <c r="R50" s="1">
        <v>0</v>
      </c>
      <c r="S50" s="1">
        <v>0</v>
      </c>
      <c r="U50" s="1">
        <v>0</v>
      </c>
      <c r="V50" s="9">
        <v>0</v>
      </c>
    </row>
    <row r="51" spans="1:22">
      <c r="A51" s="1" t="s">
        <v>72</v>
      </c>
      <c r="B51" s="6">
        <v>0</v>
      </c>
      <c r="C51" s="1">
        <v>0</v>
      </c>
      <c r="D51" s="1">
        <v>0</v>
      </c>
      <c r="E51" s="1">
        <v>0</v>
      </c>
      <c r="F51" s="1">
        <v>0</v>
      </c>
      <c r="G51" s="9">
        <f>SUM(UT_FINANCIAL)</f>
        <v>0</v>
      </c>
      <c r="L51" s="6"/>
      <c r="V51" s="9"/>
    </row>
    <row r="52" spans="1:22">
      <c r="A52" s="1" t="s">
        <v>73</v>
      </c>
      <c r="B52" s="6">
        <v>0</v>
      </c>
      <c r="C52" s="1">
        <v>0</v>
      </c>
      <c r="D52" s="1">
        <v>0</v>
      </c>
      <c r="E52" s="1">
        <v>0</v>
      </c>
      <c r="F52" s="1">
        <v>0</v>
      </c>
      <c r="G52" s="9">
        <f>SUM(VT_FINANCIAL)</f>
        <v>0</v>
      </c>
      <c r="L52" s="6"/>
      <c r="V52" s="9"/>
    </row>
    <row r="53" spans="1:22">
      <c r="A53" s="1" t="s">
        <v>74</v>
      </c>
      <c r="B53" s="6">
        <v>0</v>
      </c>
      <c r="C53" s="1">
        <v>0</v>
      </c>
      <c r="D53" s="1">
        <v>0</v>
      </c>
      <c r="E53" s="1">
        <v>0</v>
      </c>
      <c r="F53" s="1">
        <v>0</v>
      </c>
      <c r="G53" s="9">
        <f>SUM(VA_FINANCIAL)</f>
        <v>0</v>
      </c>
      <c r="L53" s="6"/>
      <c r="V53" s="9"/>
    </row>
    <row r="54" spans="1:22">
      <c r="A54" s="1" t="s">
        <v>75</v>
      </c>
      <c r="B54" s="6">
        <v>0</v>
      </c>
      <c r="C54" s="1">
        <v>0</v>
      </c>
      <c r="D54" s="1">
        <v>0</v>
      </c>
      <c r="E54" s="1">
        <v>0</v>
      </c>
      <c r="F54" s="1">
        <v>0</v>
      </c>
      <c r="G54" s="9">
        <f>SUM(WA_FINANCIAL)</f>
        <v>0</v>
      </c>
      <c r="L54" s="6"/>
      <c r="V54" s="9"/>
    </row>
    <row r="55" spans="1:22">
      <c r="A55" s="1" t="s">
        <v>76</v>
      </c>
      <c r="B55" s="6">
        <v>0</v>
      </c>
      <c r="C55" s="1">
        <v>0</v>
      </c>
      <c r="D55" s="1">
        <v>0</v>
      </c>
      <c r="E55" s="1">
        <v>0</v>
      </c>
      <c r="F55" s="1">
        <v>0</v>
      </c>
      <c r="G55" s="9">
        <f>SUM(WV_FINANCIAL)</f>
        <v>0</v>
      </c>
      <c r="L55" s="6"/>
      <c r="V55" s="9"/>
    </row>
    <row r="56" spans="1:22">
      <c r="A56" s="1" t="s">
        <v>77</v>
      </c>
      <c r="B56" s="6">
        <v>0</v>
      </c>
      <c r="C56" s="1">
        <v>0</v>
      </c>
      <c r="D56" s="1">
        <v>0</v>
      </c>
      <c r="E56" s="1">
        <v>0</v>
      </c>
      <c r="F56" s="1">
        <v>0</v>
      </c>
      <c r="G56" s="9">
        <f>SUM(WI_FINANCIAL)</f>
        <v>0</v>
      </c>
      <c r="L56" s="6"/>
      <c r="V56" s="9"/>
    </row>
    <row r="57" spans="1:22">
      <c r="A57" s="1" t="s">
        <v>78</v>
      </c>
      <c r="B57" s="6">
        <v>-1455</v>
      </c>
      <c r="C57" s="1">
        <v>0</v>
      </c>
      <c r="D57" s="1">
        <v>0</v>
      </c>
      <c r="E57" s="1">
        <v>0</v>
      </c>
      <c r="F57" s="1">
        <v>0</v>
      </c>
      <c r="G57" s="9">
        <f>SUM(WY_FINANCIAL)</f>
        <v>-1455</v>
      </c>
      <c r="L57" s="6"/>
      <c r="V57" s="9"/>
    </row>
    <row r="58" spans="1:22">
      <c r="A58" s="1" t="s">
        <v>79</v>
      </c>
      <c r="B58" s="6">
        <v>0</v>
      </c>
      <c r="C58" s="1">
        <v>0</v>
      </c>
      <c r="D58" s="1">
        <v>0</v>
      </c>
      <c r="E58" s="1">
        <v>0</v>
      </c>
      <c r="F58" s="1">
        <v>0</v>
      </c>
      <c r="G58" s="9">
        <f>SUM(OT_FINANCIAL)</f>
        <v>0</v>
      </c>
      <c r="L58" s="6"/>
      <c r="V58" s="9"/>
    </row>
    <row r="59" spans="1:22">
      <c r="B59" s="6"/>
      <c r="G59" s="9"/>
      <c r="L59" s="6"/>
      <c r="V59" s="9"/>
    </row>
    <row r="60" spans="1:22">
      <c r="A60" s="1" t="s">
        <v>8</v>
      </c>
      <c r="B60" s="6">
        <f>SUM(LIFE)</f>
        <v>1176583.8239110187</v>
      </c>
      <c r="C60" s="1">
        <f>SUM(ALLOCATED)</f>
        <v>122869.26166202863</v>
      </c>
      <c r="D60" s="1">
        <f>SUM(HEALTH)</f>
        <v>9635.0672854646855</v>
      </c>
      <c r="E60" s="1">
        <f>SUM(UNALLOCATED)</f>
        <v>0</v>
      </c>
      <c r="F60" s="1">
        <f>SUM(LTC)</f>
        <v>0</v>
      </c>
      <c r="G60" s="9">
        <f>SUM(ALL_BLOCKS)</f>
        <v>1309088.1528585118</v>
      </c>
      <c r="L60" s="6">
        <f>SUM(LIFE_CALLED)</f>
        <v>1144992</v>
      </c>
      <c r="M60" s="1">
        <f>SUM(LIFE_REFUNDED)</f>
        <v>41125</v>
      </c>
      <c r="O60" s="1">
        <f>SUM(ALLOC_CALLED)</f>
        <v>35389</v>
      </c>
      <c r="P60" s="1">
        <f>SUM(ALLOC_REFUNDED)</f>
        <v>0</v>
      </c>
      <c r="R60" s="1">
        <f>SUM(HEALTH_CALLED)</f>
        <v>606622</v>
      </c>
      <c r="S60" s="1">
        <f>SUM(HEALTH_REFUNDED)</f>
        <v>1257</v>
      </c>
      <c r="U60" s="1">
        <f>SUM(UNALLOC_CALLED)</f>
        <v>0</v>
      </c>
      <c r="V60" s="9">
        <f>SUM(UNALLOC_REFUNDED)</f>
        <v>0</v>
      </c>
    </row>
    <row r="61" spans="1:22" ht="5.0999999999999996" customHeight="1">
      <c r="B61" s="6"/>
      <c r="G61" s="9"/>
      <c r="L61" s="6"/>
      <c r="V61" s="9"/>
    </row>
    <row r="62" spans="1:22">
      <c r="B62" s="6"/>
      <c r="G62" s="9"/>
      <c r="L62" s="78" t="s">
        <v>80</v>
      </c>
      <c r="M62" s="79"/>
      <c r="N62" s="79"/>
      <c r="O62" s="79"/>
      <c r="P62" s="79"/>
      <c r="Q62" s="79"/>
      <c r="R62" s="79"/>
      <c r="S62" s="79"/>
      <c r="T62" s="79"/>
      <c r="U62" s="79"/>
      <c r="V62" s="80"/>
    </row>
    <row r="63" spans="1:22">
      <c r="B63" s="6"/>
      <c r="G63" s="9"/>
      <c r="L63" s="81"/>
      <c r="M63" s="79"/>
      <c r="N63" s="79"/>
      <c r="O63" s="79"/>
      <c r="P63" s="79"/>
      <c r="Q63" s="79"/>
      <c r="R63" s="79"/>
      <c r="S63" s="79"/>
      <c r="T63" s="79"/>
      <c r="U63" s="79"/>
      <c r="V63" s="80"/>
    </row>
    <row r="64" spans="1:22">
      <c r="B64" s="8"/>
      <c r="C64" s="5"/>
      <c r="D64" s="5"/>
      <c r="E64" s="5"/>
      <c r="F64" s="5"/>
      <c r="G64" s="11"/>
      <c r="L64" s="82"/>
      <c r="M64" s="83"/>
      <c r="N64" s="83"/>
      <c r="O64" s="83"/>
      <c r="P64" s="83"/>
      <c r="Q64" s="83"/>
      <c r="R64" s="83"/>
      <c r="S64" s="83"/>
      <c r="T64" s="83"/>
      <c r="U64" s="83"/>
      <c r="V64" s="84"/>
    </row>
  </sheetData>
  <mergeCells count="8">
    <mergeCell ref="L62:V64"/>
    <mergeCell ref="A1:G1"/>
    <mergeCell ref="B3:G3"/>
    <mergeCell ref="L3:V3"/>
    <mergeCell ref="L4:M4"/>
    <mergeCell ref="O4:P4"/>
    <mergeCell ref="R4:S4"/>
    <mergeCell ref="U4:V4"/>
  </mergeCells>
  <pageMargins left="0" right="0" top="0" bottom="0" header="0" footer="0"/>
  <pageSetup scale="4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64"/>
  <sheetViews>
    <sheetView zoomScale="75" workbookViewId="0">
      <selection sqref="A1:G1"/>
    </sheetView>
  </sheetViews>
  <sheetFormatPr defaultColWidth="9.109375" defaultRowHeight="14.4"/>
  <cols>
    <col min="1" max="1" width="20" style="1" customWidth="1"/>
    <col min="2" max="7" width="15" style="1" customWidth="1"/>
    <col min="8" max="8" width="1" style="1" customWidth="1"/>
    <col min="9" max="9" width="30" style="1" customWidth="1"/>
    <col min="10" max="10" width="15" style="1" customWidth="1"/>
    <col min="11" max="11" width="1" style="1" customWidth="1"/>
    <col min="12" max="13" width="15" style="1" customWidth="1"/>
    <col min="14" max="14" width="1" style="1" customWidth="1"/>
    <col min="15" max="16" width="15" style="1" customWidth="1"/>
    <col min="17" max="17" width="1" style="1" customWidth="1"/>
    <col min="18" max="19" width="15" style="1" customWidth="1"/>
    <col min="20" max="20" width="1" style="1" customWidth="1"/>
    <col min="21" max="22" width="15" style="1" customWidth="1"/>
    <col min="23" max="23" width="9.109375" style="1" customWidth="1"/>
    <col min="24" max="16384" width="9.109375" style="1"/>
  </cols>
  <sheetData>
    <row r="1" spans="1:22">
      <c r="A1" s="85" t="s">
        <v>86</v>
      </c>
      <c r="B1" s="79"/>
      <c r="C1" s="79"/>
      <c r="D1" s="79"/>
      <c r="E1" s="79"/>
      <c r="F1" s="79"/>
      <c r="G1" s="79"/>
    </row>
    <row r="3" spans="1:22">
      <c r="B3" s="86" t="s">
        <v>1</v>
      </c>
      <c r="C3" s="87"/>
      <c r="D3" s="87"/>
      <c r="E3" s="87"/>
      <c r="F3" s="87"/>
      <c r="G3" s="88"/>
      <c r="L3" s="89" t="s">
        <v>2</v>
      </c>
      <c r="M3" s="90"/>
      <c r="N3" s="90"/>
      <c r="O3" s="90"/>
      <c r="P3" s="90"/>
      <c r="Q3" s="90"/>
      <c r="R3" s="90"/>
      <c r="S3" s="90"/>
      <c r="T3" s="90"/>
      <c r="U3" s="90"/>
      <c r="V3" s="91"/>
    </row>
    <row r="4" spans="1:22">
      <c r="B4" s="6"/>
      <c r="G4" s="9"/>
      <c r="L4" s="92" t="s">
        <v>3</v>
      </c>
      <c r="M4" s="93"/>
      <c r="N4" s="3"/>
      <c r="O4" s="94" t="s">
        <v>4</v>
      </c>
      <c r="P4" s="93"/>
      <c r="Q4" s="3"/>
      <c r="R4" s="94" t="s">
        <v>5</v>
      </c>
      <c r="S4" s="93"/>
      <c r="T4" s="3"/>
      <c r="U4" s="94" t="s">
        <v>6</v>
      </c>
      <c r="V4" s="95"/>
    </row>
    <row r="5" spans="1:22" ht="60" customHeight="1">
      <c r="B5" s="7" t="s">
        <v>3</v>
      </c>
      <c r="C5" s="4" t="s">
        <v>4</v>
      </c>
      <c r="D5" s="4" t="s">
        <v>5</v>
      </c>
      <c r="E5" s="4" t="s">
        <v>6</v>
      </c>
      <c r="F5" s="4" t="s">
        <v>7</v>
      </c>
      <c r="G5" s="10" t="s">
        <v>8</v>
      </c>
      <c r="L5" s="19" t="s">
        <v>9</v>
      </c>
      <c r="M5" s="18" t="s">
        <v>10</v>
      </c>
      <c r="N5" s="18"/>
      <c r="O5" s="18" t="s">
        <v>9</v>
      </c>
      <c r="P5" s="18" t="s">
        <v>10</v>
      </c>
      <c r="Q5" s="18"/>
      <c r="R5" s="18" t="s">
        <v>9</v>
      </c>
      <c r="S5" s="18" t="s">
        <v>10</v>
      </c>
      <c r="T5" s="18"/>
      <c r="U5" s="18" t="s">
        <v>9</v>
      </c>
      <c r="V5" s="20" t="s">
        <v>10</v>
      </c>
    </row>
    <row r="6" spans="1:22">
      <c r="A6" s="1" t="s">
        <v>11</v>
      </c>
      <c r="B6" s="6">
        <v>57273.156032236482</v>
      </c>
      <c r="C6" s="1">
        <v>624555.87701270473</v>
      </c>
      <c r="D6" s="1">
        <v>109496.46902809915</v>
      </c>
      <c r="E6" s="1">
        <v>0</v>
      </c>
      <c r="F6" s="1">
        <v>0</v>
      </c>
      <c r="G6" s="9">
        <f>SUM(AL_FINANCIAL)</f>
        <v>791325.50207304046</v>
      </c>
      <c r="L6" s="6"/>
      <c r="V6" s="9"/>
    </row>
    <row r="7" spans="1:22">
      <c r="A7" s="1" t="s">
        <v>12</v>
      </c>
      <c r="B7" s="6">
        <v>0</v>
      </c>
      <c r="C7" s="1">
        <v>0</v>
      </c>
      <c r="D7" s="1">
        <v>0</v>
      </c>
      <c r="E7" s="1">
        <v>0</v>
      </c>
      <c r="F7" s="1">
        <v>0</v>
      </c>
      <c r="G7" s="9">
        <f>SUM(AK_FINANCIAL)</f>
        <v>0</v>
      </c>
      <c r="I7" s="12"/>
      <c r="J7" s="15"/>
      <c r="L7" s="6"/>
      <c r="V7" s="9"/>
    </row>
    <row r="8" spans="1:22">
      <c r="A8" s="1" t="s">
        <v>13</v>
      </c>
      <c r="B8" s="6">
        <v>0</v>
      </c>
      <c r="C8" s="1">
        <v>0</v>
      </c>
      <c r="D8" s="1">
        <v>0</v>
      </c>
      <c r="E8" s="1">
        <v>0</v>
      </c>
      <c r="F8" s="1">
        <v>0</v>
      </c>
      <c r="G8" s="9">
        <f>SUM(AZ_FINANCIAL)</f>
        <v>0</v>
      </c>
      <c r="I8" s="13" t="s">
        <v>14</v>
      </c>
      <c r="J8" s="16"/>
      <c r="L8" s="6"/>
      <c r="V8" s="9"/>
    </row>
    <row r="9" spans="1:22">
      <c r="A9" s="1" t="s">
        <v>15</v>
      </c>
      <c r="B9" s="6">
        <v>0</v>
      </c>
      <c r="C9" s="1">
        <v>0</v>
      </c>
      <c r="D9" s="1">
        <v>0</v>
      </c>
      <c r="E9" s="1">
        <v>0</v>
      </c>
      <c r="F9" s="1">
        <v>0</v>
      </c>
      <c r="G9" s="9">
        <f>SUM(AR_FINANCIAL)</f>
        <v>0</v>
      </c>
      <c r="I9" s="13"/>
      <c r="J9" s="16"/>
      <c r="L9" s="6"/>
      <c r="V9" s="9"/>
    </row>
    <row r="10" spans="1:22">
      <c r="A10" s="1" t="s">
        <v>16</v>
      </c>
      <c r="B10" s="6">
        <v>0</v>
      </c>
      <c r="C10" s="1">
        <v>0</v>
      </c>
      <c r="D10" s="1">
        <v>0</v>
      </c>
      <c r="E10" s="1">
        <v>0</v>
      </c>
      <c r="F10" s="1">
        <v>0</v>
      </c>
      <c r="G10" s="9">
        <f>SUM(CA_FINANCIAL)</f>
        <v>0</v>
      </c>
      <c r="I10" s="13" t="s">
        <v>17</v>
      </c>
      <c r="J10" s="16">
        <v>4652553</v>
      </c>
      <c r="L10" s="6"/>
      <c r="V10" s="9"/>
    </row>
    <row r="11" spans="1:22">
      <c r="A11" s="1" t="s">
        <v>18</v>
      </c>
      <c r="B11" s="6">
        <v>0</v>
      </c>
      <c r="C11" s="1">
        <v>0</v>
      </c>
      <c r="D11" s="1">
        <v>0</v>
      </c>
      <c r="E11" s="1">
        <v>0</v>
      </c>
      <c r="F11" s="1">
        <v>0</v>
      </c>
      <c r="G11" s="9">
        <f>SUM(CO_FINANCIAL)</f>
        <v>0</v>
      </c>
      <c r="I11" s="13"/>
      <c r="J11" s="16"/>
      <c r="L11" s="6"/>
      <c r="V11" s="9"/>
    </row>
    <row r="12" spans="1:22">
      <c r="A12" s="1" t="s">
        <v>19</v>
      </c>
      <c r="B12" s="6">
        <v>0</v>
      </c>
      <c r="C12" s="1">
        <v>0</v>
      </c>
      <c r="D12" s="1">
        <v>0</v>
      </c>
      <c r="E12" s="1">
        <v>0</v>
      </c>
      <c r="F12" s="1">
        <v>0</v>
      </c>
      <c r="G12" s="9">
        <f>SUM(CT_FINANCIAL)</f>
        <v>0</v>
      </c>
      <c r="I12" s="13" t="s">
        <v>20</v>
      </c>
      <c r="J12" s="16"/>
      <c r="L12" s="6"/>
      <c r="V12" s="9"/>
    </row>
    <row r="13" spans="1:22">
      <c r="A13" s="1" t="s">
        <v>21</v>
      </c>
      <c r="B13" s="6">
        <v>0</v>
      </c>
      <c r="C13" s="1">
        <v>0</v>
      </c>
      <c r="D13" s="1">
        <v>0</v>
      </c>
      <c r="E13" s="1">
        <v>0</v>
      </c>
      <c r="F13" s="1">
        <v>0</v>
      </c>
      <c r="G13" s="9">
        <f>SUM(DE_FINANCIAL)</f>
        <v>0</v>
      </c>
      <c r="I13" s="13" t="s">
        <v>22</v>
      </c>
      <c r="J13" s="16">
        <v>1016861</v>
      </c>
      <c r="L13" s="6"/>
      <c r="V13" s="9"/>
    </row>
    <row r="14" spans="1:22">
      <c r="A14" s="1" t="s">
        <v>23</v>
      </c>
      <c r="B14" s="6">
        <v>0</v>
      </c>
      <c r="C14" s="1">
        <v>0</v>
      </c>
      <c r="D14" s="1">
        <v>0</v>
      </c>
      <c r="E14" s="1">
        <v>0</v>
      </c>
      <c r="F14" s="1">
        <v>0</v>
      </c>
      <c r="G14" s="9">
        <f>SUM(DC_FINANCIAL)</f>
        <v>0</v>
      </c>
      <c r="I14" s="13" t="s">
        <v>24</v>
      </c>
      <c r="J14" s="16">
        <v>353451.99999999994</v>
      </c>
      <c r="L14" s="6"/>
      <c r="V14" s="9"/>
    </row>
    <row r="15" spans="1:22">
      <c r="A15" s="1" t="s">
        <v>25</v>
      </c>
      <c r="B15" s="6">
        <v>20590.496552691409</v>
      </c>
      <c r="C15" s="1">
        <v>127092.42922570181</v>
      </c>
      <c r="D15" s="1">
        <v>4233689.8618493881</v>
      </c>
      <c r="E15" s="1">
        <v>0</v>
      </c>
      <c r="F15" s="1">
        <v>0</v>
      </c>
      <c r="G15" s="9">
        <f>SUM(FL_FINANCIAL)</f>
        <v>4381372.7876277817</v>
      </c>
      <c r="I15" s="13" t="s">
        <v>26</v>
      </c>
      <c r="J15" s="16">
        <v>534742.50999999989</v>
      </c>
      <c r="L15" s="6"/>
      <c r="V15" s="9"/>
    </row>
    <row r="16" spans="1:22">
      <c r="A16" s="1" t="s">
        <v>27</v>
      </c>
      <c r="B16" s="6">
        <v>893.23797305386756</v>
      </c>
      <c r="C16" s="1">
        <v>0</v>
      </c>
      <c r="D16" s="1">
        <v>71551.413737281939</v>
      </c>
      <c r="E16" s="1">
        <v>0</v>
      </c>
      <c r="F16" s="1">
        <v>0</v>
      </c>
      <c r="G16" s="9">
        <f>SUM(GA_FINANCIAL)</f>
        <v>72444.651710335806</v>
      </c>
      <c r="I16" s="13" t="s">
        <v>28</v>
      </c>
      <c r="J16" s="16">
        <v>0</v>
      </c>
      <c r="L16" s="6"/>
      <c r="V16" s="9"/>
    </row>
    <row r="17" spans="1:22">
      <c r="A17" s="1" t="s">
        <v>29</v>
      </c>
      <c r="B17" s="6">
        <v>0</v>
      </c>
      <c r="C17" s="1">
        <v>0</v>
      </c>
      <c r="D17" s="1">
        <v>0</v>
      </c>
      <c r="E17" s="1">
        <v>0</v>
      </c>
      <c r="F17" s="1">
        <v>0</v>
      </c>
      <c r="G17" s="9">
        <f>SUM(HI_FINANCIAL)</f>
        <v>0</v>
      </c>
      <c r="I17" s="13"/>
      <c r="J17" s="16"/>
      <c r="L17" s="6"/>
      <c r="V17" s="9"/>
    </row>
    <row r="18" spans="1:22">
      <c r="A18" s="1" t="s">
        <v>30</v>
      </c>
      <c r="B18" s="6">
        <v>0</v>
      </c>
      <c r="C18" s="1">
        <v>0</v>
      </c>
      <c r="D18" s="1">
        <v>0</v>
      </c>
      <c r="E18" s="1">
        <v>0</v>
      </c>
      <c r="F18" s="1">
        <v>0</v>
      </c>
      <c r="G18" s="9">
        <f>SUM(ID_FINANCIAL)</f>
        <v>0</v>
      </c>
      <c r="I18" s="13" t="s">
        <v>31</v>
      </c>
      <c r="J18" s="16"/>
      <c r="L18" s="6"/>
      <c r="V18" s="9"/>
    </row>
    <row r="19" spans="1:22">
      <c r="A19" s="1" t="s">
        <v>32</v>
      </c>
      <c r="B19" s="6">
        <v>0</v>
      </c>
      <c r="C19" s="1">
        <v>0</v>
      </c>
      <c r="D19" s="1">
        <v>0</v>
      </c>
      <c r="E19" s="1">
        <v>0</v>
      </c>
      <c r="F19" s="1">
        <v>0</v>
      </c>
      <c r="G19" s="9">
        <f>SUM(IL_FINANCIAL)</f>
        <v>0</v>
      </c>
      <c r="I19" s="13" t="s">
        <v>33</v>
      </c>
      <c r="J19" s="16">
        <v>732116</v>
      </c>
      <c r="L19" s="6"/>
      <c r="V19" s="9"/>
    </row>
    <row r="20" spans="1:22">
      <c r="A20" s="1" t="s">
        <v>34</v>
      </c>
      <c r="B20" s="6">
        <v>0</v>
      </c>
      <c r="C20" s="1">
        <v>0</v>
      </c>
      <c r="D20" s="1">
        <v>0</v>
      </c>
      <c r="E20" s="1">
        <v>0</v>
      </c>
      <c r="F20" s="1">
        <v>0</v>
      </c>
      <c r="G20" s="9">
        <f>SUM(IN_FINANCIAL)</f>
        <v>0</v>
      </c>
      <c r="I20" s="13" t="s">
        <v>35</v>
      </c>
      <c r="J20" s="16">
        <v>316112</v>
      </c>
      <c r="L20" s="6"/>
      <c r="V20" s="9"/>
    </row>
    <row r="21" spans="1:22">
      <c r="A21" s="1" t="s">
        <v>36</v>
      </c>
      <c r="B21" s="6">
        <v>0</v>
      </c>
      <c r="C21" s="1">
        <v>0</v>
      </c>
      <c r="D21" s="1">
        <v>0</v>
      </c>
      <c r="E21" s="1">
        <v>0</v>
      </c>
      <c r="F21" s="1">
        <v>0</v>
      </c>
      <c r="G21" s="9">
        <f>SUM(IA_FINANCIAL)</f>
        <v>0</v>
      </c>
      <c r="I21" s="13" t="s">
        <v>37</v>
      </c>
      <c r="J21" s="16"/>
      <c r="L21" s="6"/>
      <c r="V21" s="9"/>
    </row>
    <row r="22" spans="1:22">
      <c r="A22" s="1" t="s">
        <v>38</v>
      </c>
      <c r="B22" s="6">
        <v>0</v>
      </c>
      <c r="C22" s="1">
        <v>0</v>
      </c>
      <c r="D22" s="1">
        <v>0</v>
      </c>
      <c r="E22" s="1">
        <v>0</v>
      </c>
      <c r="F22" s="1">
        <v>0</v>
      </c>
      <c r="G22" s="9">
        <f>SUM(KS_FINANCIAL)</f>
        <v>0</v>
      </c>
      <c r="I22" s="13" t="s">
        <v>39</v>
      </c>
      <c r="J22" s="16">
        <v>-1274180</v>
      </c>
      <c r="L22" s="6"/>
      <c r="V22" s="9"/>
    </row>
    <row r="23" spans="1:22">
      <c r="A23" s="1" t="s">
        <v>40</v>
      </c>
      <c r="B23" s="6">
        <v>0</v>
      </c>
      <c r="C23" s="1">
        <v>0</v>
      </c>
      <c r="D23" s="1">
        <v>0</v>
      </c>
      <c r="E23" s="1">
        <v>0</v>
      </c>
      <c r="F23" s="1">
        <v>0</v>
      </c>
      <c r="G23" s="9">
        <f>SUM(KY_FINANCIAL)</f>
        <v>0</v>
      </c>
      <c r="I23" s="13" t="s">
        <v>41</v>
      </c>
      <c r="J23" s="16"/>
      <c r="L23" s="6"/>
      <c r="V23" s="9"/>
    </row>
    <row r="24" spans="1:22">
      <c r="A24" s="1" t="s">
        <v>42</v>
      </c>
      <c r="B24" s="6">
        <v>735.71018241730019</v>
      </c>
      <c r="C24" s="1">
        <v>69176.665663847598</v>
      </c>
      <c r="D24" s="1">
        <v>1688.6041825223645</v>
      </c>
      <c r="E24" s="1">
        <v>0</v>
      </c>
      <c r="F24" s="1">
        <v>0</v>
      </c>
      <c r="G24" s="9">
        <f>SUM(LA_FINANCIAL)</f>
        <v>71600.980028787264</v>
      </c>
      <c r="I24" s="13" t="s">
        <v>43</v>
      </c>
      <c r="J24" s="16">
        <v>1397619</v>
      </c>
      <c r="L24" s="6">
        <v>10971</v>
      </c>
      <c r="M24" s="1">
        <v>0</v>
      </c>
      <c r="O24" s="1">
        <v>0</v>
      </c>
      <c r="P24" s="1">
        <v>0</v>
      </c>
      <c r="R24" s="1">
        <v>148029</v>
      </c>
      <c r="S24" s="1">
        <v>0</v>
      </c>
      <c r="U24" s="1">
        <v>0</v>
      </c>
      <c r="V24" s="9">
        <v>0</v>
      </c>
    </row>
    <row r="25" spans="1:22">
      <c r="A25" s="1" t="s">
        <v>44</v>
      </c>
      <c r="B25" s="6">
        <v>0</v>
      </c>
      <c r="C25" s="1">
        <v>0</v>
      </c>
      <c r="D25" s="1">
        <v>0</v>
      </c>
      <c r="E25" s="1">
        <v>0</v>
      </c>
      <c r="F25" s="1">
        <v>0</v>
      </c>
      <c r="G25" s="9">
        <f>SUM(ME_FINANCIAL)</f>
        <v>0</v>
      </c>
      <c r="I25" s="13"/>
      <c r="J25" s="16"/>
      <c r="L25" s="6"/>
      <c r="V25" s="9"/>
    </row>
    <row r="26" spans="1:22">
      <c r="A26" s="1" t="s">
        <v>45</v>
      </c>
      <c r="B26" s="6">
        <v>0</v>
      </c>
      <c r="C26" s="1">
        <v>0</v>
      </c>
      <c r="D26" s="1">
        <v>0</v>
      </c>
      <c r="E26" s="1">
        <v>0</v>
      </c>
      <c r="F26" s="1">
        <v>0</v>
      </c>
      <c r="G26" s="9">
        <f>SUM(MD_FINANCIAL)</f>
        <v>0</v>
      </c>
      <c r="I26" s="13" t="s">
        <v>46</v>
      </c>
      <c r="J26" s="16">
        <f>SUM(ADD_FINANCIAL)-SUM(LESS_FINANCIAL)</f>
        <v>5385941.5099999998</v>
      </c>
      <c r="L26" s="6"/>
      <c r="V26" s="9"/>
    </row>
    <row r="27" spans="1:22">
      <c r="A27" s="1" t="s">
        <v>47</v>
      </c>
      <c r="B27" s="6">
        <v>0</v>
      </c>
      <c r="C27" s="1">
        <v>0</v>
      </c>
      <c r="D27" s="1">
        <v>0</v>
      </c>
      <c r="E27" s="1">
        <v>0</v>
      </c>
      <c r="F27" s="1">
        <v>0</v>
      </c>
      <c r="G27" s="9">
        <f>SUM(MA_FINANCIAL)</f>
        <v>0</v>
      </c>
      <c r="I27" s="13" t="s">
        <v>48</v>
      </c>
      <c r="J27" s="16">
        <f>SUM(ALL_BLOCKS)</f>
        <v>5385941.5099999998</v>
      </c>
      <c r="L27" s="6"/>
      <c r="V27" s="9"/>
    </row>
    <row r="28" spans="1:22">
      <c r="A28" s="1" t="s">
        <v>49</v>
      </c>
      <c r="B28" s="6">
        <v>0</v>
      </c>
      <c r="C28" s="1">
        <v>0</v>
      </c>
      <c r="D28" s="1">
        <v>0</v>
      </c>
      <c r="E28" s="1">
        <v>0</v>
      </c>
      <c r="F28" s="1">
        <v>0</v>
      </c>
      <c r="G28" s="9">
        <f>SUM(MI_FINANCIAL)</f>
        <v>0</v>
      </c>
      <c r="I28" s="14"/>
      <c r="J28" s="17"/>
      <c r="L28" s="6"/>
      <c r="V28" s="9"/>
    </row>
    <row r="29" spans="1:22">
      <c r="A29" s="1" t="s">
        <v>50</v>
      </c>
      <c r="B29" s="6">
        <v>0</v>
      </c>
      <c r="C29" s="1">
        <v>0</v>
      </c>
      <c r="D29" s="1">
        <v>0</v>
      </c>
      <c r="E29" s="1">
        <v>0</v>
      </c>
      <c r="F29" s="1">
        <v>0</v>
      </c>
      <c r="G29" s="9">
        <f>SUM(MN_FINANCIAL)</f>
        <v>0</v>
      </c>
      <c r="L29" s="6"/>
      <c r="V29" s="9"/>
    </row>
    <row r="30" spans="1:22">
      <c r="A30" s="1" t="s">
        <v>51</v>
      </c>
      <c r="B30" s="6">
        <v>16005.0603011237</v>
      </c>
      <c r="C30" s="1">
        <v>34292.864470502202</v>
      </c>
      <c r="D30" s="1">
        <v>18899.663788428334</v>
      </c>
      <c r="E30" s="1">
        <v>0</v>
      </c>
      <c r="F30" s="1">
        <v>0</v>
      </c>
      <c r="G30" s="9">
        <f>SUM(MS_FINANCIAL)</f>
        <v>69197.588560054224</v>
      </c>
      <c r="L30" s="6"/>
      <c r="V30" s="9"/>
    </row>
    <row r="31" spans="1:22">
      <c r="A31" s="1" t="s">
        <v>52</v>
      </c>
      <c r="B31" s="6">
        <v>0</v>
      </c>
      <c r="C31" s="1">
        <v>0</v>
      </c>
      <c r="D31" s="1">
        <v>0</v>
      </c>
      <c r="E31" s="1">
        <v>0</v>
      </c>
      <c r="F31" s="1">
        <v>0</v>
      </c>
      <c r="G31" s="9">
        <f>SUM(MO_FINANCIAL)</f>
        <v>0</v>
      </c>
      <c r="L31" s="6"/>
      <c r="V31" s="9"/>
    </row>
    <row r="32" spans="1:22">
      <c r="A32" s="1" t="s">
        <v>53</v>
      </c>
      <c r="B32" s="6">
        <v>0</v>
      </c>
      <c r="C32" s="1">
        <v>0</v>
      </c>
      <c r="D32" s="1">
        <v>0</v>
      </c>
      <c r="E32" s="1">
        <v>0</v>
      </c>
      <c r="F32" s="1">
        <v>0</v>
      </c>
      <c r="G32" s="9">
        <f>SUM(MT_FINANCIAL)</f>
        <v>0</v>
      </c>
      <c r="L32" s="6"/>
      <c r="V32" s="9"/>
    </row>
    <row r="33" spans="1:22">
      <c r="A33" s="1" t="s">
        <v>54</v>
      </c>
      <c r="B33" s="6">
        <v>0</v>
      </c>
      <c r="C33" s="1">
        <v>0</v>
      </c>
      <c r="D33" s="1">
        <v>0</v>
      </c>
      <c r="E33" s="1">
        <v>0</v>
      </c>
      <c r="F33" s="1">
        <v>0</v>
      </c>
      <c r="G33" s="9">
        <f>SUM(NE_FINANCIAL)</f>
        <v>0</v>
      </c>
      <c r="L33" s="6"/>
      <c r="V33" s="9"/>
    </row>
    <row r="34" spans="1:22">
      <c r="A34" s="1" t="s">
        <v>55</v>
      </c>
      <c r="B34" s="6">
        <v>0</v>
      </c>
      <c r="C34" s="1">
        <v>0</v>
      </c>
      <c r="D34" s="1">
        <v>0</v>
      </c>
      <c r="E34" s="1">
        <v>0</v>
      </c>
      <c r="F34" s="1">
        <v>0</v>
      </c>
      <c r="G34" s="9">
        <f>SUM(NV_FINANCIAL)</f>
        <v>0</v>
      </c>
      <c r="L34" s="6"/>
      <c r="V34" s="9"/>
    </row>
    <row r="35" spans="1:22">
      <c r="A35" s="1" t="s">
        <v>56</v>
      </c>
      <c r="B35" s="6">
        <v>0</v>
      </c>
      <c r="C35" s="1">
        <v>0</v>
      </c>
      <c r="D35" s="1">
        <v>0</v>
      </c>
      <c r="E35" s="1">
        <v>0</v>
      </c>
      <c r="F35" s="1">
        <v>0</v>
      </c>
      <c r="G35" s="9">
        <f>SUM(NH_FINANCIAL)</f>
        <v>0</v>
      </c>
      <c r="L35" s="6"/>
      <c r="V35" s="9"/>
    </row>
    <row r="36" spans="1:22">
      <c r="A36" s="1" t="s">
        <v>57</v>
      </c>
      <c r="B36" s="6">
        <v>0</v>
      </c>
      <c r="C36" s="1">
        <v>0</v>
      </c>
      <c r="D36" s="1">
        <v>0</v>
      </c>
      <c r="E36" s="1">
        <v>0</v>
      </c>
      <c r="F36" s="1">
        <v>0</v>
      </c>
      <c r="G36" s="9">
        <f>SUM(NJ_FINANCIAL)</f>
        <v>0</v>
      </c>
      <c r="L36" s="6"/>
      <c r="V36" s="9"/>
    </row>
    <row r="37" spans="1:22">
      <c r="A37" s="1" t="s">
        <v>58</v>
      </c>
      <c r="B37" s="6">
        <v>0</v>
      </c>
      <c r="C37" s="1">
        <v>0</v>
      </c>
      <c r="D37" s="1">
        <v>0</v>
      </c>
      <c r="E37" s="1">
        <v>0</v>
      </c>
      <c r="F37" s="1">
        <v>0</v>
      </c>
      <c r="G37" s="9">
        <f>SUM(NM_FINANCIAL)</f>
        <v>0</v>
      </c>
      <c r="L37" s="6"/>
      <c r="V37" s="9"/>
    </row>
    <row r="38" spans="1:22">
      <c r="A38" s="1" t="s">
        <v>59</v>
      </c>
      <c r="B38" s="6">
        <v>0</v>
      </c>
      <c r="C38" s="1">
        <v>0</v>
      </c>
      <c r="D38" s="1">
        <v>0</v>
      </c>
      <c r="E38" s="1">
        <v>0</v>
      </c>
      <c r="F38" s="1">
        <v>0</v>
      </c>
      <c r="G38" s="9">
        <f>SUM(NY_FINANCIAL)</f>
        <v>0</v>
      </c>
      <c r="L38" s="6"/>
      <c r="V38" s="9"/>
    </row>
    <row r="39" spans="1:22">
      <c r="A39" s="1" t="s">
        <v>60</v>
      </c>
      <c r="B39" s="6">
        <v>0</v>
      </c>
      <c r="C39" s="1">
        <v>0</v>
      </c>
      <c r="D39" s="1">
        <v>0</v>
      </c>
      <c r="E39" s="1">
        <v>0</v>
      </c>
      <c r="F39" s="1">
        <v>0</v>
      </c>
      <c r="G39" s="9">
        <f>SUM(NC_FINANCIAL)</f>
        <v>0</v>
      </c>
      <c r="L39" s="6"/>
      <c r="V39" s="9"/>
    </row>
    <row r="40" spans="1:22">
      <c r="A40" s="1" t="s">
        <v>61</v>
      </c>
      <c r="B40" s="6">
        <v>0</v>
      </c>
      <c r="C40" s="1">
        <v>0</v>
      </c>
      <c r="D40" s="1">
        <v>0</v>
      </c>
      <c r="E40" s="1">
        <v>0</v>
      </c>
      <c r="F40" s="1">
        <v>0</v>
      </c>
      <c r="G40" s="9">
        <f>SUM(ND_FINANCIAL)</f>
        <v>0</v>
      </c>
      <c r="L40" s="6"/>
      <c r="V40" s="9"/>
    </row>
    <row r="41" spans="1:22">
      <c r="A41" s="1" t="s">
        <v>62</v>
      </c>
      <c r="B41" s="6">
        <v>0</v>
      </c>
      <c r="C41" s="1">
        <v>0</v>
      </c>
      <c r="D41" s="1">
        <v>0</v>
      </c>
      <c r="E41" s="1">
        <v>0</v>
      </c>
      <c r="F41" s="1">
        <v>0</v>
      </c>
      <c r="G41" s="9">
        <f>SUM(OH_FINANCIAL)</f>
        <v>0</v>
      </c>
      <c r="L41" s="6"/>
      <c r="V41" s="9"/>
    </row>
    <row r="42" spans="1:22">
      <c r="A42" s="1" t="s">
        <v>63</v>
      </c>
      <c r="B42" s="6">
        <v>0</v>
      </c>
      <c r="C42" s="1">
        <v>0</v>
      </c>
      <c r="D42" s="1">
        <v>0</v>
      </c>
      <c r="E42" s="1">
        <v>0</v>
      </c>
      <c r="F42" s="1">
        <v>0</v>
      </c>
      <c r="G42" s="9">
        <f>SUM(OK_FINANCIAL)</f>
        <v>0</v>
      </c>
      <c r="L42" s="6"/>
      <c r="V42" s="9"/>
    </row>
    <row r="43" spans="1:22">
      <c r="A43" s="1" t="s">
        <v>64</v>
      </c>
      <c r="B43" s="6">
        <v>0</v>
      </c>
      <c r="C43" s="1">
        <v>0</v>
      </c>
      <c r="D43" s="1">
        <v>0</v>
      </c>
      <c r="E43" s="1">
        <v>0</v>
      </c>
      <c r="F43" s="1">
        <v>0</v>
      </c>
      <c r="G43" s="9">
        <f>SUM(OR_FINANCIAL)</f>
        <v>0</v>
      </c>
      <c r="L43" s="6"/>
      <c r="V43" s="9"/>
    </row>
    <row r="44" spans="1:22">
      <c r="A44" s="1" t="s">
        <v>65</v>
      </c>
      <c r="B44" s="6">
        <v>0</v>
      </c>
      <c r="C44" s="1">
        <v>0</v>
      </c>
      <c r="D44" s="1">
        <v>0</v>
      </c>
      <c r="E44" s="1">
        <v>0</v>
      </c>
      <c r="F44" s="1">
        <v>0</v>
      </c>
      <c r="G44" s="9">
        <f>SUM(PA_FINANCIAL)</f>
        <v>0</v>
      </c>
      <c r="L44" s="6"/>
      <c r="V44" s="9"/>
    </row>
    <row r="45" spans="1:22">
      <c r="A45" s="1" t="s">
        <v>66</v>
      </c>
      <c r="B45" s="6">
        <v>0</v>
      </c>
      <c r="C45" s="1">
        <v>0</v>
      </c>
      <c r="D45" s="1">
        <v>0</v>
      </c>
      <c r="E45" s="1">
        <v>0</v>
      </c>
      <c r="F45" s="1">
        <v>0</v>
      </c>
      <c r="G45" s="9">
        <f>SUM(PR_FINANCIAL)</f>
        <v>0</v>
      </c>
      <c r="L45" s="6"/>
      <c r="V45" s="9"/>
    </row>
    <row r="46" spans="1:22">
      <c r="A46" s="1" t="s">
        <v>67</v>
      </c>
      <c r="B46" s="6">
        <v>0</v>
      </c>
      <c r="C46" s="1">
        <v>0</v>
      </c>
      <c r="D46" s="1">
        <v>0</v>
      </c>
      <c r="E46" s="1">
        <v>0</v>
      </c>
      <c r="F46" s="1">
        <v>0</v>
      </c>
      <c r="G46" s="9">
        <f>SUM(RI_FINANCIAL)</f>
        <v>0</v>
      </c>
      <c r="L46" s="6"/>
      <c r="V46" s="9"/>
    </row>
    <row r="47" spans="1:22">
      <c r="A47" s="1" t="s">
        <v>68</v>
      </c>
      <c r="B47" s="6">
        <v>0</v>
      </c>
      <c r="C47" s="1">
        <v>0</v>
      </c>
      <c r="D47" s="1">
        <v>0</v>
      </c>
      <c r="E47" s="1">
        <v>0</v>
      </c>
      <c r="F47" s="1">
        <v>0</v>
      </c>
      <c r="G47" s="9">
        <f>SUM(SC_FINANCIAL)</f>
        <v>0</v>
      </c>
      <c r="L47" s="6"/>
      <c r="V47" s="9"/>
    </row>
    <row r="48" spans="1:22">
      <c r="A48" s="1" t="s">
        <v>69</v>
      </c>
      <c r="B48" s="6">
        <v>0</v>
      </c>
      <c r="C48" s="1">
        <v>0</v>
      </c>
      <c r="D48" s="1">
        <v>0</v>
      </c>
      <c r="E48" s="1">
        <v>0</v>
      </c>
      <c r="F48" s="1">
        <v>0</v>
      </c>
      <c r="G48" s="9">
        <f>SUM(SD_FINANCIAL)</f>
        <v>0</v>
      </c>
      <c r="L48" s="6"/>
      <c r="V48" s="9"/>
    </row>
    <row r="49" spans="1:22">
      <c r="A49" s="1" t="s">
        <v>70</v>
      </c>
      <c r="B49" s="6">
        <v>0</v>
      </c>
      <c r="C49" s="1">
        <v>0</v>
      </c>
      <c r="D49" s="1">
        <v>0</v>
      </c>
      <c r="E49" s="1">
        <v>0</v>
      </c>
      <c r="F49" s="1">
        <v>0</v>
      </c>
      <c r="G49" s="9">
        <f>SUM(TN_FINANCIAL)</f>
        <v>0</v>
      </c>
      <c r="L49" s="6"/>
      <c r="V49" s="9"/>
    </row>
    <row r="50" spans="1:22">
      <c r="A50" s="1" t="s">
        <v>71</v>
      </c>
      <c r="B50" s="6">
        <v>0</v>
      </c>
      <c r="C50" s="1">
        <v>0</v>
      </c>
      <c r="D50" s="1">
        <v>0</v>
      </c>
      <c r="E50" s="1">
        <v>0</v>
      </c>
      <c r="F50" s="1">
        <v>0</v>
      </c>
      <c r="G50" s="9">
        <f>SUM(TX_FINANCIAL)</f>
        <v>0</v>
      </c>
      <c r="L50" s="6"/>
      <c r="V50" s="9"/>
    </row>
    <row r="51" spans="1:22">
      <c r="A51" s="1" t="s">
        <v>72</v>
      </c>
      <c r="B51" s="6">
        <v>0</v>
      </c>
      <c r="C51" s="1">
        <v>0</v>
      </c>
      <c r="D51" s="1">
        <v>0</v>
      </c>
      <c r="E51" s="1">
        <v>0</v>
      </c>
      <c r="F51" s="1">
        <v>0</v>
      </c>
      <c r="G51" s="9">
        <f>SUM(UT_FINANCIAL)</f>
        <v>0</v>
      </c>
      <c r="L51" s="6"/>
      <c r="V51" s="9"/>
    </row>
    <row r="52" spans="1:22">
      <c r="A52" s="1" t="s">
        <v>73</v>
      </c>
      <c r="B52" s="6">
        <v>0</v>
      </c>
      <c r="C52" s="1">
        <v>0</v>
      </c>
      <c r="D52" s="1">
        <v>0</v>
      </c>
      <c r="E52" s="1">
        <v>0</v>
      </c>
      <c r="F52" s="1">
        <v>0</v>
      </c>
      <c r="G52" s="9">
        <f>SUM(VT_FINANCIAL)</f>
        <v>0</v>
      </c>
      <c r="L52" s="6"/>
      <c r="V52" s="9"/>
    </row>
    <row r="53" spans="1:22">
      <c r="A53" s="1" t="s">
        <v>74</v>
      </c>
      <c r="B53" s="6">
        <v>0</v>
      </c>
      <c r="C53" s="1">
        <v>0</v>
      </c>
      <c r="D53" s="1">
        <v>0</v>
      </c>
      <c r="E53" s="1">
        <v>0</v>
      </c>
      <c r="F53" s="1">
        <v>0</v>
      </c>
      <c r="G53" s="9">
        <f>SUM(VA_FINANCIAL)</f>
        <v>0</v>
      </c>
      <c r="L53" s="6"/>
      <c r="V53" s="9"/>
    </row>
    <row r="54" spans="1:22">
      <c r="A54" s="1" t="s">
        <v>75</v>
      </c>
      <c r="B54" s="6">
        <v>0</v>
      </c>
      <c r="C54" s="1">
        <v>0</v>
      </c>
      <c r="D54" s="1">
        <v>0</v>
      </c>
      <c r="E54" s="1">
        <v>0</v>
      </c>
      <c r="F54" s="1">
        <v>0</v>
      </c>
      <c r="G54" s="9">
        <f>SUM(WA_FINANCIAL)</f>
        <v>0</v>
      </c>
      <c r="L54" s="6"/>
      <c r="V54" s="9"/>
    </row>
    <row r="55" spans="1:22">
      <c r="A55" s="1" t="s">
        <v>76</v>
      </c>
      <c r="B55" s="6">
        <v>0</v>
      </c>
      <c r="C55" s="1">
        <v>0</v>
      </c>
      <c r="D55" s="1">
        <v>0</v>
      </c>
      <c r="E55" s="1">
        <v>0</v>
      </c>
      <c r="F55" s="1">
        <v>0</v>
      </c>
      <c r="G55" s="9">
        <f>SUM(WV_FINANCIAL)</f>
        <v>0</v>
      </c>
      <c r="L55" s="6"/>
      <c r="V55" s="9"/>
    </row>
    <row r="56" spans="1:22">
      <c r="A56" s="1" t="s">
        <v>77</v>
      </c>
      <c r="B56" s="6">
        <v>0</v>
      </c>
      <c r="C56" s="1">
        <v>0</v>
      </c>
      <c r="D56" s="1">
        <v>0</v>
      </c>
      <c r="E56" s="1">
        <v>0</v>
      </c>
      <c r="F56" s="1">
        <v>0</v>
      </c>
      <c r="G56" s="9">
        <f>SUM(WI_FINANCIAL)</f>
        <v>0</v>
      </c>
      <c r="L56" s="6"/>
      <c r="V56" s="9"/>
    </row>
    <row r="57" spans="1:22">
      <c r="A57" s="1" t="s">
        <v>78</v>
      </c>
      <c r="B57" s="6">
        <v>0</v>
      </c>
      <c r="C57" s="1">
        <v>0</v>
      </c>
      <c r="D57" s="1">
        <v>0</v>
      </c>
      <c r="E57" s="1">
        <v>0</v>
      </c>
      <c r="F57" s="1">
        <v>0</v>
      </c>
      <c r="G57" s="9">
        <f>SUM(WY_FINANCIAL)</f>
        <v>0</v>
      </c>
      <c r="L57" s="6"/>
      <c r="V57" s="9"/>
    </row>
    <row r="58" spans="1:22">
      <c r="A58" s="1" t="s">
        <v>79</v>
      </c>
      <c r="B58" s="6">
        <v>0</v>
      </c>
      <c r="C58" s="1">
        <v>0</v>
      </c>
      <c r="D58" s="1">
        <v>0</v>
      </c>
      <c r="E58" s="1">
        <v>0</v>
      </c>
      <c r="F58" s="1">
        <v>0</v>
      </c>
      <c r="G58" s="9">
        <f>SUM(OT_FINANCIAL)</f>
        <v>0</v>
      </c>
      <c r="L58" s="6"/>
      <c r="V58" s="9"/>
    </row>
    <row r="59" spans="1:22">
      <c r="B59" s="6"/>
      <c r="G59" s="9"/>
      <c r="L59" s="6"/>
      <c r="V59" s="9"/>
    </row>
    <row r="60" spans="1:22">
      <c r="A60" s="1" t="s">
        <v>8</v>
      </c>
      <c r="B60" s="6">
        <f>SUM(LIFE)</f>
        <v>95497.661041522748</v>
      </c>
      <c r="C60" s="1">
        <f>SUM(ALLOCATED)</f>
        <v>855117.8363727564</v>
      </c>
      <c r="D60" s="1">
        <f>SUM(HEALTH)</f>
        <v>4435326.012585721</v>
      </c>
      <c r="E60" s="1">
        <f>SUM(UNALLOCATED)</f>
        <v>0</v>
      </c>
      <c r="F60" s="1">
        <f>SUM(LTC)</f>
        <v>0</v>
      </c>
      <c r="G60" s="9">
        <f>SUM(ALL_BLOCKS)</f>
        <v>5385941.5099999998</v>
      </c>
      <c r="L60" s="6">
        <f>SUM(LIFE_CALLED)</f>
        <v>10971</v>
      </c>
      <c r="M60" s="1">
        <f>SUM(LIFE_REFUNDED)</f>
        <v>0</v>
      </c>
      <c r="O60" s="1">
        <f>SUM(ALLOC_CALLED)</f>
        <v>0</v>
      </c>
      <c r="P60" s="1">
        <f>SUM(ALLOC_REFUNDED)</f>
        <v>0</v>
      </c>
      <c r="R60" s="1">
        <f>SUM(HEALTH_CALLED)</f>
        <v>148029</v>
      </c>
      <c r="S60" s="1">
        <f>SUM(HEALTH_REFUNDED)</f>
        <v>0</v>
      </c>
      <c r="U60" s="1">
        <f>SUM(UNALLOC_CALLED)</f>
        <v>0</v>
      </c>
      <c r="V60" s="9">
        <f>SUM(UNALLOC_REFUNDED)</f>
        <v>0</v>
      </c>
    </row>
    <row r="61" spans="1:22" ht="5.0999999999999996" customHeight="1">
      <c r="B61" s="6"/>
      <c r="G61" s="9"/>
      <c r="L61" s="6"/>
      <c r="V61" s="9"/>
    </row>
    <row r="62" spans="1:22">
      <c r="B62" s="6"/>
      <c r="G62" s="9"/>
      <c r="L62" s="78" t="s">
        <v>80</v>
      </c>
      <c r="M62" s="79"/>
      <c r="N62" s="79"/>
      <c r="O62" s="79"/>
      <c r="P62" s="79"/>
      <c r="Q62" s="79"/>
      <c r="R62" s="79"/>
      <c r="S62" s="79"/>
      <c r="T62" s="79"/>
      <c r="U62" s="79"/>
      <c r="V62" s="80"/>
    </row>
    <row r="63" spans="1:22">
      <c r="B63" s="6"/>
      <c r="G63" s="9"/>
      <c r="L63" s="81"/>
      <c r="M63" s="79"/>
      <c r="N63" s="79"/>
      <c r="O63" s="79"/>
      <c r="P63" s="79"/>
      <c r="Q63" s="79"/>
      <c r="R63" s="79"/>
      <c r="S63" s="79"/>
      <c r="T63" s="79"/>
      <c r="U63" s="79"/>
      <c r="V63" s="80"/>
    </row>
    <row r="64" spans="1:22">
      <c r="B64" s="8"/>
      <c r="C64" s="5"/>
      <c r="D64" s="5"/>
      <c r="E64" s="5"/>
      <c r="F64" s="5"/>
      <c r="G64" s="11"/>
      <c r="L64" s="82"/>
      <c r="M64" s="83"/>
      <c r="N64" s="83"/>
      <c r="O64" s="83"/>
      <c r="P64" s="83"/>
      <c r="Q64" s="83"/>
      <c r="R64" s="83"/>
      <c r="S64" s="83"/>
      <c r="T64" s="83"/>
      <c r="U64" s="83"/>
      <c r="V64" s="84"/>
    </row>
  </sheetData>
  <mergeCells count="8">
    <mergeCell ref="L62:V64"/>
    <mergeCell ref="A1:G1"/>
    <mergeCell ref="B3:G3"/>
    <mergeCell ref="L3:V3"/>
    <mergeCell ref="L4:M4"/>
    <mergeCell ref="O4:P4"/>
    <mergeCell ref="R4:S4"/>
    <mergeCell ref="U4:V4"/>
  </mergeCells>
  <pageMargins left="0" right="0" top="0" bottom="0" header="0" footer="0"/>
  <pageSetup scale="48"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pageSetUpPr fitToPage="1"/>
  </sheetPr>
  <dimension ref="A1:V64"/>
  <sheetViews>
    <sheetView zoomScale="75" workbookViewId="0">
      <selection sqref="A1:G1"/>
    </sheetView>
  </sheetViews>
  <sheetFormatPr defaultColWidth="9.109375" defaultRowHeight="14.4"/>
  <cols>
    <col min="1" max="1" width="20" style="1" customWidth="1"/>
    <col min="2" max="7" width="15" style="1" customWidth="1"/>
    <col min="8" max="8" width="1" style="1" customWidth="1"/>
    <col min="9" max="9" width="30" style="1" customWidth="1"/>
    <col min="10" max="10" width="15" style="1" customWidth="1"/>
    <col min="11" max="11" width="1" style="1" customWidth="1"/>
    <col min="12" max="13" width="15" style="1" customWidth="1"/>
    <col min="14" max="14" width="1" style="1" customWidth="1"/>
    <col min="15" max="16" width="15" style="1" customWidth="1"/>
    <col min="17" max="17" width="1" style="1" customWidth="1"/>
    <col min="18" max="19" width="15" style="1" customWidth="1"/>
    <col min="20" max="20" width="1" style="1" customWidth="1"/>
    <col min="21" max="22" width="15" style="1" customWidth="1"/>
    <col min="23" max="23" width="9.109375" style="1" customWidth="1"/>
    <col min="24" max="16384" width="9.109375" style="1"/>
  </cols>
  <sheetData>
    <row r="1" spans="1:22">
      <c r="A1" s="85" t="s">
        <v>149</v>
      </c>
      <c r="B1" s="79"/>
      <c r="C1" s="79"/>
      <c r="D1" s="79"/>
      <c r="E1" s="79"/>
      <c r="F1" s="79"/>
      <c r="G1" s="79"/>
    </row>
    <row r="3" spans="1:22">
      <c r="B3" s="86" t="s">
        <v>1</v>
      </c>
      <c r="C3" s="87"/>
      <c r="D3" s="87"/>
      <c r="E3" s="87"/>
      <c r="F3" s="87"/>
      <c r="G3" s="88"/>
      <c r="L3" s="89" t="s">
        <v>2</v>
      </c>
      <c r="M3" s="90"/>
      <c r="N3" s="90"/>
      <c r="O3" s="90"/>
      <c r="P3" s="90"/>
      <c r="Q3" s="90"/>
      <c r="R3" s="90"/>
      <c r="S3" s="90"/>
      <c r="T3" s="90"/>
      <c r="U3" s="90"/>
      <c r="V3" s="91"/>
    </row>
    <row r="4" spans="1:22">
      <c r="B4" s="6"/>
      <c r="G4" s="9"/>
      <c r="L4" s="92" t="s">
        <v>3</v>
      </c>
      <c r="M4" s="93"/>
      <c r="N4" s="3"/>
      <c r="O4" s="94" t="s">
        <v>4</v>
      </c>
      <c r="P4" s="93"/>
      <c r="Q4" s="3"/>
      <c r="R4" s="94" t="s">
        <v>5</v>
      </c>
      <c r="S4" s="93"/>
      <c r="T4" s="3"/>
      <c r="U4" s="94" t="s">
        <v>6</v>
      </c>
      <c r="V4" s="95"/>
    </row>
    <row r="5" spans="1:22" ht="60" customHeight="1">
      <c r="B5" s="7" t="s">
        <v>3</v>
      </c>
      <c r="C5" s="4" t="s">
        <v>4</v>
      </c>
      <c r="D5" s="4" t="s">
        <v>5</v>
      </c>
      <c r="E5" s="4" t="s">
        <v>6</v>
      </c>
      <c r="F5" s="4" t="s">
        <v>7</v>
      </c>
      <c r="G5" s="10" t="s">
        <v>8</v>
      </c>
      <c r="L5" s="19" t="s">
        <v>9</v>
      </c>
      <c r="M5" s="18" t="s">
        <v>10</v>
      </c>
      <c r="N5" s="18"/>
      <c r="O5" s="18" t="s">
        <v>9</v>
      </c>
      <c r="P5" s="18" t="s">
        <v>10</v>
      </c>
      <c r="Q5" s="18"/>
      <c r="R5" s="18" t="s">
        <v>9</v>
      </c>
      <c r="S5" s="18" t="s">
        <v>10</v>
      </c>
      <c r="T5" s="18"/>
      <c r="U5" s="18" t="s">
        <v>9</v>
      </c>
      <c r="V5" s="20" t="s">
        <v>10</v>
      </c>
    </row>
    <row r="6" spans="1:22">
      <c r="A6" s="1" t="s">
        <v>11</v>
      </c>
      <c r="B6" s="6">
        <v>0</v>
      </c>
      <c r="C6" s="1">
        <v>12091.022601349927</v>
      </c>
      <c r="D6" s="1">
        <v>0</v>
      </c>
      <c r="E6" s="1">
        <v>0</v>
      </c>
      <c r="F6" s="1">
        <v>0</v>
      </c>
      <c r="G6" s="9">
        <f>SUM(AL_FINANCIAL)</f>
        <v>12091.022601349927</v>
      </c>
      <c r="L6" s="6"/>
      <c r="V6" s="9"/>
    </row>
    <row r="7" spans="1:22">
      <c r="A7" s="1" t="s">
        <v>12</v>
      </c>
      <c r="B7" s="6">
        <v>0</v>
      </c>
      <c r="C7" s="1">
        <v>0</v>
      </c>
      <c r="D7" s="1">
        <v>0</v>
      </c>
      <c r="E7" s="1">
        <v>0</v>
      </c>
      <c r="F7" s="1">
        <v>0</v>
      </c>
      <c r="G7" s="9">
        <f>SUM(AK_FINANCIAL)</f>
        <v>0</v>
      </c>
      <c r="I7" s="12"/>
      <c r="J7" s="15"/>
      <c r="L7" s="6"/>
      <c r="V7" s="9"/>
    </row>
    <row r="8" spans="1:22">
      <c r="A8" s="1" t="s">
        <v>13</v>
      </c>
      <c r="B8" s="6">
        <v>0</v>
      </c>
      <c r="C8" s="1">
        <v>742927.39241458219</v>
      </c>
      <c r="D8" s="1">
        <v>0</v>
      </c>
      <c r="E8" s="1">
        <v>0</v>
      </c>
      <c r="F8" s="1">
        <v>0</v>
      </c>
      <c r="G8" s="9">
        <f>SUM(AZ_FINANCIAL)</f>
        <v>742927.39241458219</v>
      </c>
      <c r="I8" s="13" t="s">
        <v>14</v>
      </c>
      <c r="J8" s="16"/>
      <c r="L8" s="6">
        <v>0</v>
      </c>
      <c r="M8" s="1">
        <v>0</v>
      </c>
      <c r="O8" s="1">
        <v>644884</v>
      </c>
      <c r="P8" s="1">
        <v>0</v>
      </c>
      <c r="R8" s="1">
        <v>0</v>
      </c>
      <c r="S8" s="1">
        <v>0</v>
      </c>
      <c r="U8" s="1">
        <v>0</v>
      </c>
      <c r="V8" s="9">
        <v>0</v>
      </c>
    </row>
    <row r="9" spans="1:22">
      <c r="A9" s="1" t="s">
        <v>15</v>
      </c>
      <c r="B9" s="6">
        <v>0</v>
      </c>
      <c r="C9" s="1">
        <v>186986.0746837609</v>
      </c>
      <c r="D9" s="1">
        <v>0</v>
      </c>
      <c r="E9" s="1">
        <v>0</v>
      </c>
      <c r="F9" s="1">
        <v>0</v>
      </c>
      <c r="G9" s="9">
        <f>SUM(AR_FINANCIAL)</f>
        <v>186986.0746837609</v>
      </c>
      <c r="I9" s="13"/>
      <c r="J9" s="16"/>
      <c r="L9" s="6">
        <v>123926</v>
      </c>
      <c r="M9" s="1">
        <v>0</v>
      </c>
      <c r="O9" s="1">
        <v>0</v>
      </c>
      <c r="P9" s="1">
        <v>0</v>
      </c>
      <c r="R9" s="1">
        <v>0</v>
      </c>
      <c r="S9" s="1">
        <v>0</v>
      </c>
      <c r="U9" s="1">
        <v>0</v>
      </c>
      <c r="V9" s="9">
        <v>0</v>
      </c>
    </row>
    <row r="10" spans="1:22">
      <c r="A10" s="1" t="s">
        <v>16</v>
      </c>
      <c r="B10" s="6">
        <v>591.7989819193491</v>
      </c>
      <c r="C10" s="1">
        <v>3738210.144872711</v>
      </c>
      <c r="D10" s="1">
        <v>3230.6939813131739</v>
      </c>
      <c r="E10" s="1">
        <v>0</v>
      </c>
      <c r="F10" s="1">
        <v>0</v>
      </c>
      <c r="G10" s="9">
        <f>SUM(CA_FINANCIAL)</f>
        <v>3742032.6378359436</v>
      </c>
      <c r="I10" s="13" t="s">
        <v>17</v>
      </c>
      <c r="J10" s="16">
        <v>110355316</v>
      </c>
      <c r="L10" s="6">
        <v>97750</v>
      </c>
      <c r="M10" s="1">
        <v>150000</v>
      </c>
      <c r="O10" s="1">
        <v>9531750</v>
      </c>
      <c r="P10" s="1">
        <v>4870000</v>
      </c>
      <c r="R10" s="1">
        <v>627500</v>
      </c>
      <c r="S10" s="1">
        <v>900000</v>
      </c>
      <c r="U10" s="1">
        <v>0</v>
      </c>
      <c r="V10" s="9">
        <v>0</v>
      </c>
    </row>
    <row r="11" spans="1:22">
      <c r="A11" s="1" t="s">
        <v>18</v>
      </c>
      <c r="B11" s="6">
        <v>0</v>
      </c>
      <c r="C11" s="1">
        <v>2440607.4554233905</v>
      </c>
      <c r="D11" s="1">
        <v>0</v>
      </c>
      <c r="E11" s="1">
        <v>0</v>
      </c>
      <c r="F11" s="1">
        <v>0</v>
      </c>
      <c r="G11" s="9">
        <f>SUM(CO_FINANCIAL)</f>
        <v>2440607.4554233905</v>
      </c>
      <c r="I11" s="13"/>
      <c r="J11" s="16"/>
      <c r="L11" s="6">
        <v>0</v>
      </c>
      <c r="M11" s="1">
        <v>0</v>
      </c>
      <c r="O11" s="1">
        <v>4750000</v>
      </c>
      <c r="P11" s="1">
        <v>36245050</v>
      </c>
      <c r="R11" s="1">
        <v>0</v>
      </c>
      <c r="S11" s="1">
        <v>0</v>
      </c>
      <c r="U11" s="1">
        <v>0</v>
      </c>
      <c r="V11" s="9">
        <v>0</v>
      </c>
    </row>
    <row r="12" spans="1:22">
      <c r="A12" s="1" t="s">
        <v>19</v>
      </c>
      <c r="B12" s="6">
        <v>0</v>
      </c>
      <c r="C12" s="1">
        <v>9547.2925326373479</v>
      </c>
      <c r="D12" s="1">
        <v>0</v>
      </c>
      <c r="E12" s="1">
        <v>0</v>
      </c>
      <c r="F12" s="1">
        <v>0</v>
      </c>
      <c r="G12" s="9">
        <f>SUM(CT_FINANCIAL)</f>
        <v>9547.2925326373479</v>
      </c>
      <c r="I12" s="13" t="s">
        <v>20</v>
      </c>
      <c r="J12" s="16"/>
      <c r="L12" s="6"/>
      <c r="V12" s="9"/>
    </row>
    <row r="13" spans="1:22">
      <c r="A13" s="1" t="s">
        <v>21</v>
      </c>
      <c r="B13" s="6">
        <v>0</v>
      </c>
      <c r="C13" s="1">
        <v>0</v>
      </c>
      <c r="D13" s="1">
        <v>0</v>
      </c>
      <c r="E13" s="1">
        <v>0</v>
      </c>
      <c r="F13" s="1">
        <v>0</v>
      </c>
      <c r="G13" s="9">
        <f>SUM(DE_FINANCIAL)</f>
        <v>0</v>
      </c>
      <c r="I13" s="13" t="s">
        <v>22</v>
      </c>
      <c r="J13" s="16">
        <v>669896</v>
      </c>
      <c r="L13" s="6"/>
      <c r="V13" s="9"/>
    </row>
    <row r="14" spans="1:22">
      <c r="A14" s="1" t="s">
        <v>23</v>
      </c>
      <c r="B14" s="6">
        <v>0</v>
      </c>
      <c r="C14" s="1">
        <v>0</v>
      </c>
      <c r="D14" s="1">
        <v>0</v>
      </c>
      <c r="E14" s="1">
        <v>0</v>
      </c>
      <c r="F14" s="1">
        <v>0</v>
      </c>
      <c r="G14" s="9">
        <f>SUM(DC_FINANCIAL)</f>
        <v>0</v>
      </c>
      <c r="I14" s="13" t="s">
        <v>24</v>
      </c>
      <c r="J14" s="16">
        <v>784288</v>
      </c>
      <c r="L14" s="6"/>
      <c r="V14" s="9"/>
    </row>
    <row r="15" spans="1:22">
      <c r="A15" s="1" t="s">
        <v>25</v>
      </c>
      <c r="B15" s="6">
        <v>1409.5105336718602</v>
      </c>
      <c r="C15" s="1">
        <v>2373393.5665416829</v>
      </c>
      <c r="D15" s="1">
        <v>0</v>
      </c>
      <c r="E15" s="1">
        <v>0</v>
      </c>
      <c r="F15" s="1">
        <v>0</v>
      </c>
      <c r="G15" s="9">
        <f>SUM(FL_FINANCIAL)</f>
        <v>2374803.0770753548</v>
      </c>
      <c r="I15" s="13" t="s">
        <v>26</v>
      </c>
      <c r="J15" s="16">
        <v>590262.02999999956</v>
      </c>
      <c r="L15" s="6">
        <v>0</v>
      </c>
      <c r="M15" s="1">
        <v>0</v>
      </c>
      <c r="O15" s="1">
        <v>5300000</v>
      </c>
      <c r="P15" s="1">
        <v>142450</v>
      </c>
      <c r="R15" s="1">
        <v>0</v>
      </c>
      <c r="S15" s="1">
        <v>0</v>
      </c>
      <c r="U15" s="1">
        <v>0</v>
      </c>
      <c r="V15" s="9">
        <v>0</v>
      </c>
    </row>
    <row r="16" spans="1:22">
      <c r="A16" s="1" t="s">
        <v>27</v>
      </c>
      <c r="B16" s="6">
        <v>440.00652362093956</v>
      </c>
      <c r="C16" s="1">
        <v>216462.37733216991</v>
      </c>
      <c r="D16" s="1">
        <v>2817.1996630782805</v>
      </c>
      <c r="E16" s="1">
        <v>0</v>
      </c>
      <c r="F16" s="1">
        <v>0</v>
      </c>
      <c r="G16" s="9">
        <f>SUM(GA_FINANCIAL)</f>
        <v>219719.58351886913</v>
      </c>
      <c r="I16" s="13" t="s">
        <v>28</v>
      </c>
      <c r="J16" s="16">
        <v>0</v>
      </c>
      <c r="L16" s="6">
        <v>664</v>
      </c>
      <c r="M16" s="1">
        <v>0</v>
      </c>
      <c r="O16" s="1">
        <v>380963</v>
      </c>
      <c r="P16" s="1">
        <v>1461.13</v>
      </c>
      <c r="R16" s="1">
        <v>0</v>
      </c>
      <c r="S16" s="1">
        <v>0</v>
      </c>
      <c r="U16" s="1">
        <v>0</v>
      </c>
      <c r="V16" s="9">
        <v>0</v>
      </c>
    </row>
    <row r="17" spans="1:22">
      <c r="A17" s="1" t="s">
        <v>29</v>
      </c>
      <c r="B17" s="6">
        <v>0</v>
      </c>
      <c r="C17" s="1">
        <v>9925.8612108935122</v>
      </c>
      <c r="D17" s="1">
        <v>0</v>
      </c>
      <c r="E17" s="1">
        <v>0</v>
      </c>
      <c r="F17" s="1">
        <v>0</v>
      </c>
      <c r="G17" s="9">
        <f>SUM(HI_FINANCIAL)</f>
        <v>9925.8612108935122</v>
      </c>
      <c r="I17" s="13"/>
      <c r="J17" s="16"/>
      <c r="L17" s="6">
        <v>0</v>
      </c>
      <c r="M17" s="1">
        <v>0</v>
      </c>
      <c r="O17" s="1">
        <v>23025</v>
      </c>
      <c r="P17" s="1">
        <v>0</v>
      </c>
      <c r="R17" s="1">
        <v>33</v>
      </c>
      <c r="S17" s="1">
        <v>0</v>
      </c>
      <c r="U17" s="1">
        <v>0</v>
      </c>
      <c r="V17" s="9">
        <v>0</v>
      </c>
    </row>
    <row r="18" spans="1:22">
      <c r="A18" s="1" t="s">
        <v>30</v>
      </c>
      <c r="B18" s="6">
        <v>0</v>
      </c>
      <c r="C18" s="1">
        <v>16726.614513525499</v>
      </c>
      <c r="D18" s="1">
        <v>0</v>
      </c>
      <c r="E18" s="1">
        <v>0</v>
      </c>
      <c r="F18" s="1">
        <v>0</v>
      </c>
      <c r="G18" s="9">
        <f>SUM(ID_FINANCIAL)</f>
        <v>16726.614513525499</v>
      </c>
      <c r="I18" s="13" t="s">
        <v>31</v>
      </c>
      <c r="J18" s="16"/>
      <c r="L18" s="6">
        <v>0</v>
      </c>
      <c r="M18" s="1">
        <v>0</v>
      </c>
      <c r="O18" s="1">
        <v>20000</v>
      </c>
      <c r="P18" s="1">
        <v>0</v>
      </c>
      <c r="R18" s="1">
        <v>0</v>
      </c>
      <c r="S18" s="1">
        <v>0</v>
      </c>
      <c r="U18" s="1">
        <v>0</v>
      </c>
      <c r="V18" s="9">
        <v>0</v>
      </c>
    </row>
    <row r="19" spans="1:22">
      <c r="A19" s="1" t="s">
        <v>32</v>
      </c>
      <c r="B19" s="6">
        <v>0</v>
      </c>
      <c r="C19" s="1">
        <v>19658.363204731722</v>
      </c>
      <c r="D19" s="1">
        <v>0</v>
      </c>
      <c r="E19" s="1">
        <v>0</v>
      </c>
      <c r="F19" s="1">
        <v>0</v>
      </c>
      <c r="G19" s="9">
        <f>SUM(IL_FINANCIAL)</f>
        <v>19658.363204731722</v>
      </c>
      <c r="I19" s="13" t="s">
        <v>33</v>
      </c>
      <c r="J19" s="16">
        <v>81145732</v>
      </c>
      <c r="L19" s="6">
        <v>0</v>
      </c>
      <c r="M19" s="1">
        <v>0</v>
      </c>
      <c r="O19" s="1">
        <v>75000</v>
      </c>
      <c r="P19" s="1">
        <v>0</v>
      </c>
      <c r="R19" s="1">
        <v>0</v>
      </c>
      <c r="S19" s="1">
        <v>0</v>
      </c>
      <c r="U19" s="1">
        <v>0</v>
      </c>
      <c r="V19" s="9">
        <v>0</v>
      </c>
    </row>
    <row r="20" spans="1:22">
      <c r="A20" s="1" t="s">
        <v>34</v>
      </c>
      <c r="B20" s="6">
        <v>0</v>
      </c>
      <c r="C20" s="1">
        <v>76898.382198956475</v>
      </c>
      <c r="D20" s="1">
        <v>0</v>
      </c>
      <c r="E20" s="1">
        <v>0</v>
      </c>
      <c r="F20" s="1">
        <v>0</v>
      </c>
      <c r="G20" s="9">
        <f>SUM(IN_FINANCIAL)</f>
        <v>76898.382198956475</v>
      </c>
      <c r="I20" s="13" t="s">
        <v>35</v>
      </c>
      <c r="J20" s="16">
        <v>-1295162.1681421685</v>
      </c>
      <c r="L20" s="6"/>
      <c r="V20" s="9"/>
    </row>
    <row r="21" spans="1:22">
      <c r="A21" s="1" t="s">
        <v>36</v>
      </c>
      <c r="B21" s="6">
        <v>0</v>
      </c>
      <c r="C21" s="1">
        <v>10536.329283769355</v>
      </c>
      <c r="D21" s="1">
        <v>0</v>
      </c>
      <c r="E21" s="1">
        <v>0</v>
      </c>
      <c r="F21" s="1">
        <v>0</v>
      </c>
      <c r="G21" s="9">
        <f>SUM(IA_FINANCIAL)</f>
        <v>10536.329283769355</v>
      </c>
      <c r="I21" s="13" t="s">
        <v>37</v>
      </c>
      <c r="J21" s="16"/>
      <c r="L21" s="6"/>
      <c r="V21" s="9"/>
    </row>
    <row r="22" spans="1:22">
      <c r="A22" s="1" t="s">
        <v>38</v>
      </c>
      <c r="B22" s="6">
        <v>0</v>
      </c>
      <c r="C22" s="1">
        <v>41181.128435729042</v>
      </c>
      <c r="D22" s="1">
        <v>0</v>
      </c>
      <c r="E22" s="1">
        <v>0</v>
      </c>
      <c r="F22" s="1">
        <v>0</v>
      </c>
      <c r="G22" s="9">
        <f>SUM(KS_FINANCIAL)</f>
        <v>41181.128435729042</v>
      </c>
      <c r="I22" s="13" t="s">
        <v>39</v>
      </c>
      <c r="J22" s="16">
        <v>3477487</v>
      </c>
      <c r="L22" s="6"/>
      <c r="V22" s="9"/>
    </row>
    <row r="23" spans="1:22">
      <c r="A23" s="1" t="s">
        <v>40</v>
      </c>
      <c r="B23" s="6">
        <v>0</v>
      </c>
      <c r="C23" s="1">
        <v>4606.3948058370079</v>
      </c>
      <c r="D23" s="1">
        <v>0</v>
      </c>
      <c r="E23" s="1">
        <v>0</v>
      </c>
      <c r="F23" s="1">
        <v>0</v>
      </c>
      <c r="G23" s="9">
        <f>SUM(KY_FINANCIAL)</f>
        <v>4606.3948058370079</v>
      </c>
      <c r="I23" s="13" t="s">
        <v>41</v>
      </c>
      <c r="J23" s="16"/>
      <c r="L23" s="6"/>
      <c r="V23" s="9"/>
    </row>
    <row r="24" spans="1:22">
      <c r="A24" s="1" t="s">
        <v>42</v>
      </c>
      <c r="B24" s="6">
        <v>37.503581925921424</v>
      </c>
      <c r="C24" s="1">
        <v>105691.68233434166</v>
      </c>
      <c r="D24" s="1">
        <v>0</v>
      </c>
      <c r="E24" s="1">
        <v>0</v>
      </c>
      <c r="F24" s="1">
        <v>0</v>
      </c>
      <c r="G24" s="9">
        <f>SUM(LA_FINANCIAL)</f>
        <v>105729.18591626758</v>
      </c>
      <c r="I24" s="13" t="s">
        <v>43</v>
      </c>
      <c r="J24" s="16">
        <v>15938260.882711198</v>
      </c>
      <c r="L24" s="6">
        <v>3050</v>
      </c>
      <c r="M24" s="1">
        <v>0</v>
      </c>
      <c r="O24" s="1">
        <v>301950</v>
      </c>
      <c r="P24" s="1">
        <v>0</v>
      </c>
      <c r="R24" s="1">
        <v>0</v>
      </c>
      <c r="S24" s="1">
        <v>0</v>
      </c>
      <c r="U24" s="1">
        <v>0</v>
      </c>
      <c r="V24" s="9">
        <v>0</v>
      </c>
    </row>
    <row r="25" spans="1:22">
      <c r="A25" s="1" t="s">
        <v>44</v>
      </c>
      <c r="B25" s="6">
        <v>0</v>
      </c>
      <c r="C25" s="1">
        <v>7400.8863082567514</v>
      </c>
      <c r="D25" s="1">
        <v>0</v>
      </c>
      <c r="E25" s="1">
        <v>0</v>
      </c>
      <c r="F25" s="1">
        <v>0</v>
      </c>
      <c r="G25" s="9">
        <f>SUM(ME_FINANCIAL)</f>
        <v>7400.8863082567514</v>
      </c>
      <c r="I25" s="13"/>
      <c r="J25" s="16"/>
      <c r="L25" s="6">
        <v>0</v>
      </c>
      <c r="M25" s="1">
        <v>0</v>
      </c>
      <c r="O25" s="1">
        <v>0</v>
      </c>
      <c r="P25" s="1">
        <v>0</v>
      </c>
      <c r="R25" s="1">
        <v>0</v>
      </c>
      <c r="S25" s="1">
        <v>0</v>
      </c>
      <c r="U25" s="1">
        <v>0</v>
      </c>
      <c r="V25" s="9">
        <v>0</v>
      </c>
    </row>
    <row r="26" spans="1:22">
      <c r="A26" s="1" t="s">
        <v>45</v>
      </c>
      <c r="B26" s="6">
        <v>0</v>
      </c>
      <c r="C26" s="1">
        <v>37899.479761373979</v>
      </c>
      <c r="D26" s="1">
        <v>0</v>
      </c>
      <c r="E26" s="1">
        <v>0</v>
      </c>
      <c r="F26" s="1">
        <v>0</v>
      </c>
      <c r="G26" s="9">
        <f>SUM(MD_FINANCIAL)</f>
        <v>37899.479761373979</v>
      </c>
      <c r="I26" s="13" t="s">
        <v>46</v>
      </c>
      <c r="J26" s="16">
        <f>SUM(ADD_FINANCIAL)-SUM(LESS_FINANCIAL)</f>
        <v>13133444.315430969</v>
      </c>
      <c r="L26" s="6">
        <v>0</v>
      </c>
      <c r="M26" s="1">
        <v>0</v>
      </c>
      <c r="O26" s="1">
        <v>79000</v>
      </c>
      <c r="P26" s="1">
        <v>0</v>
      </c>
      <c r="R26" s="1">
        <v>0</v>
      </c>
      <c r="S26" s="1">
        <v>0</v>
      </c>
      <c r="U26" s="1">
        <v>0</v>
      </c>
      <c r="V26" s="9">
        <v>0</v>
      </c>
    </row>
    <row r="27" spans="1:22">
      <c r="A27" s="1" t="s">
        <v>47</v>
      </c>
      <c r="B27" s="6">
        <v>0</v>
      </c>
      <c r="C27" s="1">
        <v>0</v>
      </c>
      <c r="D27" s="1">
        <v>0</v>
      </c>
      <c r="E27" s="1">
        <v>0</v>
      </c>
      <c r="F27" s="1">
        <v>0</v>
      </c>
      <c r="G27" s="9">
        <f>SUM(MA_FINANCIAL)</f>
        <v>0</v>
      </c>
      <c r="I27" s="13" t="s">
        <v>48</v>
      </c>
      <c r="J27" s="16">
        <f>SUM(ALL_BLOCKS)</f>
        <v>13133444.315430962</v>
      </c>
      <c r="L27" s="6"/>
      <c r="V27" s="9"/>
    </row>
    <row r="28" spans="1:22">
      <c r="A28" s="1" t="s">
        <v>49</v>
      </c>
      <c r="B28" s="6">
        <v>0</v>
      </c>
      <c r="C28" s="1">
        <v>27886.549318686863</v>
      </c>
      <c r="D28" s="1">
        <v>0</v>
      </c>
      <c r="E28" s="1">
        <v>0</v>
      </c>
      <c r="F28" s="1">
        <v>0</v>
      </c>
      <c r="G28" s="9">
        <f>SUM(MI_FINANCIAL)</f>
        <v>27886.549318686863</v>
      </c>
      <c r="I28" s="14"/>
      <c r="J28" s="17"/>
      <c r="L28" s="6"/>
      <c r="V28" s="9"/>
    </row>
    <row r="29" spans="1:22">
      <c r="A29" s="1" t="s">
        <v>50</v>
      </c>
      <c r="B29" s="6">
        <v>0</v>
      </c>
      <c r="C29" s="1">
        <v>55630.540694449141</v>
      </c>
      <c r="D29" s="1">
        <v>0</v>
      </c>
      <c r="E29" s="1">
        <v>0</v>
      </c>
      <c r="F29" s="1">
        <v>0</v>
      </c>
      <c r="G29" s="9">
        <f>SUM(MN_FINANCIAL)</f>
        <v>55630.540694449141</v>
      </c>
      <c r="L29" s="6">
        <v>0</v>
      </c>
      <c r="M29" s="1">
        <v>0</v>
      </c>
      <c r="O29" s="1">
        <v>125000</v>
      </c>
      <c r="P29" s="1">
        <v>0</v>
      </c>
      <c r="R29" s="1">
        <v>0</v>
      </c>
      <c r="S29" s="1">
        <v>0</v>
      </c>
      <c r="U29" s="1">
        <v>0</v>
      </c>
      <c r="V29" s="9">
        <v>0</v>
      </c>
    </row>
    <row r="30" spans="1:22">
      <c r="A30" s="1" t="s">
        <v>51</v>
      </c>
      <c r="B30" s="6">
        <v>0</v>
      </c>
      <c r="C30" s="1">
        <v>103740.3287881471</v>
      </c>
      <c r="D30" s="1">
        <v>0</v>
      </c>
      <c r="E30" s="1">
        <v>0</v>
      </c>
      <c r="F30" s="1">
        <v>0</v>
      </c>
      <c r="G30" s="9">
        <f>SUM(MS_FINANCIAL)</f>
        <v>103740.3287881471</v>
      </c>
      <c r="L30" s="6">
        <v>288530</v>
      </c>
      <c r="M30" s="1">
        <v>0</v>
      </c>
      <c r="O30" s="1">
        <v>0</v>
      </c>
      <c r="P30" s="1">
        <v>0</v>
      </c>
      <c r="R30" s="1">
        <v>0</v>
      </c>
      <c r="S30" s="1">
        <v>0</v>
      </c>
      <c r="U30" s="1">
        <v>0</v>
      </c>
      <c r="V30" s="9">
        <v>0</v>
      </c>
    </row>
    <row r="31" spans="1:22">
      <c r="A31" s="1" t="s">
        <v>52</v>
      </c>
      <c r="B31" s="6">
        <v>0</v>
      </c>
      <c r="C31" s="1">
        <v>30577.759439716261</v>
      </c>
      <c r="D31" s="1">
        <v>0</v>
      </c>
      <c r="E31" s="1">
        <v>0</v>
      </c>
      <c r="F31" s="1">
        <v>0</v>
      </c>
      <c r="G31" s="9">
        <f>SUM(MO_FINANCIAL)</f>
        <v>30577.759439716261</v>
      </c>
      <c r="L31" s="6"/>
      <c r="V31" s="9"/>
    </row>
    <row r="32" spans="1:22">
      <c r="A32" s="1" t="s">
        <v>53</v>
      </c>
      <c r="B32" s="6">
        <v>0</v>
      </c>
      <c r="C32" s="1">
        <v>21667.005071138585</v>
      </c>
      <c r="D32" s="1">
        <v>0</v>
      </c>
      <c r="E32" s="1">
        <v>0</v>
      </c>
      <c r="F32" s="1">
        <v>0</v>
      </c>
      <c r="G32" s="9">
        <f>SUM(MT_FINANCIAL)</f>
        <v>21667.005071138585</v>
      </c>
      <c r="L32" s="6"/>
      <c r="V32" s="9"/>
    </row>
    <row r="33" spans="1:22">
      <c r="A33" s="1" t="s">
        <v>54</v>
      </c>
      <c r="B33" s="6">
        <v>0</v>
      </c>
      <c r="C33" s="1">
        <v>324355.70437298086</v>
      </c>
      <c r="D33" s="1">
        <v>0</v>
      </c>
      <c r="E33" s="1">
        <v>0</v>
      </c>
      <c r="F33" s="1">
        <v>0</v>
      </c>
      <c r="G33" s="9">
        <f>SUM(NE_FINANCIAL)</f>
        <v>324355.70437298086</v>
      </c>
      <c r="L33" s="6">
        <v>0</v>
      </c>
      <c r="M33" s="1">
        <v>0</v>
      </c>
      <c r="O33" s="1">
        <v>831523</v>
      </c>
      <c r="P33" s="1">
        <v>0</v>
      </c>
      <c r="R33" s="1">
        <v>0</v>
      </c>
      <c r="S33" s="1">
        <v>0</v>
      </c>
      <c r="U33" s="1">
        <v>0</v>
      </c>
      <c r="V33" s="9">
        <v>0</v>
      </c>
    </row>
    <row r="34" spans="1:22">
      <c r="A34" s="1" t="s">
        <v>55</v>
      </c>
      <c r="B34" s="6">
        <v>0</v>
      </c>
      <c r="C34" s="1">
        <v>271397.49351701094</v>
      </c>
      <c r="D34" s="1">
        <v>0</v>
      </c>
      <c r="E34" s="1">
        <v>0</v>
      </c>
      <c r="F34" s="1">
        <v>0</v>
      </c>
      <c r="G34" s="9">
        <f>SUM(NV_FINANCIAL)</f>
        <v>271397.49351701094</v>
      </c>
      <c r="L34" s="6">
        <v>0</v>
      </c>
      <c r="M34" s="1">
        <v>0</v>
      </c>
      <c r="O34" s="1">
        <v>604300</v>
      </c>
      <c r="P34" s="1">
        <v>0</v>
      </c>
      <c r="R34" s="1">
        <v>0</v>
      </c>
      <c r="S34" s="1">
        <v>0</v>
      </c>
      <c r="U34" s="1">
        <v>0</v>
      </c>
      <c r="V34" s="9">
        <v>0</v>
      </c>
    </row>
    <row r="35" spans="1:22">
      <c r="A35" s="1" t="s">
        <v>56</v>
      </c>
      <c r="B35" s="6">
        <v>0</v>
      </c>
      <c r="C35" s="1">
        <v>0</v>
      </c>
      <c r="D35" s="1">
        <v>0</v>
      </c>
      <c r="E35" s="1">
        <v>0</v>
      </c>
      <c r="F35" s="1">
        <v>0</v>
      </c>
      <c r="G35" s="9">
        <f>SUM(NH_FINANCIAL)</f>
        <v>0</v>
      </c>
      <c r="L35" s="6"/>
      <c r="V35" s="9"/>
    </row>
    <row r="36" spans="1:22">
      <c r="A36" s="1" t="s">
        <v>57</v>
      </c>
      <c r="B36" s="6">
        <v>0</v>
      </c>
      <c r="C36" s="1">
        <v>1589.7852731383782</v>
      </c>
      <c r="D36" s="1">
        <v>0</v>
      </c>
      <c r="E36" s="1">
        <v>0</v>
      </c>
      <c r="F36" s="1">
        <v>0</v>
      </c>
      <c r="G36" s="9">
        <f>SUM(NJ_FINANCIAL)</f>
        <v>1589.7852731383782</v>
      </c>
      <c r="L36" s="6"/>
      <c r="V36" s="9"/>
    </row>
    <row r="37" spans="1:22">
      <c r="A37" s="1" t="s">
        <v>58</v>
      </c>
      <c r="B37" s="6">
        <v>0</v>
      </c>
      <c r="C37" s="1">
        <v>322942.05497610546</v>
      </c>
      <c r="D37" s="1">
        <v>0</v>
      </c>
      <c r="E37" s="1">
        <v>0</v>
      </c>
      <c r="F37" s="1">
        <v>0</v>
      </c>
      <c r="G37" s="9">
        <f>SUM(NM_FINANCIAL)</f>
        <v>322942.05497610546</v>
      </c>
      <c r="L37" s="6"/>
      <c r="V37" s="9"/>
    </row>
    <row r="38" spans="1:22">
      <c r="A38" s="1" t="s">
        <v>59</v>
      </c>
      <c r="B38" s="6">
        <v>0</v>
      </c>
      <c r="C38" s="1">
        <v>0</v>
      </c>
      <c r="D38" s="1">
        <v>0</v>
      </c>
      <c r="E38" s="1">
        <v>0</v>
      </c>
      <c r="F38" s="1">
        <v>0</v>
      </c>
      <c r="G38" s="9">
        <f>SUM(NY_FINANCIAL)</f>
        <v>0</v>
      </c>
      <c r="L38" s="6"/>
      <c r="V38" s="9"/>
    </row>
    <row r="39" spans="1:22">
      <c r="A39" s="1" t="s">
        <v>60</v>
      </c>
      <c r="B39" s="6">
        <v>0</v>
      </c>
      <c r="C39" s="1">
        <v>556557.90700398572</v>
      </c>
      <c r="D39" s="1">
        <v>0</v>
      </c>
      <c r="E39" s="1">
        <v>0</v>
      </c>
      <c r="F39" s="1">
        <v>0</v>
      </c>
      <c r="G39" s="9">
        <f>SUM(NC_FINANCIAL)</f>
        <v>556557.90700398572</v>
      </c>
      <c r="L39" s="6">
        <v>0</v>
      </c>
      <c r="M39" s="1">
        <v>0</v>
      </c>
      <c r="O39" s="1">
        <v>275000</v>
      </c>
      <c r="P39" s="1">
        <v>175000</v>
      </c>
      <c r="R39" s="1">
        <v>0</v>
      </c>
      <c r="S39" s="1">
        <v>0</v>
      </c>
      <c r="U39" s="1">
        <v>0</v>
      </c>
      <c r="V39" s="9">
        <v>0</v>
      </c>
    </row>
    <row r="40" spans="1:22">
      <c r="A40" s="1" t="s">
        <v>61</v>
      </c>
      <c r="B40" s="6">
        <v>0</v>
      </c>
      <c r="C40" s="1">
        <v>22493.881040071414</v>
      </c>
      <c r="D40" s="1">
        <v>0</v>
      </c>
      <c r="E40" s="1">
        <v>0</v>
      </c>
      <c r="F40" s="1">
        <v>0</v>
      </c>
      <c r="G40" s="9">
        <f>SUM(ND_FINANCIAL)</f>
        <v>22493.881040071414</v>
      </c>
      <c r="L40" s="6">
        <v>0</v>
      </c>
      <c r="M40" s="1">
        <v>0</v>
      </c>
      <c r="O40" s="1">
        <v>86000</v>
      </c>
      <c r="P40" s="1">
        <v>63400</v>
      </c>
      <c r="R40" s="1">
        <v>0</v>
      </c>
      <c r="S40" s="1">
        <v>0</v>
      </c>
      <c r="U40" s="1">
        <v>0</v>
      </c>
      <c r="V40" s="9">
        <v>0</v>
      </c>
    </row>
    <row r="41" spans="1:22">
      <c r="A41" s="1" t="s">
        <v>62</v>
      </c>
      <c r="B41" s="6">
        <v>0</v>
      </c>
      <c r="C41" s="1">
        <v>60393.786333887634</v>
      </c>
      <c r="D41" s="1">
        <v>0</v>
      </c>
      <c r="E41" s="1">
        <v>0</v>
      </c>
      <c r="F41" s="1">
        <v>0</v>
      </c>
      <c r="G41" s="9">
        <f>SUM(OH_FINANCIAL)</f>
        <v>60393.786333887634</v>
      </c>
      <c r="L41" s="6">
        <v>0</v>
      </c>
      <c r="M41" s="1">
        <v>0</v>
      </c>
      <c r="O41" s="1">
        <v>150000</v>
      </c>
      <c r="P41" s="1">
        <v>0</v>
      </c>
      <c r="R41" s="1">
        <v>0</v>
      </c>
      <c r="S41" s="1">
        <v>0</v>
      </c>
      <c r="U41" s="1">
        <v>0</v>
      </c>
      <c r="V41" s="9">
        <v>0</v>
      </c>
    </row>
    <row r="42" spans="1:22">
      <c r="A42" s="1" t="s">
        <v>63</v>
      </c>
      <c r="B42" s="6">
        <v>0</v>
      </c>
      <c r="C42" s="1">
        <v>180263.73770215566</v>
      </c>
      <c r="D42" s="1">
        <v>0</v>
      </c>
      <c r="E42" s="1">
        <v>0</v>
      </c>
      <c r="F42" s="1">
        <v>0</v>
      </c>
      <c r="G42" s="9">
        <f>SUM(OK_FINANCIAL)</f>
        <v>180263.73770215566</v>
      </c>
      <c r="L42" s="6">
        <v>0</v>
      </c>
      <c r="M42" s="1">
        <v>0</v>
      </c>
      <c r="O42" s="1">
        <v>550000</v>
      </c>
      <c r="P42" s="1">
        <v>225000</v>
      </c>
      <c r="R42" s="1">
        <v>0</v>
      </c>
      <c r="S42" s="1">
        <v>0</v>
      </c>
      <c r="U42" s="1">
        <v>0</v>
      </c>
      <c r="V42" s="9">
        <v>0</v>
      </c>
    </row>
    <row r="43" spans="1:22">
      <c r="A43" s="1" t="s">
        <v>64</v>
      </c>
      <c r="B43" s="6">
        <v>0</v>
      </c>
      <c r="C43" s="1">
        <v>42705.059315762992</v>
      </c>
      <c r="D43" s="1">
        <v>0</v>
      </c>
      <c r="E43" s="1">
        <v>0</v>
      </c>
      <c r="F43" s="1">
        <v>0</v>
      </c>
      <c r="G43" s="9">
        <f>SUM(OR_FINANCIAL)</f>
        <v>42705.059315762992</v>
      </c>
      <c r="L43" s="6"/>
      <c r="V43" s="9"/>
    </row>
    <row r="44" spans="1:22">
      <c r="A44" s="1" t="s">
        <v>65</v>
      </c>
      <c r="B44" s="6">
        <v>0</v>
      </c>
      <c r="C44" s="1">
        <v>47280.00365285491</v>
      </c>
      <c r="D44" s="1">
        <v>0</v>
      </c>
      <c r="E44" s="1">
        <v>0</v>
      </c>
      <c r="F44" s="1">
        <v>0</v>
      </c>
      <c r="G44" s="9">
        <f>SUM(PA_FINANCIAL)</f>
        <v>47280.00365285491</v>
      </c>
      <c r="L44" s="6"/>
      <c r="V44" s="9"/>
    </row>
    <row r="45" spans="1:22">
      <c r="A45" s="1" t="s">
        <v>66</v>
      </c>
      <c r="B45" s="6">
        <v>0</v>
      </c>
      <c r="C45" s="1">
        <v>0</v>
      </c>
      <c r="D45" s="1">
        <v>0</v>
      </c>
      <c r="E45" s="1">
        <v>0</v>
      </c>
      <c r="F45" s="1">
        <v>0</v>
      </c>
      <c r="G45" s="9">
        <f>SUM(PR_FINANCIAL)</f>
        <v>0</v>
      </c>
      <c r="L45" s="6"/>
      <c r="V45" s="9"/>
    </row>
    <row r="46" spans="1:22">
      <c r="A46" s="1" t="s">
        <v>67</v>
      </c>
      <c r="B46" s="6">
        <v>0</v>
      </c>
      <c r="C46" s="1">
        <v>0</v>
      </c>
      <c r="D46" s="1">
        <v>0</v>
      </c>
      <c r="E46" s="1">
        <v>0</v>
      </c>
      <c r="F46" s="1">
        <v>0</v>
      </c>
      <c r="G46" s="9">
        <f>SUM(RI_FINANCIAL)</f>
        <v>0</v>
      </c>
      <c r="L46" s="6"/>
      <c r="V46" s="9"/>
    </row>
    <row r="47" spans="1:22">
      <c r="A47" s="1" t="s">
        <v>68</v>
      </c>
      <c r="B47" s="6">
        <v>0</v>
      </c>
      <c r="C47" s="1">
        <v>0</v>
      </c>
      <c r="D47" s="1">
        <v>0</v>
      </c>
      <c r="E47" s="1">
        <v>0</v>
      </c>
      <c r="F47" s="1">
        <v>0</v>
      </c>
      <c r="G47" s="9">
        <f>SUM(SC_FINANCIAL)</f>
        <v>0</v>
      </c>
      <c r="L47" s="6"/>
      <c r="V47" s="9"/>
    </row>
    <row r="48" spans="1:22">
      <c r="A48" s="1" t="s">
        <v>69</v>
      </c>
      <c r="B48" s="6">
        <v>0</v>
      </c>
      <c r="C48" s="1">
        <v>2412.1394232961061</v>
      </c>
      <c r="D48" s="1">
        <v>0</v>
      </c>
      <c r="E48" s="1">
        <v>0</v>
      </c>
      <c r="F48" s="1">
        <v>0</v>
      </c>
      <c r="G48" s="9">
        <f>SUM(SD_FINANCIAL)</f>
        <v>2412.1394232961061</v>
      </c>
      <c r="L48" s="6"/>
      <c r="V48" s="9"/>
    </row>
    <row r="49" spans="1:22">
      <c r="A49" s="1" t="s">
        <v>70</v>
      </c>
      <c r="B49" s="6">
        <v>0</v>
      </c>
      <c r="C49" s="1">
        <v>16853.52908917785</v>
      </c>
      <c r="D49" s="1">
        <v>0</v>
      </c>
      <c r="E49" s="1">
        <v>0</v>
      </c>
      <c r="F49" s="1">
        <v>0</v>
      </c>
      <c r="G49" s="9">
        <f>SUM(TN_FINANCIAL)</f>
        <v>16853.52908917785</v>
      </c>
      <c r="L49" s="6"/>
      <c r="V49" s="9"/>
    </row>
    <row r="50" spans="1:22">
      <c r="A50" s="1" t="s">
        <v>71</v>
      </c>
      <c r="B50" s="6">
        <v>125.51916455641128</v>
      </c>
      <c r="C50" s="1">
        <v>658641.78635584994</v>
      </c>
      <c r="D50" s="1">
        <v>0</v>
      </c>
      <c r="E50" s="1">
        <v>0</v>
      </c>
      <c r="F50" s="1">
        <v>0</v>
      </c>
      <c r="G50" s="9">
        <f>SUM(TX_FINANCIAL)</f>
        <v>658767.30552040634</v>
      </c>
      <c r="L50" s="6">
        <v>62251</v>
      </c>
      <c r="M50" s="1">
        <v>35418.761199999994</v>
      </c>
      <c r="O50" s="1">
        <v>389989</v>
      </c>
      <c r="P50" s="1">
        <v>221890.79959999997</v>
      </c>
      <c r="R50" s="1">
        <v>1148044</v>
      </c>
      <c r="S50" s="1">
        <v>653198.43920000002</v>
      </c>
      <c r="U50" s="1">
        <v>0</v>
      </c>
      <c r="V50" s="9">
        <v>0</v>
      </c>
    </row>
    <row r="51" spans="1:22">
      <c r="A51" s="1" t="s">
        <v>72</v>
      </c>
      <c r="B51" s="6">
        <v>0</v>
      </c>
      <c r="C51" s="1">
        <v>45108.249398668566</v>
      </c>
      <c r="D51" s="1">
        <v>0</v>
      </c>
      <c r="E51" s="1">
        <v>0</v>
      </c>
      <c r="F51" s="1">
        <v>0</v>
      </c>
      <c r="G51" s="9">
        <f>SUM(UT_FINANCIAL)</f>
        <v>45108.249398668566</v>
      </c>
      <c r="L51" s="6">
        <v>0</v>
      </c>
      <c r="M51" s="1">
        <v>0</v>
      </c>
      <c r="O51" s="1">
        <v>95000</v>
      </c>
      <c r="P51" s="1">
        <v>0</v>
      </c>
      <c r="R51" s="1">
        <v>0</v>
      </c>
      <c r="S51" s="1">
        <v>0</v>
      </c>
      <c r="U51" s="1">
        <v>0</v>
      </c>
      <c r="V51" s="9">
        <v>0</v>
      </c>
    </row>
    <row r="52" spans="1:22">
      <c r="A52" s="1" t="s">
        <v>73</v>
      </c>
      <c r="B52" s="6">
        <v>0</v>
      </c>
      <c r="C52" s="1">
        <v>10523.23076014031</v>
      </c>
      <c r="D52" s="1">
        <v>0</v>
      </c>
      <c r="E52" s="1">
        <v>0</v>
      </c>
      <c r="F52" s="1">
        <v>0</v>
      </c>
      <c r="G52" s="9">
        <f>SUM(VT_FINANCIAL)</f>
        <v>10523.23076014031</v>
      </c>
      <c r="L52" s="6">
        <v>0</v>
      </c>
      <c r="M52" s="1">
        <v>0</v>
      </c>
      <c r="O52" s="1">
        <v>0</v>
      </c>
      <c r="P52" s="1">
        <v>0</v>
      </c>
      <c r="R52" s="1">
        <v>0</v>
      </c>
      <c r="S52" s="1">
        <v>0</v>
      </c>
      <c r="U52" s="1">
        <v>0</v>
      </c>
      <c r="V52" s="9">
        <v>0</v>
      </c>
    </row>
    <row r="53" spans="1:22">
      <c r="A53" s="1" t="s">
        <v>74</v>
      </c>
      <c r="B53" s="6">
        <v>0</v>
      </c>
      <c r="C53" s="1">
        <v>157019.44829779377</v>
      </c>
      <c r="D53" s="1">
        <v>0</v>
      </c>
      <c r="E53" s="1">
        <v>0</v>
      </c>
      <c r="F53" s="1">
        <v>0</v>
      </c>
      <c r="G53" s="9">
        <f>SUM(VA_FINANCIAL)</f>
        <v>157019.44829779377</v>
      </c>
      <c r="L53" s="6">
        <v>0</v>
      </c>
      <c r="M53" s="1">
        <v>0</v>
      </c>
      <c r="O53" s="1">
        <v>130000</v>
      </c>
      <c r="P53" s="1">
        <v>0</v>
      </c>
      <c r="R53" s="1">
        <v>10000</v>
      </c>
      <c r="S53" s="1">
        <v>0</v>
      </c>
      <c r="U53" s="1">
        <v>0</v>
      </c>
      <c r="V53" s="9">
        <v>0</v>
      </c>
    </row>
    <row r="54" spans="1:22">
      <c r="A54" s="1" t="s">
        <v>75</v>
      </c>
      <c r="B54" s="6">
        <v>0</v>
      </c>
      <c r="C54" s="1">
        <v>62168.641385456431</v>
      </c>
      <c r="D54" s="1">
        <v>0</v>
      </c>
      <c r="E54" s="1">
        <v>0</v>
      </c>
      <c r="F54" s="1">
        <v>0</v>
      </c>
      <c r="G54" s="9">
        <f>SUM(WA_FINANCIAL)</f>
        <v>62168.641385456431</v>
      </c>
      <c r="L54" s="6">
        <v>0</v>
      </c>
      <c r="M54" s="1">
        <v>0</v>
      </c>
      <c r="O54" s="1">
        <v>60784</v>
      </c>
      <c r="P54" s="1">
        <v>0</v>
      </c>
      <c r="R54" s="1">
        <v>0</v>
      </c>
      <c r="S54" s="1">
        <v>0</v>
      </c>
      <c r="U54" s="1">
        <v>0</v>
      </c>
      <c r="V54" s="9">
        <v>0</v>
      </c>
    </row>
    <row r="55" spans="1:22">
      <c r="A55" s="1" t="s">
        <v>76</v>
      </c>
      <c r="B55" s="6">
        <v>0</v>
      </c>
      <c r="C55" s="1">
        <v>12130.222812729458</v>
      </c>
      <c r="D55" s="1">
        <v>0</v>
      </c>
      <c r="E55" s="1">
        <v>0</v>
      </c>
      <c r="F55" s="1">
        <v>0</v>
      </c>
      <c r="G55" s="9">
        <f>SUM(WV_FINANCIAL)</f>
        <v>12130.222812729458</v>
      </c>
      <c r="L55" s="6">
        <v>0</v>
      </c>
      <c r="M55" s="1">
        <v>0</v>
      </c>
      <c r="O55" s="1">
        <v>0</v>
      </c>
      <c r="P55" s="1">
        <v>163676</v>
      </c>
      <c r="R55" s="1">
        <v>0</v>
      </c>
      <c r="S55" s="1">
        <v>90832</v>
      </c>
      <c r="U55" s="1">
        <v>0</v>
      </c>
      <c r="V55" s="9">
        <v>0</v>
      </c>
    </row>
    <row r="56" spans="1:22">
      <c r="A56" s="1" t="s">
        <v>77</v>
      </c>
      <c r="B56" s="6">
        <v>0</v>
      </c>
      <c r="C56" s="1">
        <v>10864.557248851066</v>
      </c>
      <c r="D56" s="1">
        <v>0</v>
      </c>
      <c r="E56" s="1">
        <v>0</v>
      </c>
      <c r="F56" s="1">
        <v>0</v>
      </c>
      <c r="G56" s="9">
        <f>SUM(WI_FINANCIAL)</f>
        <v>10864.557248851066</v>
      </c>
      <c r="L56" s="6"/>
      <c r="V56" s="9"/>
    </row>
    <row r="57" spans="1:22">
      <c r="A57" s="1" t="s">
        <v>78</v>
      </c>
      <c r="B57" s="6">
        <v>0</v>
      </c>
      <c r="C57" s="1">
        <v>28838.233269121585</v>
      </c>
      <c r="D57" s="1">
        <v>0</v>
      </c>
      <c r="E57" s="1">
        <v>0</v>
      </c>
      <c r="F57" s="1">
        <v>0</v>
      </c>
      <c r="G57" s="9">
        <f>SUM(WY_FINANCIAL)</f>
        <v>28838.233269121585</v>
      </c>
      <c r="L57" s="6">
        <v>0</v>
      </c>
      <c r="M57" s="1">
        <v>0</v>
      </c>
      <c r="O57" s="1">
        <v>90000</v>
      </c>
      <c r="P57" s="1">
        <v>0</v>
      </c>
      <c r="R57" s="1">
        <v>0</v>
      </c>
      <c r="S57" s="1">
        <v>0</v>
      </c>
      <c r="U57" s="1">
        <v>0</v>
      </c>
      <c r="V57" s="9">
        <v>0</v>
      </c>
    </row>
    <row r="58" spans="1:22">
      <c r="A58" s="1" t="s">
        <v>79</v>
      </c>
      <c r="B58" s="6">
        <v>0</v>
      </c>
      <c r="C58" s="1">
        <v>0</v>
      </c>
      <c r="D58" s="1">
        <v>0</v>
      </c>
      <c r="E58" s="1">
        <v>0</v>
      </c>
      <c r="F58" s="1">
        <v>0</v>
      </c>
      <c r="G58" s="9">
        <f>SUM(OT_FINANCIAL)</f>
        <v>0</v>
      </c>
      <c r="L58" s="6"/>
      <c r="V58" s="9"/>
    </row>
    <row r="59" spans="1:22">
      <c r="B59" s="6"/>
      <c r="G59" s="9"/>
      <c r="L59" s="6"/>
      <c r="V59" s="9"/>
    </row>
    <row r="60" spans="1:22">
      <c r="A60" s="1" t="s">
        <v>8</v>
      </c>
      <c r="B60" s="6">
        <f>SUM(LIFE)</f>
        <v>2604.3387856944819</v>
      </c>
      <c r="C60" s="1">
        <f>SUM(ALLOCATED)</f>
        <v>13124792.083000876</v>
      </c>
      <c r="D60" s="1">
        <f>SUM(HEALTH)</f>
        <v>6047.8936443914545</v>
      </c>
      <c r="E60" s="1">
        <f>SUM(UNALLOCATED)</f>
        <v>0</v>
      </c>
      <c r="F60" s="1">
        <f>SUM(LTC)</f>
        <v>0</v>
      </c>
      <c r="G60" s="9">
        <f>SUM(ALL_BLOCKS)</f>
        <v>13133444.315430962</v>
      </c>
      <c r="L60" s="6">
        <f>SUM(LIFE_CALLED)</f>
        <v>576171</v>
      </c>
      <c r="M60" s="1">
        <f>SUM(LIFE_REFUNDED)</f>
        <v>185418.76120000001</v>
      </c>
      <c r="O60" s="1">
        <f>SUM(ALLOC_CALLED)</f>
        <v>24494168</v>
      </c>
      <c r="P60" s="1">
        <f>SUM(ALLOC_REFUNDED)</f>
        <v>42107927.9296</v>
      </c>
      <c r="R60" s="1">
        <f>SUM(HEALTH_CALLED)</f>
        <v>1785577</v>
      </c>
      <c r="S60" s="1">
        <f>SUM(HEALTH_REFUNDED)</f>
        <v>1644030.4391999999</v>
      </c>
      <c r="U60" s="1">
        <f>SUM(UNALLOC_CALLED)</f>
        <v>0</v>
      </c>
      <c r="V60" s="9">
        <f>SUM(UNALLOC_REFUNDED)</f>
        <v>0</v>
      </c>
    </row>
    <row r="61" spans="1:22" ht="5.0999999999999996" customHeight="1">
      <c r="B61" s="6"/>
      <c r="G61" s="9"/>
      <c r="L61" s="6"/>
      <c r="V61" s="9"/>
    </row>
    <row r="62" spans="1:22">
      <c r="B62" s="6"/>
      <c r="G62" s="9"/>
      <c r="L62" s="78" t="s">
        <v>80</v>
      </c>
      <c r="M62" s="79"/>
      <c r="N62" s="79"/>
      <c r="O62" s="79"/>
      <c r="P62" s="79"/>
      <c r="Q62" s="79"/>
      <c r="R62" s="79"/>
      <c r="S62" s="79"/>
      <c r="T62" s="79"/>
      <c r="U62" s="79"/>
      <c r="V62" s="80"/>
    </row>
    <row r="63" spans="1:22">
      <c r="B63" s="6"/>
      <c r="G63" s="9"/>
      <c r="L63" s="81"/>
      <c r="M63" s="79"/>
      <c r="N63" s="79"/>
      <c r="O63" s="79"/>
      <c r="P63" s="79"/>
      <c r="Q63" s="79"/>
      <c r="R63" s="79"/>
      <c r="S63" s="79"/>
      <c r="T63" s="79"/>
      <c r="U63" s="79"/>
      <c r="V63" s="80"/>
    </row>
    <row r="64" spans="1:22">
      <c r="B64" s="8"/>
      <c r="C64" s="5"/>
      <c r="D64" s="5"/>
      <c r="E64" s="5"/>
      <c r="F64" s="5"/>
      <c r="G64" s="11"/>
      <c r="L64" s="82"/>
      <c r="M64" s="83"/>
      <c r="N64" s="83"/>
      <c r="O64" s="83"/>
      <c r="P64" s="83"/>
      <c r="Q64" s="83"/>
      <c r="R64" s="83"/>
      <c r="S64" s="83"/>
      <c r="T64" s="83"/>
      <c r="U64" s="83"/>
      <c r="V64" s="84"/>
    </row>
  </sheetData>
  <mergeCells count="8">
    <mergeCell ref="L62:V64"/>
    <mergeCell ref="A1:G1"/>
    <mergeCell ref="B3:G3"/>
    <mergeCell ref="L3:V3"/>
    <mergeCell ref="L4:M4"/>
    <mergeCell ref="O4:P4"/>
    <mergeCell ref="R4:S4"/>
    <mergeCell ref="U4:V4"/>
  </mergeCells>
  <pageMargins left="0" right="0" top="0" bottom="0" header="0" footer="0"/>
  <pageSetup scale="48"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pageSetUpPr fitToPage="1"/>
  </sheetPr>
  <dimension ref="A1:V64"/>
  <sheetViews>
    <sheetView zoomScale="75" workbookViewId="0">
      <selection sqref="A1:G1"/>
    </sheetView>
  </sheetViews>
  <sheetFormatPr defaultColWidth="9.109375" defaultRowHeight="14.4"/>
  <cols>
    <col min="1" max="1" width="20" style="1" customWidth="1"/>
    <col min="2" max="7" width="15" style="1" customWidth="1"/>
    <col min="8" max="8" width="1" style="1" customWidth="1"/>
    <col min="9" max="9" width="30" style="1" customWidth="1"/>
    <col min="10" max="10" width="15" style="1" customWidth="1"/>
    <col min="11" max="11" width="1" style="1" customWidth="1"/>
    <col min="12" max="13" width="15" style="1" customWidth="1"/>
    <col min="14" max="14" width="1" style="1" customWidth="1"/>
    <col min="15" max="16" width="15" style="1" customWidth="1"/>
    <col min="17" max="17" width="1" style="1" customWidth="1"/>
    <col min="18" max="19" width="15" style="1" customWidth="1"/>
    <col min="20" max="20" width="1" style="1" customWidth="1"/>
    <col min="21" max="22" width="15" style="1" customWidth="1"/>
    <col min="23" max="23" width="9.109375" style="1" customWidth="1"/>
    <col min="24" max="16384" width="9.109375" style="1"/>
  </cols>
  <sheetData>
    <row r="1" spans="1:22">
      <c r="A1" s="85" t="s">
        <v>150</v>
      </c>
      <c r="B1" s="79"/>
      <c r="C1" s="79"/>
      <c r="D1" s="79"/>
      <c r="E1" s="79"/>
      <c r="F1" s="79"/>
      <c r="G1" s="79"/>
    </row>
    <row r="3" spans="1:22">
      <c r="B3" s="86" t="s">
        <v>1</v>
      </c>
      <c r="C3" s="87"/>
      <c r="D3" s="87"/>
      <c r="E3" s="87"/>
      <c r="F3" s="87"/>
      <c r="G3" s="88"/>
      <c r="L3" s="89" t="s">
        <v>2</v>
      </c>
      <c r="M3" s="90"/>
      <c r="N3" s="90"/>
      <c r="O3" s="90"/>
      <c r="P3" s="90"/>
      <c r="Q3" s="90"/>
      <c r="R3" s="90"/>
      <c r="S3" s="90"/>
      <c r="T3" s="90"/>
      <c r="U3" s="90"/>
      <c r="V3" s="91"/>
    </row>
    <row r="4" spans="1:22">
      <c r="B4" s="6"/>
      <c r="G4" s="9"/>
      <c r="L4" s="92" t="s">
        <v>3</v>
      </c>
      <c r="M4" s="93"/>
      <c r="N4" s="3"/>
      <c r="O4" s="94" t="s">
        <v>4</v>
      </c>
      <c r="P4" s="93"/>
      <c r="Q4" s="3"/>
      <c r="R4" s="94" t="s">
        <v>5</v>
      </c>
      <c r="S4" s="93"/>
      <c r="T4" s="3"/>
      <c r="U4" s="94" t="s">
        <v>6</v>
      </c>
      <c r="V4" s="95"/>
    </row>
    <row r="5" spans="1:22" ht="60" customHeight="1">
      <c r="B5" s="7" t="s">
        <v>3</v>
      </c>
      <c r="C5" s="4" t="s">
        <v>4</v>
      </c>
      <c r="D5" s="4" t="s">
        <v>5</v>
      </c>
      <c r="E5" s="4" t="s">
        <v>6</v>
      </c>
      <c r="F5" s="4" t="s">
        <v>7</v>
      </c>
      <c r="G5" s="10" t="s">
        <v>8</v>
      </c>
      <c r="L5" s="19" t="s">
        <v>9</v>
      </c>
      <c r="M5" s="18" t="s">
        <v>10</v>
      </c>
      <c r="N5" s="18"/>
      <c r="O5" s="18" t="s">
        <v>9</v>
      </c>
      <c r="P5" s="18" t="s">
        <v>10</v>
      </c>
      <c r="Q5" s="18"/>
      <c r="R5" s="18" t="s">
        <v>9</v>
      </c>
      <c r="S5" s="18" t="s">
        <v>10</v>
      </c>
      <c r="T5" s="18"/>
      <c r="U5" s="18" t="s">
        <v>9</v>
      </c>
      <c r="V5" s="20" t="s">
        <v>10</v>
      </c>
    </row>
    <row r="6" spans="1:22">
      <c r="A6" s="1" t="s">
        <v>11</v>
      </c>
      <c r="B6" s="6">
        <v>9908.8575271680165</v>
      </c>
      <c r="C6" s="1">
        <v>551335.08541026455</v>
      </c>
      <c r="D6" s="1">
        <v>0</v>
      </c>
      <c r="E6" s="1">
        <v>0</v>
      </c>
      <c r="F6" s="1">
        <v>0</v>
      </c>
      <c r="G6" s="9">
        <f>SUM(AL_FINANCIAL)</f>
        <v>561243.94293743256</v>
      </c>
      <c r="L6" s="6"/>
      <c r="V6" s="9"/>
    </row>
    <row r="7" spans="1:22">
      <c r="A7" s="1" t="s">
        <v>12</v>
      </c>
      <c r="B7" s="6">
        <v>0</v>
      </c>
      <c r="C7" s="1">
        <v>0</v>
      </c>
      <c r="D7" s="1">
        <v>0</v>
      </c>
      <c r="E7" s="1">
        <v>0</v>
      </c>
      <c r="F7" s="1">
        <v>0</v>
      </c>
      <c r="G7" s="9">
        <f>SUM(AK_FINANCIAL)</f>
        <v>0</v>
      </c>
      <c r="I7" s="12"/>
      <c r="J7" s="15"/>
      <c r="L7" s="6"/>
      <c r="V7" s="9"/>
    </row>
    <row r="8" spans="1:22">
      <c r="A8" s="1" t="s">
        <v>13</v>
      </c>
      <c r="B8" s="6">
        <v>0</v>
      </c>
      <c r="C8" s="1">
        <v>0</v>
      </c>
      <c r="D8" s="1">
        <v>0</v>
      </c>
      <c r="E8" s="1">
        <v>0</v>
      </c>
      <c r="F8" s="1">
        <v>0</v>
      </c>
      <c r="G8" s="9">
        <f>SUM(AZ_FINANCIAL)</f>
        <v>0</v>
      </c>
      <c r="I8" s="13" t="s">
        <v>14</v>
      </c>
      <c r="J8" s="16"/>
      <c r="L8" s="6"/>
      <c r="V8" s="9"/>
    </row>
    <row r="9" spans="1:22">
      <c r="A9" s="1" t="s">
        <v>15</v>
      </c>
      <c r="B9" s="6">
        <v>0</v>
      </c>
      <c r="C9" s="1">
        <v>0</v>
      </c>
      <c r="D9" s="1">
        <v>0</v>
      </c>
      <c r="E9" s="1">
        <v>0</v>
      </c>
      <c r="F9" s="1">
        <v>0</v>
      </c>
      <c r="G9" s="9">
        <f>SUM(AR_FINANCIAL)</f>
        <v>0</v>
      </c>
      <c r="I9" s="13"/>
      <c r="J9" s="16"/>
      <c r="L9" s="6"/>
      <c r="V9" s="9"/>
    </row>
    <row r="10" spans="1:22">
      <c r="A10" s="1" t="s">
        <v>16</v>
      </c>
      <c r="B10" s="6">
        <v>0</v>
      </c>
      <c r="C10" s="1">
        <v>0</v>
      </c>
      <c r="D10" s="1">
        <v>0</v>
      </c>
      <c r="E10" s="1">
        <v>0</v>
      </c>
      <c r="F10" s="1">
        <v>0</v>
      </c>
      <c r="G10" s="9">
        <f>SUM(CA_FINANCIAL)</f>
        <v>0</v>
      </c>
      <c r="I10" s="13" t="s">
        <v>17</v>
      </c>
      <c r="J10" s="16">
        <v>419826573</v>
      </c>
      <c r="L10" s="6"/>
      <c r="V10" s="9"/>
    </row>
    <row r="11" spans="1:22">
      <c r="A11" s="1" t="s">
        <v>18</v>
      </c>
      <c r="B11" s="6">
        <v>21554.167543658281</v>
      </c>
      <c r="C11" s="1">
        <v>1218781.5809690382</v>
      </c>
      <c r="D11" s="1">
        <v>0</v>
      </c>
      <c r="E11" s="1">
        <v>0</v>
      </c>
      <c r="F11" s="1">
        <v>0</v>
      </c>
      <c r="G11" s="9">
        <f>SUM(CO_FINANCIAL)</f>
        <v>1240335.7485126965</v>
      </c>
      <c r="I11" s="13"/>
      <c r="J11" s="16"/>
      <c r="L11" s="6">
        <v>0</v>
      </c>
      <c r="M11" s="1">
        <v>0</v>
      </c>
      <c r="O11" s="1">
        <v>0</v>
      </c>
      <c r="P11" s="1">
        <v>1924620</v>
      </c>
      <c r="R11" s="1">
        <v>0</v>
      </c>
      <c r="S11" s="1">
        <v>0</v>
      </c>
      <c r="U11" s="1">
        <v>0</v>
      </c>
      <c r="V11" s="9">
        <v>0</v>
      </c>
    </row>
    <row r="12" spans="1:22">
      <c r="A12" s="1" t="s">
        <v>19</v>
      </c>
      <c r="B12" s="6">
        <v>0</v>
      </c>
      <c r="C12" s="1">
        <v>0</v>
      </c>
      <c r="D12" s="1">
        <v>0</v>
      </c>
      <c r="E12" s="1">
        <v>0</v>
      </c>
      <c r="F12" s="1">
        <v>0</v>
      </c>
      <c r="G12" s="9">
        <f>SUM(CT_FINANCIAL)</f>
        <v>0</v>
      </c>
      <c r="I12" s="13" t="s">
        <v>20</v>
      </c>
      <c r="J12" s="16"/>
      <c r="L12" s="6"/>
      <c r="V12" s="9"/>
    </row>
    <row r="13" spans="1:22">
      <c r="A13" s="1" t="s">
        <v>21</v>
      </c>
      <c r="B13" s="6">
        <v>329441.42734756018</v>
      </c>
      <c r="C13" s="1">
        <v>8149094.785906883</v>
      </c>
      <c r="D13" s="1">
        <v>0</v>
      </c>
      <c r="E13" s="1">
        <v>0</v>
      </c>
      <c r="F13" s="1">
        <v>0</v>
      </c>
      <c r="G13" s="9">
        <f>SUM(DE_FINANCIAL)</f>
        <v>8478536.2132544424</v>
      </c>
      <c r="I13" s="13" t="s">
        <v>22</v>
      </c>
      <c r="J13" s="16">
        <v>-2321488.0000000005</v>
      </c>
      <c r="L13" s="6">
        <v>3006453</v>
      </c>
      <c r="M13" s="1">
        <v>0</v>
      </c>
      <c r="O13" s="1">
        <v>10258760</v>
      </c>
      <c r="P13" s="1">
        <v>0</v>
      </c>
      <c r="R13" s="1">
        <v>0</v>
      </c>
      <c r="S13" s="1">
        <v>0</v>
      </c>
      <c r="U13" s="1">
        <v>984787</v>
      </c>
      <c r="V13" s="9">
        <v>0</v>
      </c>
    </row>
    <row r="14" spans="1:22">
      <c r="A14" s="1" t="s">
        <v>23</v>
      </c>
      <c r="B14" s="6">
        <v>0</v>
      </c>
      <c r="C14" s="1">
        <v>0</v>
      </c>
      <c r="D14" s="1">
        <v>0</v>
      </c>
      <c r="E14" s="1">
        <v>0</v>
      </c>
      <c r="F14" s="1">
        <v>0</v>
      </c>
      <c r="G14" s="9">
        <f>SUM(DC_FINANCIAL)</f>
        <v>0</v>
      </c>
      <c r="I14" s="13" t="s">
        <v>24</v>
      </c>
      <c r="J14" s="16">
        <v>2861498</v>
      </c>
      <c r="L14" s="6"/>
      <c r="V14" s="9"/>
    </row>
    <row r="15" spans="1:22">
      <c r="A15" s="1" t="s">
        <v>25</v>
      </c>
      <c r="B15" s="6">
        <v>2495832.905916662</v>
      </c>
      <c r="C15" s="1">
        <v>51330533.099962324</v>
      </c>
      <c r="D15" s="1">
        <v>0</v>
      </c>
      <c r="E15" s="1">
        <v>0</v>
      </c>
      <c r="F15" s="1">
        <v>0</v>
      </c>
      <c r="G15" s="9">
        <f>SUM(FL_FINANCIAL)</f>
        <v>53826366.005878985</v>
      </c>
      <c r="I15" s="13" t="s">
        <v>26</v>
      </c>
      <c r="J15" s="16">
        <v>5733656.8519883724</v>
      </c>
      <c r="L15" s="6">
        <v>0</v>
      </c>
      <c r="M15" s="1">
        <v>0</v>
      </c>
      <c r="O15" s="1">
        <v>85429492</v>
      </c>
      <c r="P15" s="1">
        <v>0</v>
      </c>
      <c r="R15" s="1">
        <v>0</v>
      </c>
      <c r="S15" s="1">
        <v>0</v>
      </c>
      <c r="U15" s="1">
        <v>0</v>
      </c>
      <c r="V15" s="9">
        <v>0</v>
      </c>
    </row>
    <row r="16" spans="1:22">
      <c r="A16" s="1" t="s">
        <v>27</v>
      </c>
      <c r="B16" s="6">
        <v>219419.61314231076</v>
      </c>
      <c r="C16" s="1">
        <v>545001.21041551651</v>
      </c>
      <c r="D16" s="1">
        <v>0</v>
      </c>
      <c r="E16" s="1">
        <v>0</v>
      </c>
      <c r="F16" s="1">
        <v>0</v>
      </c>
      <c r="G16" s="9">
        <f>SUM(GA_FINANCIAL)</f>
        <v>764420.82355782727</v>
      </c>
      <c r="I16" s="13" t="s">
        <v>28</v>
      </c>
      <c r="J16" s="16">
        <v>0</v>
      </c>
      <c r="L16" s="6">
        <v>594918</v>
      </c>
      <c r="M16" s="1">
        <v>0</v>
      </c>
      <c r="O16" s="1">
        <v>1435372</v>
      </c>
      <c r="P16" s="1">
        <v>40044.050000000003</v>
      </c>
      <c r="R16" s="1">
        <v>0</v>
      </c>
      <c r="S16" s="1">
        <v>0</v>
      </c>
      <c r="U16" s="1">
        <v>0</v>
      </c>
      <c r="V16" s="9">
        <v>0</v>
      </c>
    </row>
    <row r="17" spans="1:22">
      <c r="A17" s="1" t="s">
        <v>29</v>
      </c>
      <c r="B17" s="6">
        <v>0</v>
      </c>
      <c r="C17" s="1">
        <v>0</v>
      </c>
      <c r="D17" s="1">
        <v>0</v>
      </c>
      <c r="E17" s="1">
        <v>0</v>
      </c>
      <c r="F17" s="1">
        <v>0</v>
      </c>
      <c r="G17" s="9">
        <f>SUM(HI_FINANCIAL)</f>
        <v>0</v>
      </c>
      <c r="I17" s="13"/>
      <c r="J17" s="16"/>
      <c r="L17" s="6"/>
      <c r="V17" s="9"/>
    </row>
    <row r="18" spans="1:22">
      <c r="A18" s="1" t="s">
        <v>30</v>
      </c>
      <c r="B18" s="6">
        <v>0</v>
      </c>
      <c r="C18" s="1">
        <v>0</v>
      </c>
      <c r="D18" s="1">
        <v>0</v>
      </c>
      <c r="E18" s="1">
        <v>0</v>
      </c>
      <c r="F18" s="1">
        <v>0</v>
      </c>
      <c r="G18" s="9">
        <f>SUM(ID_FINANCIAL)</f>
        <v>0</v>
      </c>
      <c r="I18" s="13" t="s">
        <v>31</v>
      </c>
      <c r="J18" s="16"/>
      <c r="L18" s="6"/>
      <c r="V18" s="9"/>
    </row>
    <row r="19" spans="1:22">
      <c r="A19" s="1" t="s">
        <v>32</v>
      </c>
      <c r="B19" s="6">
        <v>0</v>
      </c>
      <c r="C19" s="1">
        <v>0</v>
      </c>
      <c r="D19" s="1">
        <v>0</v>
      </c>
      <c r="E19" s="1">
        <v>0</v>
      </c>
      <c r="F19" s="1">
        <v>0</v>
      </c>
      <c r="G19" s="9">
        <f>SUM(IL_FINANCIAL)</f>
        <v>0</v>
      </c>
      <c r="I19" s="13" t="s">
        <v>33</v>
      </c>
      <c r="J19" s="16">
        <v>100737</v>
      </c>
      <c r="L19" s="6"/>
      <c r="V19" s="9"/>
    </row>
    <row r="20" spans="1:22">
      <c r="A20" s="1" t="s">
        <v>34</v>
      </c>
      <c r="B20" s="6">
        <v>90983.480918587826</v>
      </c>
      <c r="C20" s="1">
        <v>6724348.0383311957</v>
      </c>
      <c r="D20" s="1">
        <v>0</v>
      </c>
      <c r="E20" s="1">
        <v>0</v>
      </c>
      <c r="F20" s="1">
        <v>0</v>
      </c>
      <c r="G20" s="9">
        <f>SUM(IN_FINANCIAL)</f>
        <v>6815331.5192497838</v>
      </c>
      <c r="I20" s="13" t="s">
        <v>35</v>
      </c>
      <c r="J20" s="16">
        <v>3944359</v>
      </c>
      <c r="L20" s="6">
        <v>0</v>
      </c>
      <c r="M20" s="1">
        <v>0</v>
      </c>
      <c r="O20" s="1">
        <v>0</v>
      </c>
      <c r="P20" s="1">
        <v>0</v>
      </c>
      <c r="R20" s="1">
        <v>0</v>
      </c>
      <c r="S20" s="1">
        <v>0</v>
      </c>
      <c r="U20" s="1">
        <v>0</v>
      </c>
      <c r="V20" s="9">
        <v>0</v>
      </c>
    </row>
    <row r="21" spans="1:22">
      <c r="A21" s="1" t="s">
        <v>36</v>
      </c>
      <c r="B21" s="6">
        <v>599543.22984512057</v>
      </c>
      <c r="C21" s="1">
        <v>5451883.9251312707</v>
      </c>
      <c r="D21" s="1">
        <v>0</v>
      </c>
      <c r="E21" s="1">
        <v>0</v>
      </c>
      <c r="F21" s="1">
        <v>0</v>
      </c>
      <c r="G21" s="9">
        <f>SUM(IA_FINANCIAL)</f>
        <v>6051427.1549763912</v>
      </c>
      <c r="I21" s="13" t="s">
        <v>37</v>
      </c>
      <c r="J21" s="16"/>
      <c r="L21" s="6">
        <v>811575</v>
      </c>
      <c r="M21" s="1">
        <v>0</v>
      </c>
      <c r="O21" s="1">
        <v>8763450</v>
      </c>
      <c r="P21" s="1">
        <v>0</v>
      </c>
      <c r="R21" s="1">
        <v>0</v>
      </c>
      <c r="S21" s="1">
        <v>0</v>
      </c>
      <c r="U21" s="1">
        <v>0</v>
      </c>
      <c r="V21" s="9">
        <v>0</v>
      </c>
    </row>
    <row r="22" spans="1:22">
      <c r="A22" s="1" t="s">
        <v>38</v>
      </c>
      <c r="B22" s="6">
        <v>37390.646664146916</v>
      </c>
      <c r="C22" s="1">
        <v>800055.98029148951</v>
      </c>
      <c r="D22" s="1">
        <v>0</v>
      </c>
      <c r="E22" s="1">
        <v>0</v>
      </c>
      <c r="F22" s="1">
        <v>0</v>
      </c>
      <c r="G22" s="9">
        <f>SUM(KS_FINANCIAL)</f>
        <v>837446.62695563643</v>
      </c>
      <c r="I22" s="13" t="s">
        <v>39</v>
      </c>
      <c r="J22" s="16">
        <v>17758201</v>
      </c>
      <c r="L22" s="6">
        <v>0</v>
      </c>
      <c r="M22" s="1">
        <v>0</v>
      </c>
      <c r="O22" s="1">
        <v>1150000</v>
      </c>
      <c r="P22" s="1">
        <v>0</v>
      </c>
      <c r="R22" s="1">
        <v>0</v>
      </c>
      <c r="S22" s="1">
        <v>0</v>
      </c>
      <c r="U22" s="1">
        <v>0</v>
      </c>
      <c r="V22" s="9">
        <v>0</v>
      </c>
    </row>
    <row r="23" spans="1:22">
      <c r="A23" s="1" t="s">
        <v>40</v>
      </c>
      <c r="B23" s="6">
        <v>0</v>
      </c>
      <c r="C23" s="1">
        <v>0</v>
      </c>
      <c r="D23" s="1">
        <v>0</v>
      </c>
      <c r="E23" s="1">
        <v>0</v>
      </c>
      <c r="F23" s="1">
        <v>0</v>
      </c>
      <c r="G23" s="9">
        <f>SUM(KY_FINANCIAL)</f>
        <v>0</v>
      </c>
      <c r="I23" s="13" t="s">
        <v>41</v>
      </c>
      <c r="J23" s="16"/>
      <c r="L23" s="6"/>
      <c r="V23" s="9"/>
    </row>
    <row r="24" spans="1:22">
      <c r="A24" s="1" t="s">
        <v>42</v>
      </c>
      <c r="B24" s="6">
        <v>35987.200166852446</v>
      </c>
      <c r="C24" s="1">
        <v>3428482.7713630414</v>
      </c>
      <c r="D24" s="1">
        <v>0</v>
      </c>
      <c r="E24" s="1">
        <v>0</v>
      </c>
      <c r="F24" s="1">
        <v>0</v>
      </c>
      <c r="G24" s="9">
        <f>SUM(LA_FINANCIAL)</f>
        <v>3464469.9715298936</v>
      </c>
      <c r="I24" s="13" t="s">
        <v>43</v>
      </c>
      <c r="J24" s="16">
        <v>252441563.20665845</v>
      </c>
      <c r="L24" s="6">
        <v>137291</v>
      </c>
      <c r="M24" s="1">
        <v>0</v>
      </c>
      <c r="O24" s="1">
        <v>7008009</v>
      </c>
      <c r="P24" s="1">
        <v>0</v>
      </c>
      <c r="R24" s="1">
        <v>0</v>
      </c>
      <c r="S24" s="1">
        <v>0</v>
      </c>
      <c r="U24" s="1">
        <v>0</v>
      </c>
      <c r="V24" s="9">
        <v>0</v>
      </c>
    </row>
    <row r="25" spans="1:22">
      <c r="A25" s="1" t="s">
        <v>44</v>
      </c>
      <c r="B25" s="6">
        <v>0</v>
      </c>
      <c r="C25" s="1">
        <v>0</v>
      </c>
      <c r="D25" s="1">
        <v>0</v>
      </c>
      <c r="E25" s="1">
        <v>0</v>
      </c>
      <c r="F25" s="1">
        <v>0</v>
      </c>
      <c r="G25" s="9">
        <f>SUM(ME_FINANCIAL)</f>
        <v>0</v>
      </c>
      <c r="I25" s="13"/>
      <c r="J25" s="16"/>
      <c r="L25" s="6"/>
      <c r="V25" s="9"/>
    </row>
    <row r="26" spans="1:22">
      <c r="A26" s="1" t="s">
        <v>45</v>
      </c>
      <c r="B26" s="6">
        <v>0</v>
      </c>
      <c r="C26" s="1">
        <v>0</v>
      </c>
      <c r="D26" s="1">
        <v>0</v>
      </c>
      <c r="E26" s="1">
        <v>0</v>
      </c>
      <c r="F26" s="1">
        <v>0</v>
      </c>
      <c r="G26" s="9">
        <f>SUM(MD_FINANCIAL)</f>
        <v>0</v>
      </c>
      <c r="I26" s="13" t="s">
        <v>46</v>
      </c>
      <c r="J26" s="16">
        <f>SUM(ADD_FINANCIAL)-SUM(LESS_FINANCIAL)</f>
        <v>151855379.64532989</v>
      </c>
      <c r="L26" s="6"/>
      <c r="V26" s="9"/>
    </row>
    <row r="27" spans="1:22">
      <c r="A27" s="1" t="s">
        <v>47</v>
      </c>
      <c r="B27" s="6">
        <v>0</v>
      </c>
      <c r="C27" s="1">
        <v>0</v>
      </c>
      <c r="D27" s="1">
        <v>0</v>
      </c>
      <c r="E27" s="1">
        <v>0</v>
      </c>
      <c r="F27" s="1">
        <v>0</v>
      </c>
      <c r="G27" s="9">
        <f>SUM(MA_FINANCIAL)</f>
        <v>0</v>
      </c>
      <c r="I27" s="13" t="s">
        <v>48</v>
      </c>
      <c r="J27" s="16">
        <f>SUM(ALL_BLOCKS)</f>
        <v>151855379.64532992</v>
      </c>
      <c r="L27" s="6"/>
      <c r="V27" s="9"/>
    </row>
    <row r="28" spans="1:22">
      <c r="A28" s="1" t="s">
        <v>49</v>
      </c>
      <c r="B28" s="6">
        <v>932615.41866951762</v>
      </c>
      <c r="C28" s="1">
        <v>26709621.334226452</v>
      </c>
      <c r="D28" s="1">
        <v>0</v>
      </c>
      <c r="E28" s="1">
        <v>0</v>
      </c>
      <c r="F28" s="1">
        <v>0</v>
      </c>
      <c r="G28" s="9">
        <f>SUM(MI_FINANCIAL)</f>
        <v>27642236.75289597</v>
      </c>
      <c r="I28" s="14"/>
      <c r="J28" s="17"/>
      <c r="L28" s="6">
        <v>2450000</v>
      </c>
      <c r="M28" s="1">
        <v>0</v>
      </c>
      <c r="O28" s="1">
        <v>37500000</v>
      </c>
      <c r="P28" s="1">
        <v>5992034</v>
      </c>
      <c r="R28" s="1">
        <v>0</v>
      </c>
      <c r="S28" s="1">
        <v>0</v>
      </c>
      <c r="U28" s="1">
        <v>0</v>
      </c>
      <c r="V28" s="9">
        <v>0</v>
      </c>
    </row>
    <row r="29" spans="1:22">
      <c r="A29" s="1" t="s">
        <v>50</v>
      </c>
      <c r="B29" s="6">
        <v>0</v>
      </c>
      <c r="C29" s="1">
        <v>0</v>
      </c>
      <c r="D29" s="1">
        <v>0</v>
      </c>
      <c r="E29" s="1">
        <v>0</v>
      </c>
      <c r="F29" s="1">
        <v>0</v>
      </c>
      <c r="G29" s="9">
        <f>SUM(MN_FINANCIAL)</f>
        <v>0</v>
      </c>
      <c r="L29" s="6"/>
      <c r="V29" s="9"/>
    </row>
    <row r="30" spans="1:22">
      <c r="A30" s="1" t="s">
        <v>51</v>
      </c>
      <c r="B30" s="6">
        <v>6559.0574766824466</v>
      </c>
      <c r="C30" s="1">
        <v>3152037.7001612121</v>
      </c>
      <c r="D30" s="1">
        <v>0</v>
      </c>
      <c r="E30" s="1">
        <v>0</v>
      </c>
      <c r="F30" s="1">
        <v>0</v>
      </c>
      <c r="G30" s="9">
        <f>SUM(MS_FINANCIAL)</f>
        <v>3158596.7576378947</v>
      </c>
      <c r="L30" s="6">
        <v>3954136</v>
      </c>
      <c r="M30" s="1">
        <v>0</v>
      </c>
      <c r="O30" s="1">
        <v>3293237</v>
      </c>
      <c r="P30" s="1">
        <v>0</v>
      </c>
      <c r="R30" s="1">
        <v>0</v>
      </c>
      <c r="S30" s="1">
        <v>0</v>
      </c>
      <c r="U30" s="1">
        <v>1549049</v>
      </c>
      <c r="V30" s="9">
        <v>0</v>
      </c>
    </row>
    <row r="31" spans="1:22">
      <c r="A31" s="1" t="s">
        <v>52</v>
      </c>
      <c r="B31" s="6">
        <v>78468.03883085429</v>
      </c>
      <c r="C31" s="1">
        <v>1722412.101441374</v>
      </c>
      <c r="D31" s="1">
        <v>0</v>
      </c>
      <c r="E31" s="1">
        <v>0</v>
      </c>
      <c r="F31" s="1">
        <v>0</v>
      </c>
      <c r="G31" s="9">
        <f>SUM(MO_FINANCIAL)</f>
        <v>1800880.1402722283</v>
      </c>
      <c r="L31" s="6">
        <v>290680</v>
      </c>
      <c r="M31" s="1">
        <v>0</v>
      </c>
      <c r="O31" s="1">
        <v>4195650</v>
      </c>
      <c r="P31" s="1">
        <v>0</v>
      </c>
      <c r="R31" s="1">
        <v>0</v>
      </c>
      <c r="S31" s="1">
        <v>0</v>
      </c>
      <c r="U31" s="1">
        <v>0</v>
      </c>
      <c r="V31" s="9">
        <v>0</v>
      </c>
    </row>
    <row r="32" spans="1:22">
      <c r="A32" s="1" t="s">
        <v>53</v>
      </c>
      <c r="B32" s="6">
        <v>0</v>
      </c>
      <c r="C32" s="1">
        <v>-9586.8094506012876</v>
      </c>
      <c r="D32" s="1">
        <v>0</v>
      </c>
      <c r="E32" s="1">
        <v>0</v>
      </c>
      <c r="F32" s="1">
        <v>0</v>
      </c>
      <c r="G32" s="9">
        <f>SUM(MT_FINANCIAL)</f>
        <v>-9586.8094506012876</v>
      </c>
      <c r="L32" s="6"/>
      <c r="V32" s="9"/>
    </row>
    <row r="33" spans="1:22">
      <c r="A33" s="1" t="s">
        <v>54</v>
      </c>
      <c r="B33" s="6">
        <v>134117.63298271806</v>
      </c>
      <c r="C33" s="1">
        <v>2248564.4673409956</v>
      </c>
      <c r="D33" s="1">
        <v>0</v>
      </c>
      <c r="E33" s="1">
        <v>0</v>
      </c>
      <c r="F33" s="1">
        <v>0</v>
      </c>
      <c r="G33" s="9">
        <f>SUM(NE_FINANCIAL)</f>
        <v>2382682.1003237134</v>
      </c>
      <c r="L33" s="6">
        <v>206913</v>
      </c>
      <c r="M33" s="1">
        <v>0</v>
      </c>
      <c r="O33" s="1">
        <v>3856826</v>
      </c>
      <c r="P33" s="1">
        <v>0</v>
      </c>
      <c r="R33" s="1">
        <v>0</v>
      </c>
      <c r="S33" s="1">
        <v>0</v>
      </c>
      <c r="U33" s="1">
        <v>0</v>
      </c>
      <c r="V33" s="9">
        <v>0</v>
      </c>
    </row>
    <row r="34" spans="1:22">
      <c r="A34" s="1" t="s">
        <v>55</v>
      </c>
      <c r="B34" s="6">
        <v>0</v>
      </c>
      <c r="C34" s="1">
        <v>0</v>
      </c>
      <c r="D34" s="1">
        <v>0</v>
      </c>
      <c r="E34" s="1">
        <v>0</v>
      </c>
      <c r="F34" s="1">
        <v>0</v>
      </c>
      <c r="G34" s="9">
        <f>SUM(NV_FINANCIAL)</f>
        <v>0</v>
      </c>
      <c r="L34" s="6"/>
      <c r="V34" s="9"/>
    </row>
    <row r="35" spans="1:22">
      <c r="A35" s="1" t="s">
        <v>56</v>
      </c>
      <c r="B35" s="6">
        <v>0</v>
      </c>
      <c r="C35" s="1">
        <v>0</v>
      </c>
      <c r="D35" s="1">
        <v>0</v>
      </c>
      <c r="E35" s="1">
        <v>0</v>
      </c>
      <c r="F35" s="1">
        <v>0</v>
      </c>
      <c r="G35" s="9">
        <f>SUM(NH_FINANCIAL)</f>
        <v>0</v>
      </c>
      <c r="L35" s="6"/>
      <c r="V35" s="9"/>
    </row>
    <row r="36" spans="1:22">
      <c r="A36" s="1" t="s">
        <v>57</v>
      </c>
      <c r="B36" s="6">
        <v>0</v>
      </c>
      <c r="C36" s="1">
        <v>0</v>
      </c>
      <c r="D36" s="1">
        <v>0</v>
      </c>
      <c r="E36" s="1">
        <v>0</v>
      </c>
      <c r="F36" s="1">
        <v>0</v>
      </c>
      <c r="G36" s="9">
        <f>SUM(NJ_FINANCIAL)</f>
        <v>0</v>
      </c>
      <c r="L36" s="6"/>
      <c r="V36" s="9"/>
    </row>
    <row r="37" spans="1:22">
      <c r="A37" s="1" t="s">
        <v>58</v>
      </c>
      <c r="B37" s="6">
        <v>-3267.3240857737837</v>
      </c>
      <c r="C37" s="1">
        <v>-19701.353234494833</v>
      </c>
      <c r="D37" s="1">
        <v>0</v>
      </c>
      <c r="E37" s="1">
        <v>0</v>
      </c>
      <c r="F37" s="1">
        <v>0</v>
      </c>
      <c r="G37" s="9">
        <f>SUM(NM_FINANCIAL)</f>
        <v>-22968.677320268616</v>
      </c>
      <c r="L37" s="6">
        <v>0</v>
      </c>
      <c r="M37" s="1">
        <v>0</v>
      </c>
      <c r="O37" s="1">
        <v>90000</v>
      </c>
      <c r="P37" s="1">
        <v>0</v>
      </c>
      <c r="R37" s="1">
        <v>0</v>
      </c>
      <c r="S37" s="1">
        <v>0</v>
      </c>
      <c r="U37" s="1">
        <v>0</v>
      </c>
      <c r="V37" s="9">
        <v>0</v>
      </c>
    </row>
    <row r="38" spans="1:22">
      <c r="A38" s="1" t="s">
        <v>59</v>
      </c>
      <c r="B38" s="6">
        <v>0</v>
      </c>
      <c r="C38" s="1">
        <v>0</v>
      </c>
      <c r="D38" s="1">
        <v>0</v>
      </c>
      <c r="E38" s="1">
        <v>0</v>
      </c>
      <c r="F38" s="1">
        <v>0</v>
      </c>
      <c r="G38" s="9">
        <f>SUM(NY_FINANCIAL)</f>
        <v>0</v>
      </c>
      <c r="L38" s="6"/>
      <c r="V38" s="9"/>
    </row>
    <row r="39" spans="1:22">
      <c r="A39" s="1" t="s">
        <v>60</v>
      </c>
      <c r="B39" s="6">
        <v>0</v>
      </c>
      <c r="C39" s="1">
        <v>0</v>
      </c>
      <c r="D39" s="1">
        <v>0</v>
      </c>
      <c r="E39" s="1">
        <v>0</v>
      </c>
      <c r="F39" s="1">
        <v>0</v>
      </c>
      <c r="G39" s="9">
        <f>SUM(NC_FINANCIAL)</f>
        <v>0</v>
      </c>
      <c r="L39" s="6"/>
      <c r="V39" s="9"/>
    </row>
    <row r="40" spans="1:22">
      <c r="A40" s="1" t="s">
        <v>61</v>
      </c>
      <c r="B40" s="6">
        <v>0</v>
      </c>
      <c r="C40" s="1">
        <v>70680.57537870841</v>
      </c>
      <c r="D40" s="1">
        <v>0</v>
      </c>
      <c r="E40" s="1">
        <v>0</v>
      </c>
      <c r="F40" s="1">
        <v>0</v>
      </c>
      <c r="G40" s="9">
        <f>SUM(ND_FINANCIAL)</f>
        <v>70680.57537870841</v>
      </c>
      <c r="L40" s="6">
        <v>0</v>
      </c>
      <c r="M40" s="1">
        <v>0</v>
      </c>
      <c r="O40" s="1">
        <v>105700</v>
      </c>
      <c r="P40" s="1">
        <v>0</v>
      </c>
      <c r="R40" s="1">
        <v>0</v>
      </c>
      <c r="S40" s="1">
        <v>0</v>
      </c>
      <c r="U40" s="1">
        <v>0</v>
      </c>
      <c r="V40" s="9">
        <v>0</v>
      </c>
    </row>
    <row r="41" spans="1:22">
      <c r="A41" s="1" t="s">
        <v>62</v>
      </c>
      <c r="B41" s="6">
        <v>0</v>
      </c>
      <c r="C41" s="1">
        <v>0</v>
      </c>
      <c r="D41" s="1">
        <v>0</v>
      </c>
      <c r="E41" s="1">
        <v>0</v>
      </c>
      <c r="F41" s="1">
        <v>0</v>
      </c>
      <c r="G41" s="9">
        <f>SUM(OH_FINANCIAL)</f>
        <v>0</v>
      </c>
      <c r="L41" s="6"/>
      <c r="V41" s="9"/>
    </row>
    <row r="42" spans="1:22">
      <c r="A42" s="1" t="s">
        <v>63</v>
      </c>
      <c r="B42" s="6">
        <v>0</v>
      </c>
      <c r="C42" s="1">
        <v>0</v>
      </c>
      <c r="D42" s="1">
        <v>0</v>
      </c>
      <c r="E42" s="1">
        <v>0</v>
      </c>
      <c r="F42" s="1">
        <v>0</v>
      </c>
      <c r="G42" s="9">
        <f>SUM(OK_FINANCIAL)</f>
        <v>0</v>
      </c>
      <c r="L42" s="6"/>
      <c r="V42" s="9"/>
    </row>
    <row r="43" spans="1:22">
      <c r="A43" s="1" t="s">
        <v>64</v>
      </c>
      <c r="B43" s="6">
        <v>0</v>
      </c>
      <c r="C43" s="1">
        <v>0</v>
      </c>
      <c r="D43" s="1">
        <v>0</v>
      </c>
      <c r="E43" s="1">
        <v>0</v>
      </c>
      <c r="F43" s="1">
        <v>0</v>
      </c>
      <c r="G43" s="9">
        <f>SUM(OR_FINANCIAL)</f>
        <v>0</v>
      </c>
      <c r="L43" s="6"/>
      <c r="V43" s="9"/>
    </row>
    <row r="44" spans="1:22">
      <c r="A44" s="1" t="s">
        <v>65</v>
      </c>
      <c r="B44" s="6">
        <v>0</v>
      </c>
      <c r="C44" s="1">
        <v>0</v>
      </c>
      <c r="D44" s="1">
        <v>0</v>
      </c>
      <c r="E44" s="1">
        <v>0</v>
      </c>
      <c r="F44" s="1">
        <v>0</v>
      </c>
      <c r="G44" s="9">
        <f>SUM(PA_FINANCIAL)</f>
        <v>0</v>
      </c>
      <c r="L44" s="6"/>
      <c r="V44" s="9"/>
    </row>
    <row r="45" spans="1:22">
      <c r="A45" s="1" t="s">
        <v>66</v>
      </c>
      <c r="B45" s="6">
        <v>0</v>
      </c>
      <c r="C45" s="1">
        <v>0</v>
      </c>
      <c r="D45" s="1">
        <v>0</v>
      </c>
      <c r="E45" s="1">
        <v>0</v>
      </c>
      <c r="F45" s="1">
        <v>0</v>
      </c>
      <c r="G45" s="9">
        <f>SUM(PR_FINANCIAL)</f>
        <v>0</v>
      </c>
      <c r="L45" s="6"/>
      <c r="V45" s="9"/>
    </row>
    <row r="46" spans="1:22">
      <c r="A46" s="1" t="s">
        <v>67</v>
      </c>
      <c r="B46" s="6">
        <v>0</v>
      </c>
      <c r="C46" s="1">
        <v>0</v>
      </c>
      <c r="D46" s="1">
        <v>0</v>
      </c>
      <c r="E46" s="1">
        <v>0</v>
      </c>
      <c r="F46" s="1">
        <v>0</v>
      </c>
      <c r="G46" s="9">
        <f>SUM(RI_FINANCIAL)</f>
        <v>0</v>
      </c>
      <c r="L46" s="6"/>
      <c r="V46" s="9"/>
    </row>
    <row r="47" spans="1:22">
      <c r="A47" s="1" t="s">
        <v>68</v>
      </c>
      <c r="B47" s="6">
        <v>19919.059048813477</v>
      </c>
      <c r="C47" s="1">
        <v>37375.763157040346</v>
      </c>
      <c r="D47" s="1">
        <v>0</v>
      </c>
      <c r="E47" s="1">
        <v>0</v>
      </c>
      <c r="F47" s="1">
        <v>0</v>
      </c>
      <c r="G47" s="9">
        <f>SUM(SC_FINANCIAL)</f>
        <v>57294.822205853823</v>
      </c>
      <c r="L47" s="6"/>
      <c r="V47" s="9"/>
    </row>
    <row r="48" spans="1:22">
      <c r="A48" s="1" t="s">
        <v>69</v>
      </c>
      <c r="B48" s="6">
        <v>0</v>
      </c>
      <c r="C48" s="1">
        <v>49348.206337676442</v>
      </c>
      <c r="D48" s="1">
        <v>0</v>
      </c>
      <c r="E48" s="1">
        <v>0</v>
      </c>
      <c r="F48" s="1">
        <v>0</v>
      </c>
      <c r="G48" s="9">
        <f>SUM(SD_FINANCIAL)</f>
        <v>49348.206337676442</v>
      </c>
      <c r="L48" s="6">
        <v>0</v>
      </c>
      <c r="M48" s="1">
        <v>0</v>
      </c>
      <c r="O48" s="1">
        <v>122999</v>
      </c>
      <c r="P48" s="1">
        <v>0</v>
      </c>
      <c r="R48" s="1">
        <v>0</v>
      </c>
      <c r="S48" s="1">
        <v>0</v>
      </c>
      <c r="U48" s="1">
        <v>0</v>
      </c>
      <c r="V48" s="9">
        <v>0</v>
      </c>
    </row>
    <row r="49" spans="1:22">
      <c r="A49" s="1" t="s">
        <v>70</v>
      </c>
      <c r="B49" s="6">
        <v>106201.74561528728</v>
      </c>
      <c r="C49" s="1">
        <v>7976111.1364499256</v>
      </c>
      <c r="D49" s="1">
        <v>0</v>
      </c>
      <c r="E49" s="1">
        <v>0</v>
      </c>
      <c r="F49" s="1">
        <v>0</v>
      </c>
      <c r="G49" s="9">
        <f>SUM(TN_FINANCIAL)</f>
        <v>8082312.8820652133</v>
      </c>
      <c r="L49" s="6">
        <v>275000</v>
      </c>
      <c r="M49" s="1">
        <v>0</v>
      </c>
      <c r="O49" s="1">
        <v>22000000</v>
      </c>
      <c r="P49" s="1">
        <v>0</v>
      </c>
      <c r="R49" s="1">
        <v>0</v>
      </c>
      <c r="S49" s="1">
        <v>0</v>
      </c>
      <c r="U49" s="1">
        <v>0</v>
      </c>
      <c r="V49" s="9">
        <v>0</v>
      </c>
    </row>
    <row r="50" spans="1:22">
      <c r="A50" s="1" t="s">
        <v>71</v>
      </c>
      <c r="B50" s="6">
        <v>337047.32386478398</v>
      </c>
      <c r="C50" s="1">
        <v>24670936.424789049</v>
      </c>
      <c r="D50" s="1">
        <v>0</v>
      </c>
      <c r="E50" s="1">
        <v>0</v>
      </c>
      <c r="F50" s="1">
        <v>0</v>
      </c>
      <c r="G50" s="9">
        <f>SUM(TX_FINANCIAL)</f>
        <v>25007983.748653833</v>
      </c>
      <c r="L50" s="6">
        <v>762331</v>
      </c>
      <c r="M50" s="1">
        <v>176299.488132</v>
      </c>
      <c r="O50" s="1">
        <v>47665333</v>
      </c>
      <c r="P50" s="1">
        <v>11052967.271868</v>
      </c>
      <c r="R50" s="1">
        <v>0</v>
      </c>
      <c r="S50" s="1">
        <v>0</v>
      </c>
      <c r="U50" s="1">
        <v>0</v>
      </c>
      <c r="V50" s="9">
        <v>0</v>
      </c>
    </row>
    <row r="51" spans="1:22">
      <c r="A51" s="1" t="s">
        <v>72</v>
      </c>
      <c r="B51" s="6">
        <v>0</v>
      </c>
      <c r="C51" s="1">
        <v>-19443.299815025064</v>
      </c>
      <c r="D51" s="1">
        <v>0</v>
      </c>
      <c r="E51" s="1">
        <v>0</v>
      </c>
      <c r="F51" s="1">
        <v>0</v>
      </c>
      <c r="G51" s="9">
        <f>SUM(UT_FINANCIAL)</f>
        <v>-19443.299815025064</v>
      </c>
      <c r="L51" s="6">
        <v>0</v>
      </c>
      <c r="M51" s="1">
        <v>0</v>
      </c>
      <c r="O51" s="1">
        <v>67000</v>
      </c>
      <c r="P51" s="1">
        <v>0</v>
      </c>
      <c r="R51" s="1">
        <v>0</v>
      </c>
      <c r="S51" s="1">
        <v>0</v>
      </c>
      <c r="U51" s="1">
        <v>0</v>
      </c>
      <c r="V51" s="9">
        <v>0</v>
      </c>
    </row>
    <row r="52" spans="1:22">
      <c r="A52" s="1" t="s">
        <v>73</v>
      </c>
      <c r="B52" s="6">
        <v>0</v>
      </c>
      <c r="C52" s="1">
        <v>0</v>
      </c>
      <c r="D52" s="1">
        <v>0</v>
      </c>
      <c r="E52" s="1">
        <v>0</v>
      </c>
      <c r="F52" s="1">
        <v>0</v>
      </c>
      <c r="G52" s="9">
        <f>SUM(VT_FINANCIAL)</f>
        <v>0</v>
      </c>
      <c r="L52" s="6"/>
      <c r="V52" s="9"/>
    </row>
    <row r="53" spans="1:22">
      <c r="A53" s="1" t="s">
        <v>74</v>
      </c>
      <c r="B53" s="6">
        <v>0</v>
      </c>
      <c r="C53" s="1">
        <v>0</v>
      </c>
      <c r="D53" s="1">
        <v>0</v>
      </c>
      <c r="E53" s="1">
        <v>0</v>
      </c>
      <c r="F53" s="1">
        <v>0</v>
      </c>
      <c r="G53" s="9">
        <f>SUM(VA_FINANCIAL)</f>
        <v>0</v>
      </c>
      <c r="L53" s="6"/>
      <c r="V53" s="9"/>
    </row>
    <row r="54" spans="1:22">
      <c r="A54" s="1" t="s">
        <v>75</v>
      </c>
      <c r="B54" s="6">
        <v>0</v>
      </c>
      <c r="C54" s="1">
        <v>0</v>
      </c>
      <c r="D54" s="1">
        <v>0</v>
      </c>
      <c r="E54" s="1">
        <v>0</v>
      </c>
      <c r="F54" s="1">
        <v>0</v>
      </c>
      <c r="G54" s="9">
        <f>SUM(WA_FINANCIAL)</f>
        <v>0</v>
      </c>
      <c r="L54" s="6"/>
      <c r="V54" s="9"/>
    </row>
    <row r="55" spans="1:22">
      <c r="A55" s="1" t="s">
        <v>76</v>
      </c>
      <c r="B55" s="6">
        <v>72496.4058718741</v>
      </c>
      <c r="C55" s="1">
        <v>1543288.0334197888</v>
      </c>
      <c r="D55" s="1">
        <v>0</v>
      </c>
      <c r="E55" s="1">
        <v>0</v>
      </c>
      <c r="F55" s="1">
        <v>0</v>
      </c>
      <c r="G55" s="9">
        <f>SUM(WV_FINANCIAL)</f>
        <v>1615784.439291663</v>
      </c>
      <c r="L55" s="6">
        <v>778453</v>
      </c>
      <c r="M55" s="1">
        <v>76456</v>
      </c>
      <c r="O55" s="1">
        <v>3419739</v>
      </c>
      <c r="P55" s="1">
        <v>2684689</v>
      </c>
      <c r="R55" s="1">
        <v>0</v>
      </c>
      <c r="S55" s="1">
        <v>0</v>
      </c>
      <c r="U55" s="1">
        <v>51813</v>
      </c>
      <c r="V55" s="9">
        <v>0</v>
      </c>
    </row>
    <row r="56" spans="1:22">
      <c r="A56" s="1" t="s">
        <v>77</v>
      </c>
      <c r="B56" s="6">
        <v>0</v>
      </c>
      <c r="C56" s="1">
        <v>0</v>
      </c>
      <c r="D56" s="1">
        <v>0</v>
      </c>
      <c r="E56" s="1">
        <v>0</v>
      </c>
      <c r="F56" s="1">
        <v>0</v>
      </c>
      <c r="G56" s="9">
        <f>SUM(WI_FINANCIAL)</f>
        <v>0</v>
      </c>
      <c r="L56" s="6"/>
      <c r="V56" s="9"/>
    </row>
    <row r="57" spans="1:22">
      <c r="A57" s="1" t="s">
        <v>78</v>
      </c>
      <c r="B57" s="6">
        <v>0</v>
      </c>
      <c r="C57" s="1">
        <v>0</v>
      </c>
      <c r="D57" s="1">
        <v>0</v>
      </c>
      <c r="E57" s="1">
        <v>0</v>
      </c>
      <c r="F57" s="1">
        <v>0</v>
      </c>
      <c r="G57" s="9">
        <f>SUM(WY_FINANCIAL)</f>
        <v>0</v>
      </c>
      <c r="L57" s="6"/>
      <c r="V57" s="9"/>
    </row>
    <row r="58" spans="1:22">
      <c r="A58" s="1" t="s">
        <v>79</v>
      </c>
      <c r="B58" s="6">
        <v>0</v>
      </c>
      <c r="C58" s="1">
        <v>0</v>
      </c>
      <c r="D58" s="1">
        <v>0</v>
      </c>
      <c r="E58" s="1">
        <v>0</v>
      </c>
      <c r="F58" s="1">
        <v>0</v>
      </c>
      <c r="G58" s="9">
        <f>SUM(OT_FINANCIAL)</f>
        <v>0</v>
      </c>
      <c r="L58" s="6"/>
      <c r="V58" s="9"/>
    </row>
    <row r="59" spans="1:22">
      <c r="B59" s="6"/>
      <c r="G59" s="9"/>
      <c r="L59" s="6"/>
      <c r="V59" s="9"/>
    </row>
    <row r="60" spans="1:22">
      <c r="A60" s="1" t="s">
        <v>8</v>
      </c>
      <c r="B60" s="6">
        <f>SUM(LIFE)</f>
        <v>5524218.8873468246</v>
      </c>
      <c r="C60" s="1">
        <f>SUM(ALLOCATED)</f>
        <v>146331160.75798312</v>
      </c>
      <c r="D60" s="1">
        <f>SUM(HEALTH)</f>
        <v>0</v>
      </c>
      <c r="E60" s="1">
        <f>SUM(UNALLOCATED)</f>
        <v>0</v>
      </c>
      <c r="F60" s="1">
        <f>SUM(LTC)</f>
        <v>0</v>
      </c>
      <c r="G60" s="9">
        <f>SUM(ALL_BLOCKS)</f>
        <v>151855379.64532992</v>
      </c>
      <c r="L60" s="6">
        <f>SUM(LIFE_CALLED)</f>
        <v>13267750</v>
      </c>
      <c r="M60" s="1">
        <f>SUM(LIFE_REFUNDED)</f>
        <v>252755.488132</v>
      </c>
      <c r="O60" s="1">
        <f>SUM(ALLOC_CALLED)</f>
        <v>236361567</v>
      </c>
      <c r="P60" s="1">
        <f>SUM(ALLOC_REFUNDED)</f>
        <v>21694354.321867999</v>
      </c>
      <c r="R60" s="1">
        <f>SUM(HEALTH_CALLED)</f>
        <v>0</v>
      </c>
      <c r="S60" s="1">
        <f>SUM(HEALTH_REFUNDED)</f>
        <v>0</v>
      </c>
      <c r="U60" s="1">
        <f>SUM(UNALLOC_CALLED)</f>
        <v>2585649</v>
      </c>
      <c r="V60" s="9">
        <f>SUM(UNALLOC_REFUNDED)</f>
        <v>0</v>
      </c>
    </row>
    <row r="61" spans="1:22" ht="5.0999999999999996" customHeight="1">
      <c r="B61" s="6"/>
      <c r="G61" s="9"/>
      <c r="L61" s="6"/>
      <c r="V61" s="9"/>
    </row>
    <row r="62" spans="1:22">
      <c r="B62" s="6"/>
      <c r="G62" s="9"/>
      <c r="L62" s="78" t="s">
        <v>80</v>
      </c>
      <c r="M62" s="79"/>
      <c r="N62" s="79"/>
      <c r="O62" s="79"/>
      <c r="P62" s="79"/>
      <c r="Q62" s="79"/>
      <c r="R62" s="79"/>
      <c r="S62" s="79"/>
      <c r="T62" s="79"/>
      <c r="U62" s="79"/>
      <c r="V62" s="80"/>
    </row>
    <row r="63" spans="1:22">
      <c r="B63" s="6"/>
      <c r="G63" s="9"/>
      <c r="L63" s="81"/>
      <c r="M63" s="79"/>
      <c r="N63" s="79"/>
      <c r="O63" s="79"/>
      <c r="P63" s="79"/>
      <c r="Q63" s="79"/>
      <c r="R63" s="79"/>
      <c r="S63" s="79"/>
      <c r="T63" s="79"/>
      <c r="U63" s="79"/>
      <c r="V63" s="80"/>
    </row>
    <row r="64" spans="1:22">
      <c r="B64" s="8"/>
      <c r="C64" s="5"/>
      <c r="D64" s="5"/>
      <c r="E64" s="5"/>
      <c r="F64" s="5"/>
      <c r="G64" s="11"/>
      <c r="L64" s="82"/>
      <c r="M64" s="83"/>
      <c r="N64" s="83"/>
      <c r="O64" s="83"/>
      <c r="P64" s="83"/>
      <c r="Q64" s="83"/>
      <c r="R64" s="83"/>
      <c r="S64" s="83"/>
      <c r="T64" s="83"/>
      <c r="U64" s="83"/>
      <c r="V64" s="84"/>
    </row>
  </sheetData>
  <mergeCells count="8">
    <mergeCell ref="L62:V64"/>
    <mergeCell ref="A1:G1"/>
    <mergeCell ref="B3:G3"/>
    <mergeCell ref="L3:V3"/>
    <mergeCell ref="L4:M4"/>
    <mergeCell ref="O4:P4"/>
    <mergeCell ref="R4:S4"/>
    <mergeCell ref="U4:V4"/>
  </mergeCells>
  <pageMargins left="0" right="0" top="0" bottom="0" header="0" footer="0"/>
  <pageSetup scale="48"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pageSetUpPr fitToPage="1"/>
  </sheetPr>
  <dimension ref="A1:V64"/>
  <sheetViews>
    <sheetView zoomScale="75" workbookViewId="0">
      <selection sqref="A1:G1"/>
    </sheetView>
  </sheetViews>
  <sheetFormatPr defaultColWidth="9.109375" defaultRowHeight="14.4"/>
  <cols>
    <col min="1" max="1" width="20" style="1" customWidth="1"/>
    <col min="2" max="7" width="15" style="1" customWidth="1"/>
    <col min="8" max="8" width="1" style="1" customWidth="1"/>
    <col min="9" max="9" width="30" style="1" customWidth="1"/>
    <col min="10" max="10" width="15" style="1" customWidth="1"/>
    <col min="11" max="11" width="1" style="1" customWidth="1"/>
    <col min="12" max="13" width="15" style="1" customWidth="1"/>
    <col min="14" max="14" width="1" style="1" customWidth="1"/>
    <col min="15" max="16" width="15" style="1" customWidth="1"/>
    <col min="17" max="17" width="1" style="1" customWidth="1"/>
    <col min="18" max="19" width="15" style="1" customWidth="1"/>
    <col min="20" max="20" width="1" style="1" customWidth="1"/>
    <col min="21" max="22" width="15" style="1" customWidth="1"/>
    <col min="23" max="23" width="9.109375" style="1" customWidth="1"/>
    <col min="24" max="16384" width="9.109375" style="1"/>
  </cols>
  <sheetData>
    <row r="1" spans="1:22">
      <c r="A1" s="85" t="s">
        <v>151</v>
      </c>
      <c r="B1" s="79"/>
      <c r="C1" s="79"/>
      <c r="D1" s="79"/>
      <c r="E1" s="79"/>
      <c r="F1" s="79"/>
      <c r="G1" s="79"/>
    </row>
    <row r="3" spans="1:22">
      <c r="B3" s="86" t="s">
        <v>1</v>
      </c>
      <c r="C3" s="87"/>
      <c r="D3" s="87"/>
      <c r="E3" s="87"/>
      <c r="F3" s="87"/>
      <c r="G3" s="88"/>
      <c r="L3" s="89" t="s">
        <v>2</v>
      </c>
      <c r="M3" s="90"/>
      <c r="N3" s="90"/>
      <c r="O3" s="90"/>
      <c r="P3" s="90"/>
      <c r="Q3" s="90"/>
      <c r="R3" s="90"/>
      <c r="S3" s="90"/>
      <c r="T3" s="90"/>
      <c r="U3" s="90"/>
      <c r="V3" s="91"/>
    </row>
    <row r="4" spans="1:22">
      <c r="B4" s="6"/>
      <c r="G4" s="9"/>
      <c r="L4" s="92" t="s">
        <v>3</v>
      </c>
      <c r="M4" s="93"/>
      <c r="N4" s="3"/>
      <c r="O4" s="94" t="s">
        <v>4</v>
      </c>
      <c r="P4" s="93"/>
      <c r="Q4" s="3"/>
      <c r="R4" s="94" t="s">
        <v>5</v>
      </c>
      <c r="S4" s="93"/>
      <c r="T4" s="3"/>
      <c r="U4" s="94" t="s">
        <v>6</v>
      </c>
      <c r="V4" s="95"/>
    </row>
    <row r="5" spans="1:22" ht="60" customHeight="1">
      <c r="B5" s="7" t="s">
        <v>3</v>
      </c>
      <c r="C5" s="4" t="s">
        <v>4</v>
      </c>
      <c r="D5" s="4" t="s">
        <v>5</v>
      </c>
      <c r="E5" s="4" t="s">
        <v>6</v>
      </c>
      <c r="F5" s="4" t="s">
        <v>7</v>
      </c>
      <c r="G5" s="10" t="s">
        <v>8</v>
      </c>
      <c r="L5" s="19" t="s">
        <v>9</v>
      </c>
      <c r="M5" s="18" t="s">
        <v>10</v>
      </c>
      <c r="N5" s="18"/>
      <c r="O5" s="18" t="s">
        <v>9</v>
      </c>
      <c r="P5" s="18" t="s">
        <v>10</v>
      </c>
      <c r="Q5" s="18"/>
      <c r="R5" s="18" t="s">
        <v>9</v>
      </c>
      <c r="S5" s="18" t="s">
        <v>10</v>
      </c>
      <c r="T5" s="18"/>
      <c r="U5" s="18" t="s">
        <v>9</v>
      </c>
      <c r="V5" s="20" t="s">
        <v>10</v>
      </c>
    </row>
    <row r="6" spans="1:22">
      <c r="A6" s="1" t="s">
        <v>11</v>
      </c>
      <c r="B6" s="6">
        <v>28839.725292037372</v>
      </c>
      <c r="C6" s="1">
        <v>0</v>
      </c>
      <c r="D6" s="1">
        <v>5837.0632588356602</v>
      </c>
      <c r="E6" s="1">
        <v>0</v>
      </c>
      <c r="F6" s="1">
        <v>0</v>
      </c>
      <c r="G6" s="9">
        <f>SUM(AL_FINANCIAL)</f>
        <v>34676.788550873032</v>
      </c>
      <c r="L6" s="6"/>
      <c r="V6" s="9"/>
    </row>
    <row r="7" spans="1:22">
      <c r="A7" s="1" t="s">
        <v>12</v>
      </c>
      <c r="B7" s="6">
        <v>0</v>
      </c>
      <c r="C7" s="1">
        <v>0</v>
      </c>
      <c r="D7" s="1">
        <v>0</v>
      </c>
      <c r="E7" s="1">
        <v>0</v>
      </c>
      <c r="F7" s="1">
        <v>0</v>
      </c>
      <c r="G7" s="9">
        <f>SUM(AK_FINANCIAL)</f>
        <v>0</v>
      </c>
      <c r="I7" s="12"/>
      <c r="J7" s="15"/>
      <c r="L7" s="6"/>
      <c r="V7" s="9"/>
    </row>
    <row r="8" spans="1:22">
      <c r="A8" s="1" t="s">
        <v>13</v>
      </c>
      <c r="B8" s="6">
        <v>114734.841775286</v>
      </c>
      <c r="C8" s="1">
        <v>0</v>
      </c>
      <c r="D8" s="1">
        <v>255284.49397709905</v>
      </c>
      <c r="E8" s="1">
        <v>0</v>
      </c>
      <c r="F8" s="1">
        <v>0</v>
      </c>
      <c r="G8" s="9">
        <f>SUM(AZ_FINANCIAL)</f>
        <v>370019.33575238503</v>
      </c>
      <c r="I8" s="13" t="s">
        <v>14</v>
      </c>
      <c r="J8" s="16"/>
      <c r="L8" s="6"/>
      <c r="V8" s="9"/>
    </row>
    <row r="9" spans="1:22">
      <c r="A9" s="1" t="s">
        <v>15</v>
      </c>
      <c r="B9" s="6">
        <v>-103431.31615944506</v>
      </c>
      <c r="C9" s="1">
        <v>0</v>
      </c>
      <c r="D9" s="1">
        <v>52495.345976817887</v>
      </c>
      <c r="E9" s="1">
        <v>0</v>
      </c>
      <c r="F9" s="1">
        <v>0</v>
      </c>
      <c r="G9" s="9">
        <f>SUM(AR_FINANCIAL)</f>
        <v>-50935.970182627178</v>
      </c>
      <c r="I9" s="13"/>
      <c r="J9" s="16"/>
      <c r="L9" s="6">
        <v>0</v>
      </c>
      <c r="M9" s="1">
        <v>0</v>
      </c>
      <c r="O9" s="1">
        <v>0</v>
      </c>
      <c r="P9" s="1">
        <v>0</v>
      </c>
      <c r="R9" s="1">
        <v>0</v>
      </c>
      <c r="S9" s="1">
        <v>0</v>
      </c>
      <c r="U9" s="1">
        <v>0</v>
      </c>
      <c r="V9" s="9">
        <v>0</v>
      </c>
    </row>
    <row r="10" spans="1:22">
      <c r="A10" s="1" t="s">
        <v>16</v>
      </c>
      <c r="B10" s="6">
        <v>0</v>
      </c>
      <c r="C10" s="1">
        <v>0</v>
      </c>
      <c r="D10" s="1">
        <v>0</v>
      </c>
      <c r="E10" s="1">
        <v>0</v>
      </c>
      <c r="F10" s="1">
        <v>0</v>
      </c>
      <c r="G10" s="9">
        <f>SUM(CA_FINANCIAL)</f>
        <v>0</v>
      </c>
      <c r="I10" s="13" t="s">
        <v>17</v>
      </c>
      <c r="J10" s="16">
        <v>241499783.76864415</v>
      </c>
      <c r="L10" s="6"/>
      <c r="V10" s="9"/>
    </row>
    <row r="11" spans="1:22">
      <c r="A11" s="1" t="s">
        <v>18</v>
      </c>
      <c r="B11" s="6">
        <v>192399.87161051491</v>
      </c>
      <c r="C11" s="1">
        <v>0</v>
      </c>
      <c r="D11" s="1">
        <v>1874591.795943093</v>
      </c>
      <c r="E11" s="1">
        <v>0</v>
      </c>
      <c r="F11" s="1">
        <v>0</v>
      </c>
      <c r="G11" s="9">
        <f>SUM(CO_FINANCIAL)</f>
        <v>2066991.6675536078</v>
      </c>
      <c r="I11" s="13"/>
      <c r="J11" s="16"/>
      <c r="L11" s="6">
        <v>0</v>
      </c>
      <c r="M11" s="1">
        <v>0</v>
      </c>
      <c r="O11" s="1">
        <v>0</v>
      </c>
      <c r="P11" s="1">
        <v>0</v>
      </c>
      <c r="R11" s="1">
        <v>582723</v>
      </c>
      <c r="S11" s="1">
        <v>0</v>
      </c>
      <c r="U11" s="1">
        <v>0</v>
      </c>
      <c r="V11" s="9">
        <v>0</v>
      </c>
    </row>
    <row r="12" spans="1:22">
      <c r="A12" s="1" t="s">
        <v>19</v>
      </c>
      <c r="B12" s="6">
        <v>0</v>
      </c>
      <c r="C12" s="1">
        <v>0</v>
      </c>
      <c r="D12" s="1">
        <v>0</v>
      </c>
      <c r="E12" s="1">
        <v>0</v>
      </c>
      <c r="F12" s="1">
        <v>0</v>
      </c>
      <c r="G12" s="9">
        <f>SUM(CT_FINANCIAL)</f>
        <v>0</v>
      </c>
      <c r="I12" s="13" t="s">
        <v>20</v>
      </c>
      <c r="J12" s="16"/>
      <c r="L12" s="6"/>
      <c r="V12" s="9"/>
    </row>
    <row r="13" spans="1:22">
      <c r="A13" s="1" t="s">
        <v>21</v>
      </c>
      <c r="B13" s="6">
        <v>0</v>
      </c>
      <c r="C13" s="1">
        <v>0</v>
      </c>
      <c r="D13" s="1">
        <v>0</v>
      </c>
      <c r="E13" s="1">
        <v>0</v>
      </c>
      <c r="F13" s="1">
        <v>0</v>
      </c>
      <c r="G13" s="9">
        <f>SUM(DE_FINANCIAL)</f>
        <v>0</v>
      </c>
      <c r="I13" s="13" t="s">
        <v>22</v>
      </c>
      <c r="J13" s="16">
        <v>81013063.683750048</v>
      </c>
      <c r="L13" s="6"/>
      <c r="V13" s="9"/>
    </row>
    <row r="14" spans="1:22">
      <c r="A14" s="1" t="s">
        <v>23</v>
      </c>
      <c r="B14" s="6">
        <v>0</v>
      </c>
      <c r="C14" s="1">
        <v>0</v>
      </c>
      <c r="D14" s="1">
        <v>0</v>
      </c>
      <c r="E14" s="1">
        <v>0</v>
      </c>
      <c r="F14" s="1">
        <v>0</v>
      </c>
      <c r="G14" s="9">
        <f>SUM(DC_FINANCIAL)</f>
        <v>0</v>
      </c>
      <c r="I14" s="13" t="s">
        <v>24</v>
      </c>
      <c r="J14" s="16">
        <v>5543617.8699999992</v>
      </c>
      <c r="L14" s="6"/>
      <c r="V14" s="9"/>
    </row>
    <row r="15" spans="1:22">
      <c r="A15" s="1" t="s">
        <v>25</v>
      </c>
      <c r="B15" s="6">
        <v>152048.83243065281</v>
      </c>
      <c r="C15" s="1">
        <v>0</v>
      </c>
      <c r="D15" s="1">
        <v>50525326.076068863</v>
      </c>
      <c r="E15" s="1">
        <v>0</v>
      </c>
      <c r="F15" s="1">
        <v>0</v>
      </c>
      <c r="G15" s="9">
        <f>SUM(FL_FINANCIAL)</f>
        <v>50677374.908499517</v>
      </c>
      <c r="I15" s="13" t="s">
        <v>26</v>
      </c>
      <c r="J15" s="16">
        <v>18043946.634424217</v>
      </c>
      <c r="L15" s="6">
        <v>0</v>
      </c>
      <c r="M15" s="1">
        <v>0</v>
      </c>
      <c r="O15" s="1">
        <v>0</v>
      </c>
      <c r="P15" s="1">
        <v>0</v>
      </c>
      <c r="R15" s="1">
        <v>40754412</v>
      </c>
      <c r="S15" s="1">
        <v>0</v>
      </c>
      <c r="U15" s="1">
        <v>0</v>
      </c>
      <c r="V15" s="9">
        <v>0</v>
      </c>
    </row>
    <row r="16" spans="1:22">
      <c r="A16" s="1" t="s">
        <v>27</v>
      </c>
      <c r="B16" s="6">
        <v>595446.94911701628</v>
      </c>
      <c r="C16" s="1">
        <v>0</v>
      </c>
      <c r="D16" s="1">
        <v>6891358.8469353402</v>
      </c>
      <c r="E16" s="1">
        <v>0</v>
      </c>
      <c r="F16" s="1">
        <v>0</v>
      </c>
      <c r="G16" s="9">
        <f>SUM(GA_FINANCIAL)</f>
        <v>7486805.7960523563</v>
      </c>
      <c r="I16" s="13" t="s">
        <v>28</v>
      </c>
      <c r="J16" s="16">
        <v>44341501.625391588</v>
      </c>
      <c r="L16" s="6">
        <v>0</v>
      </c>
      <c r="M16" s="1">
        <v>0</v>
      </c>
      <c r="O16" s="1">
        <v>0</v>
      </c>
      <c r="P16" s="1">
        <v>0</v>
      </c>
      <c r="R16" s="1">
        <v>6697786</v>
      </c>
      <c r="S16" s="1">
        <v>0</v>
      </c>
      <c r="U16" s="1">
        <v>0</v>
      </c>
      <c r="V16" s="9">
        <v>0</v>
      </c>
    </row>
    <row r="17" spans="1:22">
      <c r="A17" s="1" t="s">
        <v>29</v>
      </c>
      <c r="B17" s="6">
        <v>0</v>
      </c>
      <c r="C17" s="1">
        <v>0</v>
      </c>
      <c r="D17" s="1">
        <v>0</v>
      </c>
      <c r="E17" s="1">
        <v>0</v>
      </c>
      <c r="F17" s="1">
        <v>0</v>
      </c>
      <c r="G17" s="9">
        <f>SUM(HI_FINANCIAL)</f>
        <v>0</v>
      </c>
      <c r="I17" s="13"/>
      <c r="J17" s="16"/>
      <c r="L17" s="6"/>
      <c r="V17" s="9"/>
    </row>
    <row r="18" spans="1:22">
      <c r="A18" s="1" t="s">
        <v>30</v>
      </c>
      <c r="B18" s="6">
        <v>148352.25539236586</v>
      </c>
      <c r="C18" s="1">
        <v>0</v>
      </c>
      <c r="D18" s="1">
        <v>319615.59914615762</v>
      </c>
      <c r="E18" s="1">
        <v>0</v>
      </c>
      <c r="F18" s="1">
        <v>0</v>
      </c>
      <c r="G18" s="9">
        <f>SUM(ID_FINANCIAL)</f>
        <v>467967.85453852348</v>
      </c>
      <c r="I18" s="13" t="s">
        <v>31</v>
      </c>
      <c r="J18" s="16"/>
      <c r="L18" s="6">
        <v>0</v>
      </c>
      <c r="M18" s="1">
        <v>0</v>
      </c>
      <c r="O18" s="1">
        <v>0</v>
      </c>
      <c r="P18" s="1">
        <v>0</v>
      </c>
      <c r="R18" s="1">
        <v>150000</v>
      </c>
      <c r="S18" s="1">
        <v>0</v>
      </c>
      <c r="U18" s="1">
        <v>0</v>
      </c>
      <c r="V18" s="9">
        <v>0</v>
      </c>
    </row>
    <row r="19" spans="1:22">
      <c r="A19" s="1" t="s">
        <v>32</v>
      </c>
      <c r="B19" s="6">
        <v>102485.21426701917</v>
      </c>
      <c r="C19" s="1">
        <v>0</v>
      </c>
      <c r="D19" s="1">
        <v>13853105.848917404</v>
      </c>
      <c r="E19" s="1">
        <v>0</v>
      </c>
      <c r="F19" s="1">
        <v>0</v>
      </c>
      <c r="G19" s="9">
        <f>SUM(IL_FINANCIAL)</f>
        <v>13955591.063184423</v>
      </c>
      <c r="I19" s="13" t="s">
        <v>33</v>
      </c>
      <c r="J19" s="16">
        <v>122591863.19707078</v>
      </c>
      <c r="L19" s="6">
        <v>300000</v>
      </c>
      <c r="M19" s="1">
        <v>0</v>
      </c>
      <c r="O19" s="1">
        <v>0</v>
      </c>
      <c r="P19" s="1">
        <v>0</v>
      </c>
      <c r="R19" s="1">
        <v>13000000</v>
      </c>
      <c r="S19" s="1">
        <v>0</v>
      </c>
      <c r="U19" s="1">
        <v>0</v>
      </c>
      <c r="V19" s="9">
        <v>0</v>
      </c>
    </row>
    <row r="20" spans="1:22">
      <c r="A20" s="1" t="s">
        <v>34</v>
      </c>
      <c r="B20" s="6">
        <v>52242.294258587863</v>
      </c>
      <c r="C20" s="1">
        <v>0</v>
      </c>
      <c r="D20" s="1">
        <v>1436293.4821362693</v>
      </c>
      <c r="E20" s="1">
        <v>0</v>
      </c>
      <c r="F20" s="1">
        <v>0</v>
      </c>
      <c r="G20" s="9">
        <f>SUM(IN_FINANCIAL)</f>
        <v>1488535.7763948571</v>
      </c>
      <c r="I20" s="13" t="s">
        <v>35</v>
      </c>
      <c r="J20" s="16">
        <v>115858380.67951848</v>
      </c>
      <c r="L20" s="6"/>
      <c r="V20" s="9"/>
    </row>
    <row r="21" spans="1:22">
      <c r="A21" s="1" t="s">
        <v>36</v>
      </c>
      <c r="B21" s="6">
        <v>483170.24378954968</v>
      </c>
      <c r="C21" s="1">
        <v>0</v>
      </c>
      <c r="D21" s="1">
        <v>543171.03838514327</v>
      </c>
      <c r="E21" s="1">
        <v>0</v>
      </c>
      <c r="F21" s="1">
        <v>0</v>
      </c>
      <c r="G21" s="9">
        <f>SUM(IA_FINANCIAL)</f>
        <v>1026341.282174693</v>
      </c>
      <c r="I21" s="13" t="s">
        <v>37</v>
      </c>
      <c r="J21" s="16"/>
      <c r="L21" s="6">
        <v>0</v>
      </c>
      <c r="M21" s="1">
        <v>0</v>
      </c>
      <c r="O21" s="1">
        <v>0</v>
      </c>
      <c r="P21" s="1">
        <v>0</v>
      </c>
      <c r="R21" s="1">
        <v>200000</v>
      </c>
      <c r="S21" s="1">
        <v>0</v>
      </c>
      <c r="U21" s="1">
        <v>0</v>
      </c>
      <c r="V21" s="9">
        <v>0</v>
      </c>
    </row>
    <row r="22" spans="1:22">
      <c r="A22" s="1" t="s">
        <v>38</v>
      </c>
      <c r="B22" s="6">
        <v>83100.739092713324</v>
      </c>
      <c r="C22" s="1">
        <v>0</v>
      </c>
      <c r="D22" s="1">
        <v>176167.25215050063</v>
      </c>
      <c r="E22" s="1">
        <v>0</v>
      </c>
      <c r="F22" s="1">
        <v>0</v>
      </c>
      <c r="G22" s="9">
        <f>SUM(KS_FINANCIAL)</f>
        <v>259267.99124321394</v>
      </c>
      <c r="I22" s="13" t="s">
        <v>39</v>
      </c>
      <c r="J22" s="16">
        <v>0</v>
      </c>
      <c r="L22" s="6"/>
      <c r="V22" s="9"/>
    </row>
    <row r="23" spans="1:22">
      <c r="A23" s="1" t="s">
        <v>40</v>
      </c>
      <c r="B23" s="6">
        <v>117017.14196816902</v>
      </c>
      <c r="C23" s="1">
        <v>0</v>
      </c>
      <c r="D23" s="1">
        <v>19008585.974337611</v>
      </c>
      <c r="E23" s="1">
        <v>0</v>
      </c>
      <c r="F23" s="1">
        <v>0</v>
      </c>
      <c r="G23" s="9">
        <f>SUM(KY_FINANCIAL)</f>
        <v>19125603.11630578</v>
      </c>
      <c r="I23" s="13" t="s">
        <v>41</v>
      </c>
      <c r="J23" s="16"/>
      <c r="L23" s="6">
        <v>0</v>
      </c>
      <c r="M23" s="1">
        <v>0</v>
      </c>
      <c r="O23" s="1">
        <v>0</v>
      </c>
      <c r="P23" s="1">
        <v>0</v>
      </c>
      <c r="R23" s="1">
        <v>19306391</v>
      </c>
      <c r="S23" s="1">
        <v>0</v>
      </c>
      <c r="U23" s="1">
        <v>0</v>
      </c>
      <c r="V23" s="9">
        <v>0</v>
      </c>
    </row>
    <row r="24" spans="1:22">
      <c r="A24" s="1" t="s">
        <v>42</v>
      </c>
      <c r="B24" s="6">
        <v>235414.17450310019</v>
      </c>
      <c r="C24" s="1">
        <v>0</v>
      </c>
      <c r="D24" s="1">
        <v>863881.70023044373</v>
      </c>
      <c r="E24" s="1">
        <v>0</v>
      </c>
      <c r="F24" s="1">
        <v>0</v>
      </c>
      <c r="G24" s="9">
        <f>SUM(LA_FINANCIAL)</f>
        <v>1099295.874733544</v>
      </c>
      <c r="I24" s="13" t="s">
        <v>43</v>
      </c>
      <c r="J24" s="16">
        <v>12395700.880000003</v>
      </c>
      <c r="L24" s="6"/>
      <c r="V24" s="9"/>
    </row>
    <row r="25" spans="1:22">
      <c r="A25" s="1" t="s">
        <v>44</v>
      </c>
      <c r="B25" s="6">
        <v>0</v>
      </c>
      <c r="C25" s="1">
        <v>0</v>
      </c>
      <c r="D25" s="1">
        <v>0</v>
      </c>
      <c r="E25" s="1">
        <v>0</v>
      </c>
      <c r="F25" s="1">
        <v>0</v>
      </c>
      <c r="G25" s="9">
        <f>SUM(ME_FINANCIAL)</f>
        <v>0</v>
      </c>
      <c r="I25" s="13"/>
      <c r="J25" s="16"/>
      <c r="L25" s="6"/>
      <c r="V25" s="9"/>
    </row>
    <row r="26" spans="1:22">
      <c r="A26" s="1" t="s">
        <v>45</v>
      </c>
      <c r="B26" s="6">
        <v>-36578.356147011873</v>
      </c>
      <c r="C26" s="1">
        <v>0</v>
      </c>
      <c r="D26" s="1">
        <v>421019.37563134579</v>
      </c>
      <c r="E26" s="1">
        <v>0</v>
      </c>
      <c r="F26" s="1">
        <v>0</v>
      </c>
      <c r="G26" s="9">
        <f>SUM(MD_FINANCIAL)</f>
        <v>384441.01948433393</v>
      </c>
      <c r="I26" s="13" t="s">
        <v>46</v>
      </c>
      <c r="J26" s="16">
        <f>SUM(ADD_FINANCIAL)-SUM(LESS_FINANCIAL)</f>
        <v>139595968.82562077</v>
      </c>
      <c r="L26" s="6"/>
      <c r="V26" s="9"/>
    </row>
    <row r="27" spans="1:22">
      <c r="A27" s="1" t="s">
        <v>47</v>
      </c>
      <c r="B27" s="6">
        <v>0</v>
      </c>
      <c r="C27" s="1">
        <v>0</v>
      </c>
      <c r="D27" s="1">
        <v>0</v>
      </c>
      <c r="E27" s="1">
        <v>0</v>
      </c>
      <c r="F27" s="1">
        <v>0</v>
      </c>
      <c r="G27" s="9">
        <f>SUM(MA_FINANCIAL)</f>
        <v>0</v>
      </c>
      <c r="I27" s="13" t="s">
        <v>48</v>
      </c>
      <c r="J27" s="16">
        <f>SUM(ALL_BLOCKS)</f>
        <v>139595968.82562083</v>
      </c>
      <c r="L27" s="6"/>
      <c r="V27" s="9"/>
    </row>
    <row r="28" spans="1:22">
      <c r="A28" s="1" t="s">
        <v>49</v>
      </c>
      <c r="B28" s="6">
        <v>-5855.0803489966274</v>
      </c>
      <c r="C28" s="1">
        <v>0</v>
      </c>
      <c r="D28" s="1">
        <v>668753.93178412248</v>
      </c>
      <c r="E28" s="1">
        <v>0</v>
      </c>
      <c r="F28" s="1">
        <v>0</v>
      </c>
      <c r="G28" s="9">
        <f>SUM(MI_FINANCIAL)</f>
        <v>662898.85143512581</v>
      </c>
      <c r="I28" s="14"/>
      <c r="J28" s="17"/>
      <c r="L28" s="6"/>
      <c r="V28" s="9"/>
    </row>
    <row r="29" spans="1:22">
      <c r="A29" s="1" t="s">
        <v>50</v>
      </c>
      <c r="B29" s="6">
        <v>127691.80928852623</v>
      </c>
      <c r="C29" s="1">
        <v>0</v>
      </c>
      <c r="D29" s="1">
        <v>136775.93430139936</v>
      </c>
      <c r="E29" s="1">
        <v>0</v>
      </c>
      <c r="F29" s="1">
        <v>0</v>
      </c>
      <c r="G29" s="9">
        <f>SUM(MN_FINANCIAL)</f>
        <v>264467.74358992558</v>
      </c>
      <c r="L29" s="6"/>
      <c r="V29" s="9"/>
    </row>
    <row r="30" spans="1:22">
      <c r="A30" s="1" t="s">
        <v>51</v>
      </c>
      <c r="B30" s="6">
        <v>118422.5209174577</v>
      </c>
      <c r="C30" s="1">
        <v>0</v>
      </c>
      <c r="D30" s="1">
        <v>1187.7310417279896</v>
      </c>
      <c r="E30" s="1">
        <v>0</v>
      </c>
      <c r="F30" s="1">
        <v>0</v>
      </c>
      <c r="G30" s="9">
        <f>SUM(MS_FINANCIAL)</f>
        <v>119610.2519591857</v>
      </c>
      <c r="L30" s="6"/>
      <c r="V30" s="9"/>
    </row>
    <row r="31" spans="1:22">
      <c r="A31" s="1" t="s">
        <v>52</v>
      </c>
      <c r="B31" s="6">
        <v>160253.99983275216</v>
      </c>
      <c r="C31" s="1">
        <v>0</v>
      </c>
      <c r="D31" s="1">
        <v>6337625.5528279971</v>
      </c>
      <c r="E31" s="1">
        <v>0</v>
      </c>
      <c r="F31" s="1">
        <v>0</v>
      </c>
      <c r="G31" s="9">
        <f>SUM(MO_FINANCIAL)</f>
        <v>6497879.5526607493</v>
      </c>
      <c r="L31" s="6">
        <v>0</v>
      </c>
      <c r="M31" s="1">
        <v>0</v>
      </c>
      <c r="O31" s="1">
        <v>0</v>
      </c>
      <c r="P31" s="1">
        <v>0</v>
      </c>
      <c r="R31" s="1">
        <v>6408239</v>
      </c>
      <c r="S31" s="1">
        <v>0</v>
      </c>
      <c r="U31" s="1">
        <v>0</v>
      </c>
      <c r="V31" s="9">
        <v>0</v>
      </c>
    </row>
    <row r="32" spans="1:22">
      <c r="A32" s="1" t="s">
        <v>53</v>
      </c>
      <c r="B32" s="6">
        <v>74900.153434048145</v>
      </c>
      <c r="C32" s="1">
        <v>0</v>
      </c>
      <c r="D32" s="1">
        <v>392657.16905134963</v>
      </c>
      <c r="E32" s="1">
        <v>0</v>
      </c>
      <c r="F32" s="1">
        <v>0</v>
      </c>
      <c r="G32" s="9">
        <f>SUM(MT_FINANCIAL)</f>
        <v>467557.3224853978</v>
      </c>
      <c r="L32" s="6"/>
      <c r="V32" s="9"/>
    </row>
    <row r="33" spans="1:22">
      <c r="A33" s="1" t="s">
        <v>54</v>
      </c>
      <c r="B33" s="6">
        <v>264121.05660380062</v>
      </c>
      <c r="C33" s="1">
        <v>0</v>
      </c>
      <c r="D33" s="1">
        <v>522943.14350855595</v>
      </c>
      <c r="E33" s="1">
        <v>0</v>
      </c>
      <c r="F33" s="1">
        <v>0</v>
      </c>
      <c r="G33" s="9">
        <f>SUM(NE_FINANCIAL)</f>
        <v>787064.20011235657</v>
      </c>
      <c r="L33" s="6"/>
      <c r="V33" s="9"/>
    </row>
    <row r="34" spans="1:22">
      <c r="A34" s="1" t="s">
        <v>55</v>
      </c>
      <c r="B34" s="6">
        <v>-5458.5761424183656</v>
      </c>
      <c r="C34" s="1">
        <v>0</v>
      </c>
      <c r="D34" s="1">
        <v>4046776.8523010192</v>
      </c>
      <c r="E34" s="1">
        <v>0</v>
      </c>
      <c r="F34" s="1">
        <v>0</v>
      </c>
      <c r="G34" s="9">
        <f>SUM(NV_FINANCIAL)</f>
        <v>4041318.276158601</v>
      </c>
      <c r="L34" s="6"/>
      <c r="V34" s="9"/>
    </row>
    <row r="35" spans="1:22">
      <c r="A35" s="1" t="s">
        <v>56</v>
      </c>
      <c r="B35" s="6">
        <v>0</v>
      </c>
      <c r="C35" s="1">
        <v>0</v>
      </c>
      <c r="D35" s="1">
        <v>0</v>
      </c>
      <c r="E35" s="1">
        <v>0</v>
      </c>
      <c r="F35" s="1">
        <v>0</v>
      </c>
      <c r="G35" s="9">
        <f>SUM(NH_FINANCIAL)</f>
        <v>0</v>
      </c>
      <c r="L35" s="6"/>
      <c r="V35" s="9"/>
    </row>
    <row r="36" spans="1:22">
      <c r="A36" s="1" t="s">
        <v>57</v>
      </c>
      <c r="B36" s="6">
        <v>0</v>
      </c>
      <c r="C36" s="1">
        <v>0</v>
      </c>
      <c r="D36" s="1">
        <v>0</v>
      </c>
      <c r="E36" s="1">
        <v>0</v>
      </c>
      <c r="F36" s="1">
        <v>0</v>
      </c>
      <c r="G36" s="9">
        <f>SUM(NJ_FINANCIAL)</f>
        <v>0</v>
      </c>
      <c r="L36" s="6"/>
      <c r="V36" s="9"/>
    </row>
    <row r="37" spans="1:22">
      <c r="A37" s="1" t="s">
        <v>58</v>
      </c>
      <c r="B37" s="6">
        <v>57372.611698327761</v>
      </c>
      <c r="C37" s="1">
        <v>0</v>
      </c>
      <c r="D37" s="1">
        <v>107564.48625830159</v>
      </c>
      <c r="E37" s="1">
        <v>0</v>
      </c>
      <c r="F37" s="1">
        <v>0</v>
      </c>
      <c r="G37" s="9">
        <f>SUM(NM_FINANCIAL)</f>
        <v>164937.09795662935</v>
      </c>
      <c r="L37" s="6"/>
      <c r="V37" s="9"/>
    </row>
    <row r="38" spans="1:22">
      <c r="A38" s="1" t="s">
        <v>59</v>
      </c>
      <c r="B38" s="6">
        <v>0</v>
      </c>
      <c r="C38" s="1">
        <v>0</v>
      </c>
      <c r="D38" s="1">
        <v>0</v>
      </c>
      <c r="E38" s="1">
        <v>0</v>
      </c>
      <c r="F38" s="1">
        <v>0</v>
      </c>
      <c r="G38" s="9">
        <f>SUM(NY_FINANCIAL)</f>
        <v>0</v>
      </c>
      <c r="L38" s="6"/>
      <c r="V38" s="9"/>
    </row>
    <row r="39" spans="1:22">
      <c r="A39" s="1" t="s">
        <v>60</v>
      </c>
      <c r="B39" s="6">
        <v>-23024.5692532619</v>
      </c>
      <c r="C39" s="1">
        <v>0</v>
      </c>
      <c r="D39" s="1">
        <v>2523751.1550870491</v>
      </c>
      <c r="E39" s="1">
        <v>0</v>
      </c>
      <c r="F39" s="1">
        <v>0</v>
      </c>
      <c r="G39" s="9">
        <f>SUM(NC_FINANCIAL)</f>
        <v>2500726.585833787</v>
      </c>
      <c r="L39" s="6">
        <v>0</v>
      </c>
      <c r="M39" s="1">
        <v>0</v>
      </c>
      <c r="O39" s="1">
        <v>0</v>
      </c>
      <c r="P39" s="1">
        <v>0</v>
      </c>
      <c r="R39" s="1">
        <v>3000000</v>
      </c>
      <c r="S39" s="1">
        <v>0</v>
      </c>
      <c r="U39" s="1">
        <v>0</v>
      </c>
      <c r="V39" s="9">
        <v>0</v>
      </c>
    </row>
    <row r="40" spans="1:22">
      <c r="A40" s="1" t="s">
        <v>61</v>
      </c>
      <c r="B40" s="6">
        <v>14604.553954399704</v>
      </c>
      <c r="C40" s="1">
        <v>0</v>
      </c>
      <c r="D40" s="1">
        <v>6608.0990510698812</v>
      </c>
      <c r="E40" s="1">
        <v>0</v>
      </c>
      <c r="F40" s="1">
        <v>0</v>
      </c>
      <c r="G40" s="9">
        <f>SUM(ND_FINANCIAL)</f>
        <v>21212.653005469583</v>
      </c>
      <c r="L40" s="6"/>
      <c r="V40" s="9"/>
    </row>
    <row r="41" spans="1:22">
      <c r="A41" s="1" t="s">
        <v>62</v>
      </c>
      <c r="B41" s="6">
        <v>245862.72467596357</v>
      </c>
      <c r="C41" s="1">
        <v>0</v>
      </c>
      <c r="D41" s="1">
        <v>12326722.631696811</v>
      </c>
      <c r="E41" s="1">
        <v>0</v>
      </c>
      <c r="F41" s="1">
        <v>0</v>
      </c>
      <c r="G41" s="9">
        <f>SUM(OH_FINANCIAL)</f>
        <v>12572585.356372774</v>
      </c>
      <c r="L41" s="6">
        <v>0</v>
      </c>
      <c r="M41" s="1">
        <v>0</v>
      </c>
      <c r="O41" s="1">
        <v>0</v>
      </c>
      <c r="P41" s="1">
        <v>0</v>
      </c>
      <c r="R41" s="1">
        <v>4000000</v>
      </c>
      <c r="S41" s="1">
        <v>0</v>
      </c>
      <c r="U41" s="1">
        <v>0</v>
      </c>
      <c r="V41" s="9">
        <v>0</v>
      </c>
    </row>
    <row r="42" spans="1:22">
      <c r="A42" s="1" t="s">
        <v>63</v>
      </c>
      <c r="B42" s="6">
        <v>118258.40035084233</v>
      </c>
      <c r="C42" s="1">
        <v>0</v>
      </c>
      <c r="D42" s="1">
        <v>477353.05207801668</v>
      </c>
      <c r="E42" s="1">
        <v>0</v>
      </c>
      <c r="F42" s="1">
        <v>0</v>
      </c>
      <c r="G42" s="9">
        <f>SUM(OK_FINANCIAL)</f>
        <v>595611.45242885896</v>
      </c>
      <c r="L42" s="6">
        <v>235000</v>
      </c>
      <c r="M42" s="1">
        <v>0</v>
      </c>
      <c r="O42" s="1">
        <v>265000</v>
      </c>
      <c r="P42" s="1">
        <v>0</v>
      </c>
      <c r="R42" s="1">
        <v>0</v>
      </c>
      <c r="S42" s="1">
        <v>0</v>
      </c>
      <c r="U42" s="1">
        <v>0</v>
      </c>
      <c r="V42" s="9">
        <v>0</v>
      </c>
    </row>
    <row r="43" spans="1:22">
      <c r="A43" s="1" t="s">
        <v>64</v>
      </c>
      <c r="B43" s="6">
        <v>74318.898448548716</v>
      </c>
      <c r="C43" s="1">
        <v>0</v>
      </c>
      <c r="D43" s="1">
        <v>136597.94821985741</v>
      </c>
      <c r="E43" s="1">
        <v>0</v>
      </c>
      <c r="F43" s="1">
        <v>0</v>
      </c>
      <c r="G43" s="9">
        <f>SUM(OR_FINANCIAL)</f>
        <v>210916.84666840613</v>
      </c>
      <c r="L43" s="6">
        <v>0</v>
      </c>
      <c r="M43" s="1">
        <v>0</v>
      </c>
      <c r="O43" s="1">
        <v>0</v>
      </c>
      <c r="P43" s="1">
        <v>0</v>
      </c>
      <c r="R43" s="1">
        <v>225000</v>
      </c>
      <c r="S43" s="1">
        <v>0</v>
      </c>
      <c r="U43" s="1">
        <v>0</v>
      </c>
      <c r="V43" s="9">
        <v>0</v>
      </c>
    </row>
    <row r="44" spans="1:22">
      <c r="A44" s="1" t="s">
        <v>65</v>
      </c>
      <c r="B44" s="6">
        <v>32909.319819951779</v>
      </c>
      <c r="C44" s="1">
        <v>0</v>
      </c>
      <c r="D44" s="1">
        <v>570888.3212706456</v>
      </c>
      <c r="E44" s="1">
        <v>0</v>
      </c>
      <c r="F44" s="1">
        <v>0</v>
      </c>
      <c r="G44" s="9">
        <f>SUM(PA_FINANCIAL)</f>
        <v>603797.64109059738</v>
      </c>
      <c r="L44" s="6"/>
      <c r="V44" s="9"/>
    </row>
    <row r="45" spans="1:22">
      <c r="A45" s="1" t="s">
        <v>66</v>
      </c>
      <c r="B45" s="6">
        <v>0</v>
      </c>
      <c r="C45" s="1">
        <v>0</v>
      </c>
      <c r="D45" s="1">
        <v>0</v>
      </c>
      <c r="E45" s="1">
        <v>0</v>
      </c>
      <c r="F45" s="1">
        <v>0</v>
      </c>
      <c r="G45" s="9">
        <f>SUM(PR_FINANCIAL)</f>
        <v>0</v>
      </c>
      <c r="L45" s="6"/>
      <c r="V45" s="9"/>
    </row>
    <row r="46" spans="1:22">
      <c r="A46" s="1" t="s">
        <v>67</v>
      </c>
      <c r="B46" s="6">
        <v>0</v>
      </c>
      <c r="C46" s="1">
        <v>0</v>
      </c>
      <c r="D46" s="1">
        <v>4527.391985781559</v>
      </c>
      <c r="E46" s="1">
        <v>0</v>
      </c>
      <c r="F46" s="1">
        <v>0</v>
      </c>
      <c r="G46" s="9">
        <f>SUM(RI_FINANCIAL)</f>
        <v>4527.391985781559</v>
      </c>
      <c r="L46" s="6"/>
      <c r="V46" s="9"/>
    </row>
    <row r="47" spans="1:22">
      <c r="A47" s="1" t="s">
        <v>68</v>
      </c>
      <c r="B47" s="6">
        <v>172196.47389459977</v>
      </c>
      <c r="C47" s="1">
        <v>0</v>
      </c>
      <c r="D47" s="1">
        <v>2651141.3846464581</v>
      </c>
      <c r="E47" s="1">
        <v>0</v>
      </c>
      <c r="F47" s="1">
        <v>0</v>
      </c>
      <c r="G47" s="9">
        <f>SUM(SC_FINANCIAL)</f>
        <v>2823337.8585410579</v>
      </c>
      <c r="L47" s="6">
        <v>0</v>
      </c>
      <c r="M47" s="1">
        <v>0</v>
      </c>
      <c r="O47" s="1">
        <v>0</v>
      </c>
      <c r="P47" s="1">
        <v>0</v>
      </c>
      <c r="R47" s="1">
        <v>2200000</v>
      </c>
      <c r="S47" s="1">
        <v>0</v>
      </c>
      <c r="U47" s="1">
        <v>0</v>
      </c>
      <c r="V47" s="9">
        <v>0</v>
      </c>
    </row>
    <row r="48" spans="1:22">
      <c r="A48" s="1" t="s">
        <v>69</v>
      </c>
      <c r="B48" s="6">
        <v>13274.903603427381</v>
      </c>
      <c r="C48" s="1">
        <v>0</v>
      </c>
      <c r="D48" s="1">
        <v>78326.773358731691</v>
      </c>
      <c r="E48" s="1">
        <v>0</v>
      </c>
      <c r="F48" s="1">
        <v>0</v>
      </c>
      <c r="G48" s="9">
        <f>SUM(SD_FINANCIAL)</f>
        <v>91601.676962159079</v>
      </c>
      <c r="L48" s="6"/>
      <c r="V48" s="9"/>
    </row>
    <row r="49" spans="1:22">
      <c r="A49" s="1" t="s">
        <v>70</v>
      </c>
      <c r="B49" s="6">
        <v>96860.202072916261</v>
      </c>
      <c r="C49" s="1">
        <v>0</v>
      </c>
      <c r="D49" s="1">
        <v>1023674.5709518514</v>
      </c>
      <c r="E49" s="1">
        <v>0</v>
      </c>
      <c r="F49" s="1">
        <v>0</v>
      </c>
      <c r="G49" s="9">
        <f>SUM(TN_FINANCIAL)</f>
        <v>1120534.7730247676</v>
      </c>
      <c r="L49" s="6"/>
      <c r="V49" s="9"/>
    </row>
    <row r="50" spans="1:22">
      <c r="A50" s="1" t="s">
        <v>71</v>
      </c>
      <c r="B50" s="6">
        <v>161667.05813458949</v>
      </c>
      <c r="C50" s="1">
        <v>0</v>
      </c>
      <c r="D50" s="1">
        <v>2099555.4102525609</v>
      </c>
      <c r="E50" s="1">
        <v>0</v>
      </c>
      <c r="F50" s="1">
        <v>0</v>
      </c>
      <c r="G50" s="9">
        <f>SUM(TX_FINANCIAL)</f>
        <v>2261222.4683871502</v>
      </c>
      <c r="L50" s="6">
        <v>599995</v>
      </c>
      <c r="M50" s="1">
        <v>0</v>
      </c>
      <c r="O50" s="1">
        <v>0</v>
      </c>
      <c r="P50" s="1">
        <v>0</v>
      </c>
      <c r="R50" s="1">
        <v>2249991</v>
      </c>
      <c r="S50" s="1">
        <v>0</v>
      </c>
      <c r="U50" s="1">
        <v>0</v>
      </c>
      <c r="V50" s="9">
        <v>0</v>
      </c>
    </row>
    <row r="51" spans="1:22">
      <c r="A51" s="1" t="s">
        <v>72</v>
      </c>
      <c r="B51" s="6">
        <v>109110.50808222644</v>
      </c>
      <c r="C51" s="1">
        <v>0</v>
      </c>
      <c r="D51" s="1">
        <v>-3587.909618095563</v>
      </c>
      <c r="E51" s="1">
        <v>0</v>
      </c>
      <c r="F51" s="1">
        <v>0</v>
      </c>
      <c r="G51" s="9">
        <f>SUM(UT_FINANCIAL)</f>
        <v>105522.59846413088</v>
      </c>
      <c r="L51" s="6">
        <v>102583</v>
      </c>
      <c r="M51" s="1">
        <v>0</v>
      </c>
      <c r="O51" s="1">
        <v>0</v>
      </c>
      <c r="P51" s="1">
        <v>0</v>
      </c>
      <c r="R51" s="1">
        <v>51916</v>
      </c>
      <c r="S51" s="1">
        <v>0</v>
      </c>
      <c r="U51" s="1">
        <v>0</v>
      </c>
      <c r="V51" s="9">
        <v>0</v>
      </c>
    </row>
    <row r="52" spans="1:22">
      <c r="A52" s="1" t="s">
        <v>73</v>
      </c>
      <c r="B52" s="6">
        <v>0</v>
      </c>
      <c r="C52" s="1">
        <v>0</v>
      </c>
      <c r="D52" s="1">
        <v>0</v>
      </c>
      <c r="E52" s="1">
        <v>0</v>
      </c>
      <c r="F52" s="1">
        <v>0</v>
      </c>
      <c r="G52" s="9">
        <f>SUM(VT_FINANCIAL)</f>
        <v>0</v>
      </c>
      <c r="L52" s="6"/>
      <c r="V52" s="9"/>
    </row>
    <row r="53" spans="1:22">
      <c r="A53" s="1" t="s">
        <v>74</v>
      </c>
      <c r="B53" s="6">
        <v>-155857.52016394379</v>
      </c>
      <c r="C53" s="1">
        <v>0</v>
      </c>
      <c r="D53" s="1">
        <v>907793.20665311022</v>
      </c>
      <c r="E53" s="1">
        <v>0</v>
      </c>
      <c r="F53" s="1">
        <v>0</v>
      </c>
      <c r="G53" s="9">
        <f>SUM(VA_FINANCIAL)</f>
        <v>751935.68648916646</v>
      </c>
      <c r="L53" s="6"/>
      <c r="V53" s="9"/>
    </row>
    <row r="54" spans="1:22">
      <c r="A54" s="1" t="s">
        <v>75</v>
      </c>
      <c r="B54" s="6">
        <v>18615.060580694262</v>
      </c>
      <c r="C54" s="1">
        <v>0</v>
      </c>
      <c r="D54" s="1">
        <v>965400.21158402739</v>
      </c>
      <c r="E54" s="1">
        <v>0</v>
      </c>
      <c r="F54" s="1">
        <v>0</v>
      </c>
      <c r="G54" s="9">
        <f>SUM(WA_FINANCIAL)</f>
        <v>984015.27216472162</v>
      </c>
      <c r="L54" s="6"/>
      <c r="V54" s="9"/>
    </row>
    <row r="55" spans="1:22">
      <c r="A55" s="1" t="s">
        <v>76</v>
      </c>
      <c r="B55" s="6">
        <v>63070.425422676148</v>
      </c>
      <c r="C55" s="1">
        <v>0</v>
      </c>
      <c r="D55" s="1">
        <v>-7656.0838768545382</v>
      </c>
      <c r="E55" s="1">
        <v>0</v>
      </c>
      <c r="F55" s="1">
        <v>0</v>
      </c>
      <c r="G55" s="9">
        <f>SUM(WV_FINANCIAL)</f>
        <v>55414.341545821611</v>
      </c>
      <c r="L55" s="6"/>
      <c r="V55" s="9"/>
    </row>
    <row r="56" spans="1:22">
      <c r="A56" s="1" t="s">
        <v>77</v>
      </c>
      <c r="B56" s="6">
        <v>198686.05230249261</v>
      </c>
      <c r="C56" s="1">
        <v>0</v>
      </c>
      <c r="D56" s="1">
        <v>3296610.3697102163</v>
      </c>
      <c r="E56" s="1">
        <v>0</v>
      </c>
      <c r="F56" s="1">
        <v>0</v>
      </c>
      <c r="G56" s="9">
        <f>SUM(WI_FINANCIAL)</f>
        <v>3495296.4220127091</v>
      </c>
      <c r="L56" s="6">
        <v>0</v>
      </c>
      <c r="M56" s="1">
        <v>0</v>
      </c>
      <c r="O56" s="1">
        <v>0</v>
      </c>
      <c r="P56" s="1">
        <v>0</v>
      </c>
      <c r="R56" s="1">
        <v>2500000</v>
      </c>
      <c r="S56" s="1">
        <v>0</v>
      </c>
      <c r="U56" s="1">
        <v>0</v>
      </c>
      <c r="V56" s="9">
        <v>0</v>
      </c>
    </row>
    <row r="57" spans="1:22">
      <c r="A57" s="1" t="s">
        <v>78</v>
      </c>
      <c r="B57" s="6">
        <v>0</v>
      </c>
      <c r="C57" s="1">
        <v>0</v>
      </c>
      <c r="D57" s="1">
        <v>0</v>
      </c>
      <c r="E57" s="1">
        <v>0</v>
      </c>
      <c r="F57" s="1">
        <v>0</v>
      </c>
      <c r="G57" s="9">
        <f>SUM(WY_FINANCIAL)</f>
        <v>0</v>
      </c>
      <c r="L57" s="6"/>
      <c r="V57" s="9"/>
    </row>
    <row r="58" spans="1:22">
      <c r="A58" s="1" t="s">
        <v>79</v>
      </c>
      <c r="B58" s="6">
        <v>0</v>
      </c>
      <c r="C58" s="1">
        <v>0</v>
      </c>
      <c r="D58" s="1">
        <v>0</v>
      </c>
      <c r="E58" s="1">
        <v>0</v>
      </c>
      <c r="F58" s="1">
        <v>0</v>
      </c>
      <c r="G58" s="9">
        <f>SUM(OT_FINANCIAL)</f>
        <v>0</v>
      </c>
      <c r="L58" s="6"/>
      <c r="V58" s="9"/>
    </row>
    <row r="59" spans="1:22">
      <c r="B59" s="6"/>
      <c r="G59" s="9"/>
      <c r="L59" s="6"/>
      <c r="V59" s="9"/>
    </row>
    <row r="60" spans="1:22">
      <c r="A60" s="1" t="s">
        <v>8</v>
      </c>
      <c r="B60" s="6">
        <f>SUM(LIFE)</f>
        <v>4097243.5984001756</v>
      </c>
      <c r="C60" s="1">
        <f>SUM(ALLOCATED)</f>
        <v>0</v>
      </c>
      <c r="D60" s="1">
        <f>SUM(HEALTH)</f>
        <v>135498725.22722065</v>
      </c>
      <c r="E60" s="1">
        <f>SUM(UNALLOCATED)</f>
        <v>0</v>
      </c>
      <c r="F60" s="1">
        <f>SUM(LTC)</f>
        <v>0</v>
      </c>
      <c r="G60" s="9">
        <f>SUM(ALL_BLOCKS)</f>
        <v>139595968.82562083</v>
      </c>
      <c r="L60" s="6">
        <f>SUM(LIFE_CALLED)</f>
        <v>1237578</v>
      </c>
      <c r="M60" s="1">
        <f>SUM(LIFE_REFUNDED)</f>
        <v>0</v>
      </c>
      <c r="O60" s="1">
        <f>SUM(ALLOC_CALLED)</f>
        <v>265000</v>
      </c>
      <c r="P60" s="1">
        <f>SUM(ALLOC_REFUNDED)</f>
        <v>0</v>
      </c>
      <c r="R60" s="1">
        <f>SUM(HEALTH_CALLED)</f>
        <v>101326458</v>
      </c>
      <c r="S60" s="1">
        <f>SUM(HEALTH_REFUNDED)</f>
        <v>0</v>
      </c>
      <c r="U60" s="1">
        <f>SUM(UNALLOC_CALLED)</f>
        <v>0</v>
      </c>
      <c r="V60" s="9">
        <f>SUM(UNALLOC_REFUNDED)</f>
        <v>0</v>
      </c>
    </row>
    <row r="61" spans="1:22" ht="5.0999999999999996" customHeight="1">
      <c r="B61" s="6"/>
      <c r="G61" s="9"/>
      <c r="L61" s="6"/>
      <c r="V61" s="9"/>
    </row>
    <row r="62" spans="1:22">
      <c r="B62" s="6"/>
      <c r="G62" s="9"/>
      <c r="L62" s="78" t="s">
        <v>80</v>
      </c>
      <c r="M62" s="79"/>
      <c r="N62" s="79"/>
      <c r="O62" s="79"/>
      <c r="P62" s="79"/>
      <c r="Q62" s="79"/>
      <c r="R62" s="79"/>
      <c r="S62" s="79"/>
      <c r="T62" s="79"/>
      <c r="U62" s="79"/>
      <c r="V62" s="80"/>
    </row>
    <row r="63" spans="1:22">
      <c r="B63" s="6"/>
      <c r="G63" s="9"/>
      <c r="L63" s="81"/>
      <c r="M63" s="79"/>
      <c r="N63" s="79"/>
      <c r="O63" s="79"/>
      <c r="P63" s="79"/>
      <c r="Q63" s="79"/>
      <c r="R63" s="79"/>
      <c r="S63" s="79"/>
      <c r="T63" s="79"/>
      <c r="U63" s="79"/>
      <c r="V63" s="80"/>
    </row>
    <row r="64" spans="1:22">
      <c r="B64" s="8"/>
      <c r="C64" s="5"/>
      <c r="D64" s="5"/>
      <c r="E64" s="5"/>
      <c r="F64" s="5"/>
      <c r="G64" s="11"/>
      <c r="L64" s="82"/>
      <c r="M64" s="83"/>
      <c r="N64" s="83"/>
      <c r="O64" s="83"/>
      <c r="P64" s="83"/>
      <c r="Q64" s="83"/>
      <c r="R64" s="83"/>
      <c r="S64" s="83"/>
      <c r="T64" s="83"/>
      <c r="U64" s="83"/>
      <c r="V64" s="84"/>
    </row>
  </sheetData>
  <mergeCells count="8">
    <mergeCell ref="L62:V64"/>
    <mergeCell ref="A1:G1"/>
    <mergeCell ref="B3:G3"/>
    <mergeCell ref="L3:V3"/>
    <mergeCell ref="L4:M4"/>
    <mergeCell ref="O4:P4"/>
    <mergeCell ref="R4:S4"/>
    <mergeCell ref="U4:V4"/>
  </mergeCells>
  <pageMargins left="0" right="0" top="0" bottom="0" header="0" footer="0"/>
  <pageSetup scale="48"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pageSetUpPr fitToPage="1"/>
  </sheetPr>
  <dimension ref="A1:V64"/>
  <sheetViews>
    <sheetView zoomScale="75" workbookViewId="0">
      <selection sqref="A1:G1"/>
    </sheetView>
  </sheetViews>
  <sheetFormatPr defaultColWidth="9.109375" defaultRowHeight="14.4"/>
  <cols>
    <col min="1" max="1" width="20" style="1" customWidth="1"/>
    <col min="2" max="7" width="15" style="1" customWidth="1"/>
    <col min="8" max="8" width="1" style="1" customWidth="1"/>
    <col min="9" max="9" width="30" style="1" customWidth="1"/>
    <col min="10" max="10" width="15" style="1" customWidth="1"/>
    <col min="11" max="11" width="1" style="1" customWidth="1"/>
    <col min="12" max="13" width="15" style="1" customWidth="1"/>
    <col min="14" max="14" width="1" style="1" customWidth="1"/>
    <col min="15" max="16" width="15" style="1" customWidth="1"/>
    <col min="17" max="17" width="1" style="1" customWidth="1"/>
    <col min="18" max="19" width="15" style="1" customWidth="1"/>
    <col min="20" max="20" width="1" style="1" customWidth="1"/>
    <col min="21" max="22" width="15" style="1" customWidth="1"/>
    <col min="23" max="23" width="9.109375" style="1" customWidth="1"/>
    <col min="24" max="16384" width="9.109375" style="1"/>
  </cols>
  <sheetData>
    <row r="1" spans="1:22">
      <c r="A1" s="85" t="s">
        <v>152</v>
      </c>
      <c r="B1" s="79"/>
      <c r="C1" s="79"/>
      <c r="D1" s="79"/>
      <c r="E1" s="79"/>
      <c r="F1" s="79"/>
      <c r="G1" s="79"/>
    </row>
    <row r="3" spans="1:22">
      <c r="B3" s="86" t="s">
        <v>1</v>
      </c>
      <c r="C3" s="87"/>
      <c r="D3" s="87"/>
      <c r="E3" s="87"/>
      <c r="F3" s="87"/>
      <c r="G3" s="88"/>
      <c r="L3" s="89" t="s">
        <v>2</v>
      </c>
      <c r="M3" s="90"/>
      <c r="N3" s="90"/>
      <c r="O3" s="90"/>
      <c r="P3" s="90"/>
      <c r="Q3" s="90"/>
      <c r="R3" s="90"/>
      <c r="S3" s="90"/>
      <c r="T3" s="90"/>
      <c r="U3" s="90"/>
      <c r="V3" s="91"/>
    </row>
    <row r="4" spans="1:22">
      <c r="B4" s="6"/>
      <c r="G4" s="9"/>
      <c r="L4" s="92" t="s">
        <v>3</v>
      </c>
      <c r="M4" s="93"/>
      <c r="N4" s="3"/>
      <c r="O4" s="94" t="s">
        <v>4</v>
      </c>
      <c r="P4" s="93"/>
      <c r="Q4" s="3"/>
      <c r="R4" s="94" t="s">
        <v>5</v>
      </c>
      <c r="S4" s="93"/>
      <c r="T4" s="3"/>
      <c r="U4" s="94" t="s">
        <v>6</v>
      </c>
      <c r="V4" s="95"/>
    </row>
    <row r="5" spans="1:22" ht="60" customHeight="1">
      <c r="B5" s="7" t="s">
        <v>3</v>
      </c>
      <c r="C5" s="4" t="s">
        <v>4</v>
      </c>
      <c r="D5" s="4" t="s">
        <v>5</v>
      </c>
      <c r="E5" s="4" t="s">
        <v>6</v>
      </c>
      <c r="F5" s="4" t="s">
        <v>7</v>
      </c>
      <c r="G5" s="10" t="s">
        <v>8</v>
      </c>
      <c r="L5" s="19" t="s">
        <v>9</v>
      </c>
      <c r="M5" s="18" t="s">
        <v>10</v>
      </c>
      <c r="N5" s="18"/>
      <c r="O5" s="18" t="s">
        <v>9</v>
      </c>
      <c r="P5" s="18" t="s">
        <v>10</v>
      </c>
      <c r="Q5" s="18"/>
      <c r="R5" s="18" t="s">
        <v>9</v>
      </c>
      <c r="S5" s="18" t="s">
        <v>10</v>
      </c>
      <c r="T5" s="18"/>
      <c r="U5" s="18" t="s">
        <v>9</v>
      </c>
      <c r="V5" s="20" t="s">
        <v>10</v>
      </c>
    </row>
    <row r="6" spans="1:22">
      <c r="A6" s="1" t="s">
        <v>11</v>
      </c>
      <c r="B6" s="6">
        <v>415871.31285645219</v>
      </c>
      <c r="C6" s="1">
        <v>0</v>
      </c>
      <c r="D6" s="1">
        <v>0</v>
      </c>
      <c r="E6" s="1">
        <v>0</v>
      </c>
      <c r="F6" s="1">
        <v>0</v>
      </c>
      <c r="G6" s="9">
        <f>SUM(AL_FINANCIAL)</f>
        <v>415871.31285645219</v>
      </c>
      <c r="L6" s="6">
        <v>450000</v>
      </c>
      <c r="M6" s="1">
        <v>0</v>
      </c>
      <c r="O6" s="1">
        <v>0</v>
      </c>
      <c r="P6" s="1">
        <v>0</v>
      </c>
      <c r="R6" s="1">
        <v>0</v>
      </c>
      <c r="S6" s="1">
        <v>0</v>
      </c>
      <c r="U6" s="1">
        <v>0</v>
      </c>
      <c r="V6" s="9">
        <v>0</v>
      </c>
    </row>
    <row r="7" spans="1:22">
      <c r="A7" s="1" t="s">
        <v>12</v>
      </c>
      <c r="B7" s="6">
        <v>40418.493799619901</v>
      </c>
      <c r="C7" s="1">
        <v>0</v>
      </c>
      <c r="D7" s="1">
        <v>0</v>
      </c>
      <c r="E7" s="1">
        <v>0</v>
      </c>
      <c r="F7" s="1">
        <v>0</v>
      </c>
      <c r="G7" s="9">
        <f>SUM(AK_FINANCIAL)</f>
        <v>40418.493799619901</v>
      </c>
      <c r="I7" s="12"/>
      <c r="J7" s="15"/>
      <c r="L7" s="6">
        <v>62205</v>
      </c>
      <c r="M7" s="1">
        <v>0</v>
      </c>
      <c r="O7" s="1">
        <v>0</v>
      </c>
      <c r="P7" s="1">
        <v>0</v>
      </c>
      <c r="R7" s="1">
        <v>0</v>
      </c>
      <c r="S7" s="1">
        <v>0</v>
      </c>
      <c r="U7" s="1">
        <v>0</v>
      </c>
      <c r="V7" s="9">
        <v>0</v>
      </c>
    </row>
    <row r="8" spans="1:22">
      <c r="A8" s="1" t="s">
        <v>13</v>
      </c>
      <c r="B8" s="6">
        <v>1400890.6423474564</v>
      </c>
      <c r="C8" s="1">
        <v>0</v>
      </c>
      <c r="D8" s="1">
        <v>0</v>
      </c>
      <c r="E8" s="1">
        <v>0</v>
      </c>
      <c r="F8" s="1">
        <v>0</v>
      </c>
      <c r="G8" s="9">
        <f>SUM(AZ_FINANCIAL)</f>
        <v>1400890.6423474564</v>
      </c>
      <c r="I8" s="13" t="s">
        <v>14</v>
      </c>
      <c r="J8" s="16"/>
      <c r="L8" s="6">
        <v>1022583</v>
      </c>
      <c r="M8" s="1">
        <v>0</v>
      </c>
      <c r="O8" s="1">
        <v>0</v>
      </c>
      <c r="P8" s="1">
        <v>0</v>
      </c>
      <c r="R8" s="1">
        <v>0</v>
      </c>
      <c r="S8" s="1">
        <v>0</v>
      </c>
      <c r="U8" s="1">
        <v>0</v>
      </c>
      <c r="V8" s="9">
        <v>0</v>
      </c>
    </row>
    <row r="9" spans="1:22">
      <c r="A9" s="1" t="s">
        <v>15</v>
      </c>
      <c r="B9" s="6">
        <v>300131.59902531386</v>
      </c>
      <c r="C9" s="1">
        <v>0</v>
      </c>
      <c r="D9" s="1">
        <v>0</v>
      </c>
      <c r="E9" s="1">
        <v>0</v>
      </c>
      <c r="F9" s="1">
        <v>0</v>
      </c>
      <c r="G9" s="9">
        <f>SUM(AR_FINANCIAL)</f>
        <v>300131.59902531386</v>
      </c>
      <c r="I9" s="13"/>
      <c r="J9" s="16"/>
      <c r="L9" s="6">
        <v>361600</v>
      </c>
      <c r="M9" s="1">
        <v>0</v>
      </c>
      <c r="O9" s="1">
        <v>0</v>
      </c>
      <c r="P9" s="1">
        <v>0</v>
      </c>
      <c r="R9" s="1">
        <v>0</v>
      </c>
      <c r="S9" s="1">
        <v>0</v>
      </c>
      <c r="U9" s="1">
        <v>0</v>
      </c>
      <c r="V9" s="9">
        <v>0</v>
      </c>
    </row>
    <row r="10" spans="1:22">
      <c r="A10" s="1" t="s">
        <v>16</v>
      </c>
      <c r="B10" s="6">
        <v>7576245.8598237233</v>
      </c>
      <c r="C10" s="1">
        <v>0</v>
      </c>
      <c r="D10" s="1">
        <v>0</v>
      </c>
      <c r="E10" s="1">
        <v>0</v>
      </c>
      <c r="F10" s="1">
        <v>0</v>
      </c>
      <c r="G10" s="9">
        <f>SUM(CA_FINANCIAL)</f>
        <v>7576245.8598237233</v>
      </c>
      <c r="I10" s="13" t="s">
        <v>17</v>
      </c>
      <c r="J10" s="16">
        <v>217603141</v>
      </c>
      <c r="L10" s="6">
        <v>8346598</v>
      </c>
      <c r="M10" s="1">
        <v>575000</v>
      </c>
      <c r="O10" s="1">
        <v>0</v>
      </c>
      <c r="P10" s="1">
        <v>0</v>
      </c>
      <c r="R10" s="1">
        <v>0</v>
      </c>
      <c r="S10" s="1">
        <v>0</v>
      </c>
      <c r="U10" s="1">
        <v>0</v>
      </c>
      <c r="V10" s="9">
        <v>0</v>
      </c>
    </row>
    <row r="11" spans="1:22">
      <c r="A11" s="1" t="s">
        <v>18</v>
      </c>
      <c r="B11" s="6">
        <v>0</v>
      </c>
      <c r="C11" s="1">
        <v>0</v>
      </c>
      <c r="D11" s="1">
        <v>0</v>
      </c>
      <c r="E11" s="1">
        <v>0</v>
      </c>
      <c r="F11" s="1">
        <v>0</v>
      </c>
      <c r="G11" s="9">
        <f>SUM(CO_FINANCIAL)</f>
        <v>0</v>
      </c>
      <c r="I11" s="13"/>
      <c r="J11" s="16"/>
      <c r="L11" s="6">
        <v>3932</v>
      </c>
      <c r="M11" s="1">
        <v>0</v>
      </c>
      <c r="O11" s="1">
        <v>0</v>
      </c>
      <c r="P11" s="1">
        <v>0</v>
      </c>
      <c r="R11" s="1">
        <v>0</v>
      </c>
      <c r="S11" s="1">
        <v>0</v>
      </c>
      <c r="U11" s="1">
        <v>0</v>
      </c>
      <c r="V11" s="9">
        <v>0</v>
      </c>
    </row>
    <row r="12" spans="1:22">
      <c r="A12" s="1" t="s">
        <v>19</v>
      </c>
      <c r="B12" s="6">
        <v>0</v>
      </c>
      <c r="C12" s="1">
        <v>0</v>
      </c>
      <c r="D12" s="1">
        <v>0</v>
      </c>
      <c r="E12" s="1">
        <v>0</v>
      </c>
      <c r="F12" s="1">
        <v>0</v>
      </c>
      <c r="G12" s="9">
        <f>SUM(CT_FINANCIAL)</f>
        <v>0</v>
      </c>
      <c r="I12" s="13" t="s">
        <v>20</v>
      </c>
      <c r="J12" s="16"/>
      <c r="L12" s="6"/>
      <c r="V12" s="9"/>
    </row>
    <row r="13" spans="1:22">
      <c r="A13" s="1" t="s">
        <v>21</v>
      </c>
      <c r="B13" s="6">
        <v>153690.11432847969</v>
      </c>
      <c r="C13" s="1">
        <v>0</v>
      </c>
      <c r="D13" s="1">
        <v>0</v>
      </c>
      <c r="E13" s="1">
        <v>0</v>
      </c>
      <c r="F13" s="1">
        <v>0</v>
      </c>
      <c r="G13" s="9">
        <f>SUM(DE_FINANCIAL)</f>
        <v>153690.11432847969</v>
      </c>
      <c r="I13" s="13" t="s">
        <v>22</v>
      </c>
      <c r="J13" s="16">
        <v>0</v>
      </c>
      <c r="L13" s="6">
        <v>145000</v>
      </c>
      <c r="M13" s="1">
        <v>0</v>
      </c>
      <c r="O13" s="1">
        <v>0</v>
      </c>
      <c r="P13" s="1">
        <v>0</v>
      </c>
      <c r="R13" s="1">
        <v>0</v>
      </c>
      <c r="S13" s="1">
        <v>0</v>
      </c>
      <c r="U13" s="1">
        <v>0</v>
      </c>
      <c r="V13" s="9">
        <v>0</v>
      </c>
    </row>
    <row r="14" spans="1:22">
      <c r="A14" s="1" t="s">
        <v>23</v>
      </c>
      <c r="B14" s="6">
        <v>0</v>
      </c>
      <c r="C14" s="1">
        <v>0</v>
      </c>
      <c r="D14" s="1">
        <v>0</v>
      </c>
      <c r="E14" s="1">
        <v>0</v>
      </c>
      <c r="F14" s="1">
        <v>0</v>
      </c>
      <c r="G14" s="9">
        <f>SUM(DC_FINANCIAL)</f>
        <v>0</v>
      </c>
      <c r="I14" s="13" t="s">
        <v>24</v>
      </c>
      <c r="J14" s="16">
        <v>0</v>
      </c>
      <c r="L14" s="6"/>
      <c r="V14" s="9"/>
    </row>
    <row r="15" spans="1:22">
      <c r="A15" s="1" t="s">
        <v>25</v>
      </c>
      <c r="B15" s="6">
        <v>5559640.5062511601</v>
      </c>
      <c r="C15" s="1">
        <v>0</v>
      </c>
      <c r="D15" s="1">
        <v>0</v>
      </c>
      <c r="E15" s="1">
        <v>0</v>
      </c>
      <c r="F15" s="1">
        <v>0</v>
      </c>
      <c r="G15" s="9">
        <f>SUM(FL_FINANCIAL)</f>
        <v>5559640.5062511601</v>
      </c>
      <c r="I15" s="13" t="s">
        <v>26</v>
      </c>
      <c r="J15" s="16">
        <v>1882080.4400000002</v>
      </c>
      <c r="L15" s="6">
        <v>5300000</v>
      </c>
      <c r="M15" s="1">
        <v>0</v>
      </c>
      <c r="O15" s="1">
        <v>0</v>
      </c>
      <c r="P15" s="1">
        <v>0</v>
      </c>
      <c r="R15" s="1">
        <v>0</v>
      </c>
      <c r="S15" s="1">
        <v>0</v>
      </c>
      <c r="U15" s="1">
        <v>0</v>
      </c>
      <c r="V15" s="9">
        <v>0</v>
      </c>
    </row>
    <row r="16" spans="1:22">
      <c r="A16" s="1" t="s">
        <v>27</v>
      </c>
      <c r="B16" s="6">
        <v>677279.66028366506</v>
      </c>
      <c r="C16" s="1">
        <v>0</v>
      </c>
      <c r="D16" s="1">
        <v>0</v>
      </c>
      <c r="E16" s="1">
        <v>0</v>
      </c>
      <c r="F16" s="1">
        <v>0</v>
      </c>
      <c r="G16" s="9">
        <f>SUM(GA_FINANCIAL)</f>
        <v>677279.66028366506</v>
      </c>
      <c r="I16" s="13" t="s">
        <v>28</v>
      </c>
      <c r="J16" s="16">
        <v>0</v>
      </c>
      <c r="L16" s="6">
        <v>690574</v>
      </c>
      <c r="M16" s="1">
        <v>0</v>
      </c>
      <c r="O16" s="1">
        <v>0</v>
      </c>
      <c r="P16" s="1">
        <v>0</v>
      </c>
      <c r="R16" s="1">
        <v>0</v>
      </c>
      <c r="S16" s="1">
        <v>0</v>
      </c>
      <c r="U16" s="1">
        <v>0</v>
      </c>
      <c r="V16" s="9">
        <v>0</v>
      </c>
    </row>
    <row r="17" spans="1:22">
      <c r="A17" s="1" t="s">
        <v>29</v>
      </c>
      <c r="B17" s="6">
        <v>190995.55400025152</v>
      </c>
      <c r="C17" s="1">
        <v>0</v>
      </c>
      <c r="D17" s="1">
        <v>0</v>
      </c>
      <c r="E17" s="1">
        <v>0</v>
      </c>
      <c r="F17" s="1">
        <v>0</v>
      </c>
      <c r="G17" s="9">
        <f>SUM(HI_FINANCIAL)</f>
        <v>190995.55400025152</v>
      </c>
      <c r="I17" s="13"/>
      <c r="J17" s="16"/>
      <c r="L17" s="6">
        <v>244756</v>
      </c>
      <c r="M17" s="1">
        <v>0</v>
      </c>
      <c r="O17" s="1">
        <v>0</v>
      </c>
      <c r="P17" s="1">
        <v>0</v>
      </c>
      <c r="R17" s="1">
        <v>0</v>
      </c>
      <c r="S17" s="1">
        <v>0</v>
      </c>
      <c r="U17" s="1">
        <v>0</v>
      </c>
      <c r="V17" s="9">
        <v>0</v>
      </c>
    </row>
    <row r="18" spans="1:22">
      <c r="A18" s="1" t="s">
        <v>30</v>
      </c>
      <c r="B18" s="6">
        <v>264524.40169265593</v>
      </c>
      <c r="C18" s="1">
        <v>0</v>
      </c>
      <c r="D18" s="1">
        <v>0</v>
      </c>
      <c r="E18" s="1">
        <v>0</v>
      </c>
      <c r="F18" s="1">
        <v>0</v>
      </c>
      <c r="G18" s="9">
        <f>SUM(ID_FINANCIAL)</f>
        <v>264524.40169265593</v>
      </c>
      <c r="I18" s="13" t="s">
        <v>31</v>
      </c>
      <c r="J18" s="16"/>
      <c r="L18" s="6">
        <v>300000</v>
      </c>
      <c r="M18" s="1">
        <v>0</v>
      </c>
      <c r="O18" s="1">
        <v>0</v>
      </c>
      <c r="P18" s="1">
        <v>0</v>
      </c>
      <c r="R18" s="1">
        <v>0</v>
      </c>
      <c r="S18" s="1">
        <v>0</v>
      </c>
      <c r="U18" s="1">
        <v>0</v>
      </c>
      <c r="V18" s="9">
        <v>0</v>
      </c>
    </row>
    <row r="19" spans="1:22">
      <c r="A19" s="1" t="s">
        <v>32</v>
      </c>
      <c r="B19" s="6">
        <v>10470674.933187187</v>
      </c>
      <c r="C19" s="1">
        <v>0</v>
      </c>
      <c r="D19" s="1">
        <v>0</v>
      </c>
      <c r="E19" s="1">
        <v>0</v>
      </c>
      <c r="F19" s="1">
        <v>0</v>
      </c>
      <c r="G19" s="9">
        <f>SUM(IL_FINANCIAL)</f>
        <v>10470674.933187187</v>
      </c>
      <c r="I19" s="13" t="s">
        <v>33</v>
      </c>
      <c r="J19" s="16">
        <v>126221667.79000002</v>
      </c>
      <c r="L19" s="6">
        <v>11650000</v>
      </c>
      <c r="M19" s="1">
        <v>858300</v>
      </c>
      <c r="O19" s="1">
        <v>0</v>
      </c>
      <c r="P19" s="1">
        <v>0</v>
      </c>
      <c r="R19" s="1">
        <v>0</v>
      </c>
      <c r="S19" s="1">
        <v>0</v>
      </c>
      <c r="U19" s="1">
        <v>0</v>
      </c>
      <c r="V19" s="9">
        <v>0</v>
      </c>
    </row>
    <row r="20" spans="1:22">
      <c r="A20" s="1" t="s">
        <v>34</v>
      </c>
      <c r="B20" s="6">
        <v>2360133.084037527</v>
      </c>
      <c r="C20" s="1">
        <v>0</v>
      </c>
      <c r="D20" s="1">
        <v>0</v>
      </c>
      <c r="E20" s="1">
        <v>0</v>
      </c>
      <c r="F20" s="1">
        <v>0</v>
      </c>
      <c r="G20" s="9">
        <f>SUM(IN_FINANCIAL)</f>
        <v>2360133.084037527</v>
      </c>
      <c r="I20" s="13" t="s">
        <v>35</v>
      </c>
      <c r="J20" s="16">
        <v>-145086</v>
      </c>
      <c r="L20" s="6">
        <v>2008337</v>
      </c>
      <c r="M20" s="1">
        <v>0</v>
      </c>
      <c r="O20" s="1">
        <v>0</v>
      </c>
      <c r="P20" s="1">
        <v>0</v>
      </c>
      <c r="R20" s="1">
        <v>0</v>
      </c>
      <c r="S20" s="1">
        <v>0</v>
      </c>
      <c r="U20" s="1">
        <v>0</v>
      </c>
      <c r="V20" s="9">
        <v>0</v>
      </c>
    </row>
    <row r="21" spans="1:22">
      <c r="A21" s="1" t="s">
        <v>36</v>
      </c>
      <c r="B21" s="6">
        <v>1943287.1504432408</v>
      </c>
      <c r="C21" s="1">
        <v>0</v>
      </c>
      <c r="D21" s="1">
        <v>0</v>
      </c>
      <c r="E21" s="1">
        <v>0</v>
      </c>
      <c r="F21" s="1">
        <v>0</v>
      </c>
      <c r="G21" s="9">
        <f>SUM(IA_FINANCIAL)</f>
        <v>1943287.1504432408</v>
      </c>
      <c r="I21" s="13" t="s">
        <v>37</v>
      </c>
      <c r="J21" s="16"/>
      <c r="L21" s="6">
        <v>2015000</v>
      </c>
      <c r="M21" s="1">
        <v>0</v>
      </c>
      <c r="O21" s="1">
        <v>0</v>
      </c>
      <c r="P21" s="1">
        <v>0</v>
      </c>
      <c r="R21" s="1">
        <v>0</v>
      </c>
      <c r="S21" s="1">
        <v>0</v>
      </c>
      <c r="U21" s="1">
        <v>0</v>
      </c>
      <c r="V21" s="9">
        <v>0</v>
      </c>
    </row>
    <row r="22" spans="1:22">
      <c r="A22" s="1" t="s">
        <v>38</v>
      </c>
      <c r="B22" s="6">
        <v>435841.29941227479</v>
      </c>
      <c r="C22" s="1">
        <v>0</v>
      </c>
      <c r="D22" s="1">
        <v>0</v>
      </c>
      <c r="E22" s="1">
        <v>0</v>
      </c>
      <c r="F22" s="1">
        <v>0</v>
      </c>
      <c r="G22" s="9">
        <f>SUM(KS_FINANCIAL)</f>
        <v>435841.29941227479</v>
      </c>
      <c r="I22" s="13" t="s">
        <v>39</v>
      </c>
      <c r="J22" s="16">
        <v>10862914</v>
      </c>
      <c r="L22" s="6">
        <v>442000</v>
      </c>
      <c r="M22" s="1">
        <v>0</v>
      </c>
      <c r="O22" s="1">
        <v>0</v>
      </c>
      <c r="P22" s="1">
        <v>0</v>
      </c>
      <c r="R22" s="1">
        <v>0</v>
      </c>
      <c r="S22" s="1">
        <v>0</v>
      </c>
      <c r="U22" s="1">
        <v>0</v>
      </c>
      <c r="V22" s="9">
        <v>0</v>
      </c>
    </row>
    <row r="23" spans="1:22">
      <c r="A23" s="1" t="s">
        <v>40</v>
      </c>
      <c r="B23" s="6">
        <v>344703.50147758913</v>
      </c>
      <c r="C23" s="1">
        <v>0</v>
      </c>
      <c r="D23" s="1">
        <v>0</v>
      </c>
      <c r="E23" s="1">
        <v>0</v>
      </c>
      <c r="F23" s="1">
        <v>0</v>
      </c>
      <c r="G23" s="9">
        <f>SUM(KY_FINANCIAL)</f>
        <v>344703.50147758913</v>
      </c>
      <c r="I23" s="13" t="s">
        <v>41</v>
      </c>
      <c r="J23" s="16"/>
      <c r="L23" s="6">
        <v>429971</v>
      </c>
      <c r="M23" s="1">
        <v>104347</v>
      </c>
      <c r="O23" s="1">
        <v>0</v>
      </c>
      <c r="P23" s="1">
        <v>0</v>
      </c>
      <c r="R23" s="1">
        <v>0</v>
      </c>
      <c r="S23" s="1">
        <v>0</v>
      </c>
      <c r="U23" s="1">
        <v>0</v>
      </c>
      <c r="V23" s="9">
        <v>0</v>
      </c>
    </row>
    <row r="24" spans="1:22">
      <c r="A24" s="1" t="s">
        <v>42</v>
      </c>
      <c r="B24" s="6">
        <v>0</v>
      </c>
      <c r="C24" s="1">
        <v>0</v>
      </c>
      <c r="D24" s="1">
        <v>0</v>
      </c>
      <c r="E24" s="1">
        <v>0</v>
      </c>
      <c r="F24" s="1">
        <v>0</v>
      </c>
      <c r="G24" s="9">
        <f>SUM(LA_FINANCIAL)</f>
        <v>0</v>
      </c>
      <c r="I24" s="13" t="s">
        <v>43</v>
      </c>
      <c r="J24" s="16">
        <v>642701</v>
      </c>
      <c r="L24" s="6"/>
      <c r="V24" s="9"/>
    </row>
    <row r="25" spans="1:22">
      <c r="A25" s="1" t="s">
        <v>44</v>
      </c>
      <c r="B25" s="6">
        <v>298197.13641101005</v>
      </c>
      <c r="C25" s="1">
        <v>0</v>
      </c>
      <c r="D25" s="1">
        <v>0</v>
      </c>
      <c r="E25" s="1">
        <v>0</v>
      </c>
      <c r="F25" s="1">
        <v>0</v>
      </c>
      <c r="G25" s="9">
        <f>SUM(ME_FINANCIAL)</f>
        <v>298197.13641101005</v>
      </c>
      <c r="I25" s="13"/>
      <c r="J25" s="16"/>
      <c r="L25" s="6">
        <v>310000</v>
      </c>
      <c r="M25" s="1">
        <v>0</v>
      </c>
      <c r="O25" s="1">
        <v>0</v>
      </c>
      <c r="P25" s="1">
        <v>0</v>
      </c>
      <c r="R25" s="1">
        <v>0</v>
      </c>
      <c r="S25" s="1">
        <v>0</v>
      </c>
      <c r="U25" s="1">
        <v>0</v>
      </c>
      <c r="V25" s="9">
        <v>0</v>
      </c>
    </row>
    <row r="26" spans="1:22">
      <c r="A26" s="1" t="s">
        <v>45</v>
      </c>
      <c r="B26" s="6">
        <v>1211567.1606863188</v>
      </c>
      <c r="C26" s="1">
        <v>0</v>
      </c>
      <c r="D26" s="1">
        <v>0</v>
      </c>
      <c r="E26" s="1">
        <v>0</v>
      </c>
      <c r="F26" s="1">
        <v>0</v>
      </c>
      <c r="G26" s="9">
        <f>SUM(MD_FINANCIAL)</f>
        <v>1211567.1606863188</v>
      </c>
      <c r="I26" s="13" t="s">
        <v>46</v>
      </c>
      <c r="J26" s="16">
        <f>SUM(ADD_FINANCIAL)-SUM(LESS_FINANCIAL)</f>
        <v>81903024.649999976</v>
      </c>
      <c r="L26" s="6">
        <v>1500000</v>
      </c>
      <c r="M26" s="1">
        <v>0</v>
      </c>
      <c r="O26" s="1">
        <v>0</v>
      </c>
      <c r="P26" s="1">
        <v>0</v>
      </c>
      <c r="R26" s="1">
        <v>0</v>
      </c>
      <c r="S26" s="1">
        <v>0</v>
      </c>
      <c r="U26" s="1">
        <v>0</v>
      </c>
      <c r="V26" s="9">
        <v>0</v>
      </c>
    </row>
    <row r="27" spans="1:22">
      <c r="A27" s="1" t="s">
        <v>47</v>
      </c>
      <c r="B27" s="6">
        <v>1886148.1675301103</v>
      </c>
      <c r="C27" s="1">
        <v>0</v>
      </c>
      <c r="D27" s="1">
        <v>0</v>
      </c>
      <c r="E27" s="1">
        <v>0</v>
      </c>
      <c r="F27" s="1">
        <v>0</v>
      </c>
      <c r="G27" s="9">
        <f>SUM(MA_FINANCIAL)</f>
        <v>1886148.1675301103</v>
      </c>
      <c r="I27" s="13" t="s">
        <v>48</v>
      </c>
      <c r="J27" s="16">
        <f>SUM(ALL_BLOCKS)</f>
        <v>81903024.650000021</v>
      </c>
      <c r="L27" s="6">
        <v>2500000</v>
      </c>
      <c r="M27" s="1">
        <v>0</v>
      </c>
      <c r="O27" s="1">
        <v>0</v>
      </c>
      <c r="P27" s="1">
        <v>0</v>
      </c>
      <c r="R27" s="1">
        <v>0</v>
      </c>
      <c r="S27" s="1">
        <v>0</v>
      </c>
      <c r="U27" s="1">
        <v>0</v>
      </c>
      <c r="V27" s="9">
        <v>0</v>
      </c>
    </row>
    <row r="28" spans="1:22">
      <c r="A28" s="1" t="s">
        <v>49</v>
      </c>
      <c r="B28" s="6">
        <v>1593841.667827812</v>
      </c>
      <c r="C28" s="1">
        <v>0</v>
      </c>
      <c r="D28" s="1">
        <v>0</v>
      </c>
      <c r="E28" s="1">
        <v>0</v>
      </c>
      <c r="F28" s="1">
        <v>0</v>
      </c>
      <c r="G28" s="9">
        <f>SUM(MI_FINANCIAL)</f>
        <v>1593841.667827812</v>
      </c>
      <c r="I28" s="14"/>
      <c r="J28" s="17"/>
      <c r="L28" s="6">
        <v>1700000</v>
      </c>
      <c r="M28" s="1">
        <v>0</v>
      </c>
      <c r="O28" s="1">
        <v>0</v>
      </c>
      <c r="P28" s="1">
        <v>0</v>
      </c>
      <c r="R28" s="1">
        <v>0</v>
      </c>
      <c r="S28" s="1">
        <v>0</v>
      </c>
      <c r="U28" s="1">
        <v>0</v>
      </c>
      <c r="V28" s="9">
        <v>0</v>
      </c>
    </row>
    <row r="29" spans="1:22">
      <c r="A29" s="1" t="s">
        <v>50</v>
      </c>
      <c r="B29" s="6">
        <v>734920.31540010334</v>
      </c>
      <c r="C29" s="1">
        <v>0</v>
      </c>
      <c r="D29" s="1">
        <v>0</v>
      </c>
      <c r="E29" s="1">
        <v>0</v>
      </c>
      <c r="F29" s="1">
        <v>0</v>
      </c>
      <c r="G29" s="9">
        <f>SUM(MN_FINANCIAL)</f>
        <v>734920.31540010334</v>
      </c>
      <c r="L29" s="6">
        <v>777000</v>
      </c>
      <c r="M29" s="1">
        <v>0</v>
      </c>
      <c r="O29" s="1">
        <v>0</v>
      </c>
      <c r="P29" s="1">
        <v>0</v>
      </c>
      <c r="R29" s="1">
        <v>0</v>
      </c>
      <c r="S29" s="1">
        <v>0</v>
      </c>
      <c r="U29" s="1">
        <v>0</v>
      </c>
      <c r="V29" s="9">
        <v>0</v>
      </c>
    </row>
    <row r="30" spans="1:22">
      <c r="A30" s="1" t="s">
        <v>51</v>
      </c>
      <c r="B30" s="6">
        <v>158344.81052025181</v>
      </c>
      <c r="C30" s="1">
        <v>0</v>
      </c>
      <c r="D30" s="1">
        <v>0</v>
      </c>
      <c r="E30" s="1">
        <v>0</v>
      </c>
      <c r="F30" s="1">
        <v>0</v>
      </c>
      <c r="G30" s="9">
        <f>SUM(MS_FINANCIAL)</f>
        <v>158344.81052025181</v>
      </c>
      <c r="L30" s="6">
        <v>119338</v>
      </c>
      <c r="M30" s="1">
        <v>0</v>
      </c>
      <c r="O30" s="1">
        <v>0</v>
      </c>
      <c r="P30" s="1">
        <v>0</v>
      </c>
      <c r="R30" s="1">
        <v>0</v>
      </c>
      <c r="S30" s="1">
        <v>0</v>
      </c>
      <c r="U30" s="1">
        <v>0</v>
      </c>
      <c r="V30" s="9">
        <v>0</v>
      </c>
    </row>
    <row r="31" spans="1:22">
      <c r="A31" s="1" t="s">
        <v>52</v>
      </c>
      <c r="B31" s="6">
        <v>890491.57386682776</v>
      </c>
      <c r="C31" s="1">
        <v>0</v>
      </c>
      <c r="D31" s="1">
        <v>0</v>
      </c>
      <c r="E31" s="1">
        <v>0</v>
      </c>
      <c r="F31" s="1">
        <v>0</v>
      </c>
      <c r="G31" s="9">
        <f>SUM(MO_FINANCIAL)</f>
        <v>890491.57386682776</v>
      </c>
      <c r="L31" s="6">
        <v>1217018</v>
      </c>
      <c r="M31" s="1">
        <v>0</v>
      </c>
      <c r="O31" s="1">
        <v>0</v>
      </c>
      <c r="P31" s="1">
        <v>0</v>
      </c>
      <c r="R31" s="1">
        <v>0</v>
      </c>
      <c r="S31" s="1">
        <v>0</v>
      </c>
      <c r="U31" s="1">
        <v>0</v>
      </c>
      <c r="V31" s="9">
        <v>0</v>
      </c>
    </row>
    <row r="32" spans="1:22">
      <c r="A32" s="1" t="s">
        <v>53</v>
      </c>
      <c r="B32" s="6">
        <v>227645.90257126387</v>
      </c>
      <c r="C32" s="1">
        <v>0</v>
      </c>
      <c r="D32" s="1">
        <v>0</v>
      </c>
      <c r="E32" s="1">
        <v>0</v>
      </c>
      <c r="F32" s="1">
        <v>0</v>
      </c>
      <c r="G32" s="9">
        <f>SUM(MT_FINANCIAL)</f>
        <v>227645.90257126387</v>
      </c>
      <c r="L32" s="6">
        <v>320000</v>
      </c>
      <c r="M32" s="1">
        <v>0</v>
      </c>
      <c r="O32" s="1">
        <v>0</v>
      </c>
      <c r="P32" s="1">
        <v>0</v>
      </c>
      <c r="R32" s="1">
        <v>0</v>
      </c>
      <c r="S32" s="1">
        <v>0</v>
      </c>
      <c r="U32" s="1">
        <v>0</v>
      </c>
      <c r="V32" s="9">
        <v>0</v>
      </c>
    </row>
    <row r="33" spans="1:22">
      <c r="A33" s="1" t="s">
        <v>54</v>
      </c>
      <c r="B33" s="6">
        <v>664836.66585023364</v>
      </c>
      <c r="C33" s="1">
        <v>0</v>
      </c>
      <c r="D33" s="1">
        <v>0</v>
      </c>
      <c r="E33" s="1">
        <v>0</v>
      </c>
      <c r="F33" s="1">
        <v>0</v>
      </c>
      <c r="G33" s="9">
        <f>SUM(NE_FINANCIAL)</f>
        <v>664836.66585023364</v>
      </c>
      <c r="L33" s="6">
        <v>540000</v>
      </c>
      <c r="M33" s="1">
        <v>0</v>
      </c>
      <c r="O33" s="1">
        <v>0</v>
      </c>
      <c r="P33" s="1">
        <v>0</v>
      </c>
      <c r="R33" s="1">
        <v>0</v>
      </c>
      <c r="S33" s="1">
        <v>0</v>
      </c>
      <c r="U33" s="1">
        <v>0</v>
      </c>
      <c r="V33" s="9">
        <v>0</v>
      </c>
    </row>
    <row r="34" spans="1:22">
      <c r="A34" s="1" t="s">
        <v>55</v>
      </c>
      <c r="B34" s="6">
        <v>182620.05271746675</v>
      </c>
      <c r="C34" s="1">
        <v>0</v>
      </c>
      <c r="D34" s="1">
        <v>0</v>
      </c>
      <c r="E34" s="1">
        <v>0</v>
      </c>
      <c r="F34" s="1">
        <v>0</v>
      </c>
      <c r="G34" s="9">
        <f>SUM(NV_FINANCIAL)</f>
        <v>182620.05271746675</v>
      </c>
      <c r="L34" s="6">
        <v>179400</v>
      </c>
      <c r="M34" s="1">
        <v>0</v>
      </c>
      <c r="O34" s="1">
        <v>0</v>
      </c>
      <c r="P34" s="1">
        <v>0</v>
      </c>
      <c r="R34" s="1">
        <v>0</v>
      </c>
      <c r="S34" s="1">
        <v>0</v>
      </c>
      <c r="U34" s="1">
        <v>0</v>
      </c>
      <c r="V34" s="9">
        <v>0</v>
      </c>
    </row>
    <row r="35" spans="1:22">
      <c r="A35" s="1" t="s">
        <v>56</v>
      </c>
      <c r="B35" s="6">
        <v>160474.75340974546</v>
      </c>
      <c r="C35" s="1">
        <v>0</v>
      </c>
      <c r="D35" s="1">
        <v>0</v>
      </c>
      <c r="E35" s="1">
        <v>0</v>
      </c>
      <c r="F35" s="1">
        <v>0</v>
      </c>
      <c r="G35" s="9">
        <f>SUM(NH_FINANCIAL)</f>
        <v>160474.75340974546</v>
      </c>
      <c r="L35" s="6">
        <v>200542</v>
      </c>
      <c r="M35" s="1">
        <v>206121</v>
      </c>
      <c r="O35" s="1">
        <v>0</v>
      </c>
      <c r="P35" s="1">
        <v>0</v>
      </c>
      <c r="R35" s="1">
        <v>0</v>
      </c>
      <c r="S35" s="1">
        <v>0</v>
      </c>
      <c r="U35" s="1">
        <v>0</v>
      </c>
      <c r="V35" s="9">
        <v>0</v>
      </c>
    </row>
    <row r="36" spans="1:22">
      <c r="A36" s="1" t="s">
        <v>57</v>
      </c>
      <c r="B36" s="6">
        <v>10805815.545461681</v>
      </c>
      <c r="C36" s="1">
        <v>0</v>
      </c>
      <c r="D36" s="1">
        <v>0</v>
      </c>
      <c r="E36" s="1">
        <v>0</v>
      </c>
      <c r="F36" s="1">
        <v>0</v>
      </c>
      <c r="G36" s="9">
        <f>SUM(NJ_FINANCIAL)</f>
        <v>10805815.545461681</v>
      </c>
      <c r="L36" s="6">
        <v>10750000</v>
      </c>
      <c r="M36" s="1">
        <v>500000</v>
      </c>
      <c r="O36" s="1">
        <v>0</v>
      </c>
      <c r="P36" s="1">
        <v>0</v>
      </c>
      <c r="R36" s="1">
        <v>0</v>
      </c>
      <c r="S36" s="1">
        <v>0</v>
      </c>
      <c r="U36" s="1">
        <v>0</v>
      </c>
      <c r="V36" s="9">
        <v>0</v>
      </c>
    </row>
    <row r="37" spans="1:22">
      <c r="A37" s="1" t="s">
        <v>58</v>
      </c>
      <c r="B37" s="6">
        <v>262358.32102176442</v>
      </c>
      <c r="C37" s="1">
        <v>0</v>
      </c>
      <c r="D37" s="1">
        <v>0</v>
      </c>
      <c r="E37" s="1">
        <v>0</v>
      </c>
      <c r="F37" s="1">
        <v>0</v>
      </c>
      <c r="G37" s="9">
        <f>SUM(NM_FINANCIAL)</f>
        <v>262358.32102176442</v>
      </c>
      <c r="L37" s="6">
        <v>250000</v>
      </c>
      <c r="M37" s="1">
        <v>0</v>
      </c>
      <c r="O37" s="1">
        <v>0</v>
      </c>
      <c r="P37" s="1">
        <v>0</v>
      </c>
      <c r="R37" s="1">
        <v>0</v>
      </c>
      <c r="S37" s="1">
        <v>0</v>
      </c>
      <c r="U37" s="1">
        <v>0</v>
      </c>
      <c r="V37" s="9">
        <v>0</v>
      </c>
    </row>
    <row r="38" spans="1:22">
      <c r="A38" s="1" t="s">
        <v>59</v>
      </c>
      <c r="B38" s="6">
        <v>0</v>
      </c>
      <c r="C38" s="1">
        <v>0</v>
      </c>
      <c r="D38" s="1">
        <v>0</v>
      </c>
      <c r="E38" s="1">
        <v>0</v>
      </c>
      <c r="F38" s="1">
        <v>0</v>
      </c>
      <c r="G38" s="9">
        <f>SUM(NY_FINANCIAL)</f>
        <v>0</v>
      </c>
      <c r="L38" s="6"/>
      <c r="V38" s="9"/>
    </row>
    <row r="39" spans="1:22">
      <c r="A39" s="1" t="s">
        <v>60</v>
      </c>
      <c r="B39" s="6">
        <v>703239.27495758887</v>
      </c>
      <c r="C39" s="1">
        <v>0</v>
      </c>
      <c r="D39" s="1">
        <v>0</v>
      </c>
      <c r="E39" s="1">
        <v>0</v>
      </c>
      <c r="F39" s="1">
        <v>0</v>
      </c>
      <c r="G39" s="9">
        <f>SUM(NC_FINANCIAL)</f>
        <v>703239.27495758887</v>
      </c>
      <c r="L39" s="6">
        <v>750000</v>
      </c>
      <c r="M39" s="1">
        <v>0</v>
      </c>
      <c r="O39" s="1">
        <v>0</v>
      </c>
      <c r="P39" s="1">
        <v>0</v>
      </c>
      <c r="R39" s="1">
        <v>0</v>
      </c>
      <c r="S39" s="1">
        <v>0</v>
      </c>
      <c r="U39" s="1">
        <v>0</v>
      </c>
      <c r="V39" s="9">
        <v>0</v>
      </c>
    </row>
    <row r="40" spans="1:22">
      <c r="A40" s="1" t="s">
        <v>61</v>
      </c>
      <c r="B40" s="6">
        <v>578831.69943088107</v>
      </c>
      <c r="C40" s="1">
        <v>0</v>
      </c>
      <c r="D40" s="1">
        <v>0</v>
      </c>
      <c r="E40" s="1">
        <v>0</v>
      </c>
      <c r="F40" s="1">
        <v>0</v>
      </c>
      <c r="G40" s="9">
        <f>SUM(ND_FINANCIAL)</f>
        <v>578831.69943088107</v>
      </c>
      <c r="L40" s="6">
        <v>627400</v>
      </c>
      <c r="M40" s="1">
        <v>0</v>
      </c>
      <c r="O40" s="1">
        <v>0</v>
      </c>
      <c r="P40" s="1">
        <v>0</v>
      </c>
      <c r="R40" s="1">
        <v>0</v>
      </c>
      <c r="S40" s="1">
        <v>0</v>
      </c>
      <c r="U40" s="1">
        <v>0</v>
      </c>
      <c r="V40" s="9">
        <v>0</v>
      </c>
    </row>
    <row r="41" spans="1:22">
      <c r="A41" s="1" t="s">
        <v>62</v>
      </c>
      <c r="B41" s="6">
        <v>2500802.2842936493</v>
      </c>
      <c r="C41" s="1">
        <v>0</v>
      </c>
      <c r="D41" s="1">
        <v>0</v>
      </c>
      <c r="E41" s="1">
        <v>0</v>
      </c>
      <c r="F41" s="1">
        <v>0</v>
      </c>
      <c r="G41" s="9">
        <f>SUM(OH_FINANCIAL)</f>
        <v>2500802.2842936493</v>
      </c>
      <c r="L41" s="6">
        <v>2450000</v>
      </c>
      <c r="M41" s="1">
        <v>0</v>
      </c>
      <c r="O41" s="1">
        <v>0</v>
      </c>
      <c r="P41" s="1">
        <v>0</v>
      </c>
      <c r="R41" s="1">
        <v>0</v>
      </c>
      <c r="S41" s="1">
        <v>0</v>
      </c>
      <c r="U41" s="1">
        <v>0</v>
      </c>
      <c r="V41" s="9">
        <v>0</v>
      </c>
    </row>
    <row r="42" spans="1:22">
      <c r="A42" s="1" t="s">
        <v>63</v>
      </c>
      <c r="B42" s="6">
        <v>890110.72859504749</v>
      </c>
      <c r="C42" s="1">
        <v>0</v>
      </c>
      <c r="D42" s="1">
        <v>0</v>
      </c>
      <c r="E42" s="1">
        <v>0</v>
      </c>
      <c r="F42" s="1">
        <v>0</v>
      </c>
      <c r="G42" s="9">
        <f>SUM(OK_FINANCIAL)</f>
        <v>890110.72859504749</v>
      </c>
      <c r="L42" s="6">
        <v>1000000</v>
      </c>
      <c r="M42" s="1">
        <v>0</v>
      </c>
      <c r="O42" s="1">
        <v>0</v>
      </c>
      <c r="P42" s="1">
        <v>0</v>
      </c>
      <c r="R42" s="1">
        <v>0</v>
      </c>
      <c r="S42" s="1">
        <v>0</v>
      </c>
      <c r="U42" s="1">
        <v>0</v>
      </c>
      <c r="V42" s="9">
        <v>0</v>
      </c>
    </row>
    <row r="43" spans="1:22">
      <c r="A43" s="1" t="s">
        <v>64</v>
      </c>
      <c r="B43" s="6">
        <v>572390.33103759005</v>
      </c>
      <c r="C43" s="1">
        <v>0</v>
      </c>
      <c r="D43" s="1">
        <v>0</v>
      </c>
      <c r="E43" s="1">
        <v>0</v>
      </c>
      <c r="F43" s="1">
        <v>0</v>
      </c>
      <c r="G43" s="9">
        <f>SUM(OR_FINANCIAL)</f>
        <v>572390.33103759005</v>
      </c>
      <c r="L43" s="6">
        <v>508534</v>
      </c>
      <c r="M43" s="1">
        <v>0</v>
      </c>
      <c r="O43" s="1">
        <v>0</v>
      </c>
      <c r="P43" s="1">
        <v>0</v>
      </c>
      <c r="R43" s="1">
        <v>0</v>
      </c>
      <c r="S43" s="1">
        <v>0</v>
      </c>
      <c r="U43" s="1">
        <v>0</v>
      </c>
      <c r="V43" s="9">
        <v>0</v>
      </c>
    </row>
    <row r="44" spans="1:22">
      <c r="A44" s="1" t="s">
        <v>65</v>
      </c>
      <c r="B44" s="6">
        <v>4952232.6136424895</v>
      </c>
      <c r="C44" s="1">
        <v>0</v>
      </c>
      <c r="D44" s="1">
        <v>0</v>
      </c>
      <c r="E44" s="1">
        <v>0</v>
      </c>
      <c r="F44" s="1">
        <v>0</v>
      </c>
      <c r="G44" s="9">
        <f>SUM(PA_FINANCIAL)</f>
        <v>4952232.6136424895</v>
      </c>
      <c r="L44" s="6">
        <v>5400000</v>
      </c>
      <c r="M44" s="1">
        <v>0</v>
      </c>
      <c r="O44" s="1">
        <v>0</v>
      </c>
      <c r="P44" s="1">
        <v>0</v>
      </c>
      <c r="R44" s="1">
        <v>0</v>
      </c>
      <c r="S44" s="1">
        <v>0</v>
      </c>
      <c r="U44" s="1">
        <v>0</v>
      </c>
      <c r="V44" s="9">
        <v>0</v>
      </c>
    </row>
    <row r="45" spans="1:22">
      <c r="A45" s="1" t="s">
        <v>66</v>
      </c>
      <c r="B45" s="6">
        <v>48272.394119240089</v>
      </c>
      <c r="C45" s="1">
        <v>0</v>
      </c>
      <c r="D45" s="1">
        <v>0</v>
      </c>
      <c r="E45" s="1">
        <v>0</v>
      </c>
      <c r="F45" s="1">
        <v>0</v>
      </c>
      <c r="G45" s="9">
        <f>SUM(PR_FINANCIAL)</f>
        <v>48272.394119240089</v>
      </c>
      <c r="L45" s="6">
        <v>66443</v>
      </c>
      <c r="M45" s="1">
        <v>0</v>
      </c>
      <c r="O45" s="1">
        <v>0</v>
      </c>
      <c r="P45" s="1">
        <v>0</v>
      </c>
      <c r="R45" s="1">
        <v>0</v>
      </c>
      <c r="S45" s="1">
        <v>0</v>
      </c>
      <c r="U45" s="1">
        <v>0</v>
      </c>
      <c r="V45" s="9">
        <v>0</v>
      </c>
    </row>
    <row r="46" spans="1:22">
      <c r="A46" s="1" t="s">
        <v>67</v>
      </c>
      <c r="B46" s="6">
        <v>0</v>
      </c>
      <c r="C46" s="1">
        <v>0</v>
      </c>
      <c r="D46" s="1">
        <v>0</v>
      </c>
      <c r="E46" s="1">
        <v>0</v>
      </c>
      <c r="F46" s="1">
        <v>0</v>
      </c>
      <c r="G46" s="9">
        <f>SUM(RI_FINANCIAL)</f>
        <v>0</v>
      </c>
      <c r="L46" s="6"/>
      <c r="V46" s="9"/>
    </row>
    <row r="47" spans="1:22">
      <c r="A47" s="1" t="s">
        <v>68</v>
      </c>
      <c r="B47" s="6">
        <v>1109880.6755680917</v>
      </c>
      <c r="C47" s="1">
        <v>0</v>
      </c>
      <c r="D47" s="1">
        <v>0</v>
      </c>
      <c r="E47" s="1">
        <v>0</v>
      </c>
      <c r="F47" s="1">
        <v>0</v>
      </c>
      <c r="G47" s="9">
        <f>SUM(SC_FINANCIAL)</f>
        <v>1109880.6755680917</v>
      </c>
      <c r="L47" s="6">
        <v>1168847</v>
      </c>
      <c r="M47" s="1">
        <v>0</v>
      </c>
      <c r="O47" s="1">
        <v>0</v>
      </c>
      <c r="P47" s="1">
        <v>0</v>
      </c>
      <c r="R47" s="1">
        <v>0</v>
      </c>
      <c r="S47" s="1">
        <v>0</v>
      </c>
      <c r="U47" s="1">
        <v>0</v>
      </c>
      <c r="V47" s="9">
        <v>0</v>
      </c>
    </row>
    <row r="48" spans="1:22">
      <c r="A48" s="1" t="s">
        <v>69</v>
      </c>
      <c r="B48" s="6">
        <v>373104.31602974358</v>
      </c>
      <c r="C48" s="1">
        <v>0</v>
      </c>
      <c r="D48" s="1">
        <v>0</v>
      </c>
      <c r="E48" s="1">
        <v>0</v>
      </c>
      <c r="F48" s="1">
        <v>0</v>
      </c>
      <c r="G48" s="9">
        <f>SUM(SD_FINANCIAL)</f>
        <v>373104.31602974358</v>
      </c>
      <c r="L48" s="6">
        <v>458794</v>
      </c>
      <c r="M48" s="1">
        <v>0</v>
      </c>
      <c r="O48" s="1">
        <v>0</v>
      </c>
      <c r="P48" s="1">
        <v>0</v>
      </c>
      <c r="R48" s="1">
        <v>0</v>
      </c>
      <c r="S48" s="1">
        <v>0</v>
      </c>
      <c r="U48" s="1">
        <v>0</v>
      </c>
      <c r="V48" s="9">
        <v>0</v>
      </c>
    </row>
    <row r="49" spans="1:22">
      <c r="A49" s="1" t="s">
        <v>70</v>
      </c>
      <c r="B49" s="6">
        <v>1336918.657313786</v>
      </c>
      <c r="C49" s="1">
        <v>0</v>
      </c>
      <c r="D49" s="1">
        <v>0</v>
      </c>
      <c r="E49" s="1">
        <v>0</v>
      </c>
      <c r="F49" s="1">
        <v>0</v>
      </c>
      <c r="G49" s="9">
        <f>SUM(TN_FINANCIAL)</f>
        <v>1336918.657313786</v>
      </c>
      <c r="L49" s="6">
        <v>1500000</v>
      </c>
      <c r="M49" s="1">
        <v>0</v>
      </c>
      <c r="O49" s="1">
        <v>0</v>
      </c>
      <c r="P49" s="1">
        <v>0</v>
      </c>
      <c r="R49" s="1">
        <v>0</v>
      </c>
      <c r="S49" s="1">
        <v>0</v>
      </c>
      <c r="U49" s="1">
        <v>0</v>
      </c>
      <c r="V49" s="9">
        <v>0</v>
      </c>
    </row>
    <row r="50" spans="1:22">
      <c r="A50" s="1" t="s">
        <v>71</v>
      </c>
      <c r="B50" s="6">
        <v>1670566.0909198592</v>
      </c>
      <c r="C50" s="1">
        <v>0</v>
      </c>
      <c r="D50" s="1">
        <v>0</v>
      </c>
      <c r="E50" s="1">
        <v>0</v>
      </c>
      <c r="F50" s="1">
        <v>0</v>
      </c>
      <c r="G50" s="9">
        <f>SUM(TX_FINANCIAL)</f>
        <v>1670566.0909198592</v>
      </c>
      <c r="L50" s="6">
        <v>1814462</v>
      </c>
      <c r="M50" s="1">
        <v>113806.23419999999</v>
      </c>
      <c r="O50" s="1">
        <v>0</v>
      </c>
      <c r="P50" s="1">
        <v>0</v>
      </c>
      <c r="R50" s="1">
        <v>449</v>
      </c>
      <c r="S50" s="1">
        <v>22.765800000006497</v>
      </c>
      <c r="U50" s="1">
        <v>0</v>
      </c>
      <c r="V50" s="9">
        <v>0</v>
      </c>
    </row>
    <row r="51" spans="1:22">
      <c r="A51" s="1" t="s">
        <v>72</v>
      </c>
      <c r="B51" s="6">
        <v>324421.57752454875</v>
      </c>
      <c r="C51" s="1">
        <v>0</v>
      </c>
      <c r="D51" s="1">
        <v>0</v>
      </c>
      <c r="E51" s="1">
        <v>0</v>
      </c>
      <c r="F51" s="1">
        <v>0</v>
      </c>
      <c r="G51" s="9">
        <f>SUM(UT_FINANCIAL)</f>
        <v>324421.57752454875</v>
      </c>
      <c r="L51" s="6">
        <v>430000</v>
      </c>
      <c r="M51" s="1">
        <v>0</v>
      </c>
      <c r="O51" s="1">
        <v>0</v>
      </c>
      <c r="P51" s="1">
        <v>0</v>
      </c>
      <c r="R51" s="1">
        <v>0</v>
      </c>
      <c r="S51" s="1">
        <v>0</v>
      </c>
      <c r="U51" s="1">
        <v>0</v>
      </c>
      <c r="V51" s="9">
        <v>0</v>
      </c>
    </row>
    <row r="52" spans="1:22">
      <c r="A52" s="1" t="s">
        <v>73</v>
      </c>
      <c r="B52" s="6">
        <v>0</v>
      </c>
      <c r="C52" s="1">
        <v>0</v>
      </c>
      <c r="D52" s="1">
        <v>0</v>
      </c>
      <c r="E52" s="1">
        <v>0</v>
      </c>
      <c r="F52" s="1">
        <v>0</v>
      </c>
      <c r="G52" s="9">
        <f>SUM(VT_FINANCIAL)</f>
        <v>0</v>
      </c>
      <c r="L52" s="6">
        <v>230000</v>
      </c>
      <c r="M52" s="1">
        <v>0</v>
      </c>
      <c r="O52" s="1">
        <v>0</v>
      </c>
      <c r="P52" s="1">
        <v>0</v>
      </c>
      <c r="R52" s="1">
        <v>0</v>
      </c>
      <c r="S52" s="1">
        <v>0</v>
      </c>
      <c r="U52" s="1">
        <v>0</v>
      </c>
      <c r="V52" s="9">
        <v>0</v>
      </c>
    </row>
    <row r="53" spans="1:22">
      <c r="A53" s="1" t="s">
        <v>74</v>
      </c>
      <c r="B53" s="6">
        <v>1328684.0466469328</v>
      </c>
      <c r="C53" s="1">
        <v>0</v>
      </c>
      <c r="D53" s="1">
        <v>0</v>
      </c>
      <c r="E53" s="1">
        <v>0</v>
      </c>
      <c r="F53" s="1">
        <v>0</v>
      </c>
      <c r="G53" s="9">
        <f>SUM(VA_FINANCIAL)</f>
        <v>1328684.0466469328</v>
      </c>
      <c r="L53" s="6">
        <v>1407146</v>
      </c>
      <c r="M53" s="1">
        <v>0</v>
      </c>
      <c r="O53" s="1">
        <v>20683</v>
      </c>
      <c r="P53" s="1">
        <v>26777</v>
      </c>
      <c r="R53" s="1">
        <v>0</v>
      </c>
      <c r="S53" s="1">
        <v>0</v>
      </c>
      <c r="U53" s="1">
        <v>0</v>
      </c>
      <c r="V53" s="9">
        <v>0</v>
      </c>
    </row>
    <row r="54" spans="1:22">
      <c r="A54" s="1" t="s">
        <v>75</v>
      </c>
      <c r="B54" s="6">
        <v>1631969.3995969479</v>
      </c>
      <c r="C54" s="1">
        <v>0</v>
      </c>
      <c r="D54" s="1">
        <v>0</v>
      </c>
      <c r="E54" s="1">
        <v>0</v>
      </c>
      <c r="F54" s="1">
        <v>0</v>
      </c>
      <c r="G54" s="9">
        <f>SUM(WA_FINANCIAL)</f>
        <v>1631969.3995969479</v>
      </c>
      <c r="L54" s="6">
        <v>1750000</v>
      </c>
      <c r="M54" s="1">
        <v>133907</v>
      </c>
      <c r="O54" s="1">
        <v>0</v>
      </c>
      <c r="P54" s="1">
        <v>0</v>
      </c>
      <c r="R54" s="1">
        <v>0</v>
      </c>
      <c r="S54" s="1">
        <v>0</v>
      </c>
      <c r="U54" s="1">
        <v>0</v>
      </c>
      <c r="V54" s="9">
        <v>0</v>
      </c>
    </row>
    <row r="55" spans="1:22">
      <c r="A55" s="1" t="s">
        <v>76</v>
      </c>
      <c r="B55" s="6">
        <v>256247.5006850611</v>
      </c>
      <c r="C55" s="1">
        <v>0</v>
      </c>
      <c r="D55" s="1">
        <v>0</v>
      </c>
      <c r="E55" s="1">
        <v>0</v>
      </c>
      <c r="F55" s="1">
        <v>0</v>
      </c>
      <c r="G55" s="9">
        <f>SUM(WV_FINANCIAL)</f>
        <v>256247.5006850611</v>
      </c>
      <c r="L55" s="6">
        <v>350000</v>
      </c>
      <c r="M55" s="1">
        <v>99335</v>
      </c>
      <c r="O55" s="1">
        <v>0</v>
      </c>
      <c r="P55" s="1">
        <v>0</v>
      </c>
      <c r="R55" s="1">
        <v>0</v>
      </c>
      <c r="S55" s="1">
        <v>0</v>
      </c>
      <c r="U55" s="1">
        <v>0</v>
      </c>
      <c r="V55" s="9">
        <v>0</v>
      </c>
    </row>
    <row r="56" spans="1:22">
      <c r="A56" s="1" t="s">
        <v>77</v>
      </c>
      <c r="B56" s="6">
        <v>12154894.709011666</v>
      </c>
      <c r="C56" s="1">
        <v>0</v>
      </c>
      <c r="D56" s="1">
        <v>0</v>
      </c>
      <c r="E56" s="1">
        <v>0</v>
      </c>
      <c r="F56" s="1">
        <v>0</v>
      </c>
      <c r="G56" s="9">
        <f>SUM(WI_FINANCIAL)</f>
        <v>12154894.709011666</v>
      </c>
      <c r="L56" s="6">
        <v>14500000</v>
      </c>
      <c r="M56" s="1">
        <v>0</v>
      </c>
      <c r="O56" s="1">
        <v>0</v>
      </c>
      <c r="P56" s="1">
        <v>0</v>
      </c>
      <c r="R56" s="1">
        <v>0</v>
      </c>
      <c r="S56" s="1">
        <v>0</v>
      </c>
      <c r="U56" s="1">
        <v>0</v>
      </c>
      <c r="V56" s="9">
        <v>0</v>
      </c>
    </row>
    <row r="57" spans="1:22">
      <c r="A57" s="1" t="s">
        <v>78</v>
      </c>
      <c r="B57" s="6">
        <v>258868.16438568919</v>
      </c>
      <c r="C57" s="1">
        <v>0</v>
      </c>
      <c r="D57" s="1">
        <v>0</v>
      </c>
      <c r="E57" s="1">
        <v>0</v>
      </c>
      <c r="F57" s="1">
        <v>0</v>
      </c>
      <c r="G57" s="9">
        <f>SUM(WY_FINANCIAL)</f>
        <v>258868.16438568919</v>
      </c>
      <c r="L57" s="6">
        <v>235000</v>
      </c>
      <c r="M57" s="1">
        <v>0</v>
      </c>
      <c r="O57" s="1">
        <v>0</v>
      </c>
      <c r="P57" s="1">
        <v>0</v>
      </c>
      <c r="R57" s="1">
        <v>0</v>
      </c>
      <c r="S57" s="1">
        <v>0</v>
      </c>
      <c r="U57" s="1">
        <v>0</v>
      </c>
      <c r="V57" s="9">
        <v>0</v>
      </c>
    </row>
    <row r="58" spans="1:22">
      <c r="A58" s="1" t="s">
        <v>79</v>
      </c>
      <c r="B58" s="6">
        <v>0</v>
      </c>
      <c r="C58" s="1">
        <v>0</v>
      </c>
      <c r="D58" s="1">
        <v>0</v>
      </c>
      <c r="E58" s="1">
        <v>0</v>
      </c>
      <c r="F58" s="1">
        <v>0</v>
      </c>
      <c r="G58" s="9">
        <f>SUM(OT_FINANCIAL)</f>
        <v>0</v>
      </c>
      <c r="L58" s="6"/>
      <c r="V58" s="9"/>
    </row>
    <row r="59" spans="1:22">
      <c r="B59" s="6"/>
      <c r="G59" s="9"/>
      <c r="L59" s="6"/>
      <c r="V59" s="9"/>
    </row>
    <row r="60" spans="1:22">
      <c r="A60" s="1" t="s">
        <v>8</v>
      </c>
      <c r="B60" s="6">
        <f>SUM(LIFE)</f>
        <v>81903024.650000021</v>
      </c>
      <c r="C60" s="1">
        <f>SUM(ALLOCATED)</f>
        <v>0</v>
      </c>
      <c r="D60" s="1">
        <f>SUM(HEALTH)</f>
        <v>0</v>
      </c>
      <c r="E60" s="1">
        <f>SUM(UNALLOCATED)</f>
        <v>0</v>
      </c>
      <c r="F60" s="1">
        <f>SUM(LTC)</f>
        <v>0</v>
      </c>
      <c r="G60" s="9">
        <f>SUM(ALL_BLOCKS)</f>
        <v>81903024.650000021</v>
      </c>
      <c r="L60" s="6">
        <f>SUM(LIFE_CALLED)</f>
        <v>88482480</v>
      </c>
      <c r="M60" s="1">
        <f>SUM(LIFE_REFUNDED)</f>
        <v>2590816.2341999998</v>
      </c>
      <c r="O60" s="1">
        <f>SUM(ALLOC_CALLED)</f>
        <v>20683</v>
      </c>
      <c r="P60" s="1">
        <f>SUM(ALLOC_REFUNDED)</f>
        <v>26777</v>
      </c>
      <c r="R60" s="1">
        <f>SUM(HEALTH_CALLED)</f>
        <v>449</v>
      </c>
      <c r="S60" s="1">
        <f>SUM(HEALTH_REFUNDED)</f>
        <v>22.765800000006497</v>
      </c>
      <c r="U60" s="1">
        <f>SUM(UNALLOC_CALLED)</f>
        <v>0</v>
      </c>
      <c r="V60" s="9">
        <f>SUM(UNALLOC_REFUNDED)</f>
        <v>0</v>
      </c>
    </row>
    <row r="61" spans="1:22" ht="5.0999999999999996" customHeight="1">
      <c r="B61" s="6"/>
      <c r="G61" s="9"/>
      <c r="L61" s="6"/>
      <c r="V61" s="9"/>
    </row>
    <row r="62" spans="1:22">
      <c r="B62" s="6"/>
      <c r="G62" s="9"/>
      <c r="L62" s="78" t="s">
        <v>80</v>
      </c>
      <c r="M62" s="79"/>
      <c r="N62" s="79"/>
      <c r="O62" s="79"/>
      <c r="P62" s="79"/>
      <c r="Q62" s="79"/>
      <c r="R62" s="79"/>
      <c r="S62" s="79"/>
      <c r="T62" s="79"/>
      <c r="U62" s="79"/>
      <c r="V62" s="80"/>
    </row>
    <row r="63" spans="1:22">
      <c r="B63" s="6"/>
      <c r="G63" s="9"/>
      <c r="L63" s="81"/>
      <c r="M63" s="79"/>
      <c r="N63" s="79"/>
      <c r="O63" s="79"/>
      <c r="P63" s="79"/>
      <c r="Q63" s="79"/>
      <c r="R63" s="79"/>
      <c r="S63" s="79"/>
      <c r="T63" s="79"/>
      <c r="U63" s="79"/>
      <c r="V63" s="80"/>
    </row>
    <row r="64" spans="1:22">
      <c r="B64" s="8"/>
      <c r="C64" s="5"/>
      <c r="D64" s="5"/>
      <c r="E64" s="5"/>
      <c r="F64" s="5"/>
      <c r="G64" s="11"/>
      <c r="L64" s="82"/>
      <c r="M64" s="83"/>
      <c r="N64" s="83"/>
      <c r="O64" s="83"/>
      <c r="P64" s="83"/>
      <c r="Q64" s="83"/>
      <c r="R64" s="83"/>
      <c r="S64" s="83"/>
      <c r="T64" s="83"/>
      <c r="U64" s="83"/>
      <c r="V64" s="84"/>
    </row>
  </sheetData>
  <mergeCells count="8">
    <mergeCell ref="L62:V64"/>
    <mergeCell ref="A1:G1"/>
    <mergeCell ref="B3:G3"/>
    <mergeCell ref="L3:V3"/>
    <mergeCell ref="L4:M4"/>
    <mergeCell ref="O4:P4"/>
    <mergeCell ref="R4:S4"/>
    <mergeCell ref="U4:V4"/>
  </mergeCells>
  <pageMargins left="0" right="0" top="0" bottom="0" header="0" footer="0"/>
  <pageSetup scale="48"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pageSetUpPr fitToPage="1"/>
  </sheetPr>
  <dimension ref="A1:V64"/>
  <sheetViews>
    <sheetView zoomScale="75" workbookViewId="0">
      <selection sqref="A1:G1"/>
    </sheetView>
  </sheetViews>
  <sheetFormatPr defaultColWidth="9.109375" defaultRowHeight="14.4"/>
  <cols>
    <col min="1" max="1" width="20" style="1" customWidth="1"/>
    <col min="2" max="7" width="15" style="1" customWidth="1"/>
    <col min="8" max="8" width="1" style="1" customWidth="1"/>
    <col min="9" max="9" width="30" style="1" customWidth="1"/>
    <col min="10" max="10" width="15" style="1" customWidth="1"/>
    <col min="11" max="11" width="1" style="1" customWidth="1"/>
    <col min="12" max="13" width="15" style="1" customWidth="1"/>
    <col min="14" max="14" width="1" style="1" customWidth="1"/>
    <col min="15" max="16" width="15" style="1" customWidth="1"/>
    <col min="17" max="17" width="1" style="1" customWidth="1"/>
    <col min="18" max="19" width="15" style="1" customWidth="1"/>
    <col min="20" max="20" width="1" style="1" customWidth="1"/>
    <col min="21" max="22" width="15" style="1" customWidth="1"/>
    <col min="23" max="23" width="9.109375" style="1" customWidth="1"/>
    <col min="24" max="16384" width="9.109375" style="1"/>
  </cols>
  <sheetData>
    <row r="1" spans="1:22">
      <c r="A1" s="85" t="s">
        <v>153</v>
      </c>
      <c r="B1" s="79"/>
      <c r="C1" s="79"/>
      <c r="D1" s="79"/>
      <c r="E1" s="79"/>
      <c r="F1" s="79"/>
      <c r="G1" s="79"/>
    </row>
    <row r="3" spans="1:22">
      <c r="B3" s="86" t="s">
        <v>1</v>
      </c>
      <c r="C3" s="87"/>
      <c r="D3" s="87"/>
      <c r="E3" s="87"/>
      <c r="F3" s="87"/>
      <c r="G3" s="88"/>
      <c r="L3" s="89" t="s">
        <v>2</v>
      </c>
      <c r="M3" s="90"/>
      <c r="N3" s="90"/>
      <c r="O3" s="90"/>
      <c r="P3" s="90"/>
      <c r="Q3" s="90"/>
      <c r="R3" s="90"/>
      <c r="S3" s="90"/>
      <c r="T3" s="90"/>
      <c r="U3" s="90"/>
      <c r="V3" s="91"/>
    </row>
    <row r="4" spans="1:22">
      <c r="B4" s="6"/>
      <c r="G4" s="9"/>
      <c r="L4" s="92" t="s">
        <v>3</v>
      </c>
      <c r="M4" s="93"/>
      <c r="N4" s="3"/>
      <c r="O4" s="94" t="s">
        <v>4</v>
      </c>
      <c r="P4" s="93"/>
      <c r="Q4" s="3"/>
      <c r="R4" s="94" t="s">
        <v>5</v>
      </c>
      <c r="S4" s="93"/>
      <c r="T4" s="3"/>
      <c r="U4" s="94" t="s">
        <v>6</v>
      </c>
      <c r="V4" s="95"/>
    </row>
    <row r="5" spans="1:22" ht="60" customHeight="1">
      <c r="B5" s="7" t="s">
        <v>3</v>
      </c>
      <c r="C5" s="4" t="s">
        <v>4</v>
      </c>
      <c r="D5" s="4" t="s">
        <v>5</v>
      </c>
      <c r="E5" s="4" t="s">
        <v>6</v>
      </c>
      <c r="F5" s="4" t="s">
        <v>7</v>
      </c>
      <c r="G5" s="10" t="s">
        <v>8</v>
      </c>
      <c r="L5" s="19" t="s">
        <v>9</v>
      </c>
      <c r="M5" s="18" t="s">
        <v>10</v>
      </c>
      <c r="N5" s="18"/>
      <c r="O5" s="18" t="s">
        <v>9</v>
      </c>
      <c r="P5" s="18" t="s">
        <v>10</v>
      </c>
      <c r="Q5" s="18"/>
      <c r="R5" s="18" t="s">
        <v>9</v>
      </c>
      <c r="S5" s="18" t="s">
        <v>10</v>
      </c>
      <c r="T5" s="18"/>
      <c r="U5" s="18" t="s">
        <v>9</v>
      </c>
      <c r="V5" s="20" t="s">
        <v>10</v>
      </c>
    </row>
    <row r="6" spans="1:22">
      <c r="A6" s="1" t="s">
        <v>11</v>
      </c>
      <c r="B6" s="6">
        <v>15553304.228610033</v>
      </c>
      <c r="C6" s="1">
        <v>26236.524000429494</v>
      </c>
      <c r="D6" s="1">
        <v>-65.765243142219163</v>
      </c>
      <c r="E6" s="1">
        <v>0</v>
      </c>
      <c r="F6" s="1">
        <v>0</v>
      </c>
      <c r="G6" s="9">
        <f>SUM(AL_FINANCIAL)</f>
        <v>15579474.987367319</v>
      </c>
      <c r="L6" s="6"/>
      <c r="V6" s="9"/>
    </row>
    <row r="7" spans="1:22">
      <c r="A7" s="1" t="s">
        <v>12</v>
      </c>
      <c r="B7" s="6">
        <v>0</v>
      </c>
      <c r="C7" s="1">
        <v>0</v>
      </c>
      <c r="D7" s="1">
        <v>0</v>
      </c>
      <c r="E7" s="1">
        <v>0</v>
      </c>
      <c r="F7" s="1">
        <v>0</v>
      </c>
      <c r="G7" s="9">
        <f>SUM(AK_FINANCIAL)</f>
        <v>0</v>
      </c>
      <c r="I7" s="12"/>
      <c r="J7" s="15"/>
      <c r="L7" s="6"/>
      <c r="V7" s="9"/>
    </row>
    <row r="8" spans="1:22">
      <c r="A8" s="1" t="s">
        <v>13</v>
      </c>
      <c r="B8" s="6">
        <v>212013.66786993732</v>
      </c>
      <c r="C8" s="1">
        <v>20274.387456001881</v>
      </c>
      <c r="D8" s="1">
        <v>0</v>
      </c>
      <c r="E8" s="1">
        <v>0</v>
      </c>
      <c r="F8" s="1">
        <v>0</v>
      </c>
      <c r="G8" s="9">
        <f>SUM(AZ_FINANCIAL)</f>
        <v>232288.0553259392</v>
      </c>
      <c r="I8" s="13" t="s">
        <v>14</v>
      </c>
      <c r="J8" s="16"/>
      <c r="L8" s="6"/>
      <c r="V8" s="9"/>
    </row>
    <row r="9" spans="1:22">
      <c r="A9" s="1" t="s">
        <v>15</v>
      </c>
      <c r="B9" s="6">
        <v>0</v>
      </c>
      <c r="C9" s="1">
        <v>0</v>
      </c>
      <c r="D9" s="1">
        <v>0</v>
      </c>
      <c r="E9" s="1">
        <v>0</v>
      </c>
      <c r="F9" s="1">
        <v>0</v>
      </c>
      <c r="G9" s="9">
        <f>SUM(AR_FINANCIAL)</f>
        <v>0</v>
      </c>
      <c r="I9" s="13"/>
      <c r="J9" s="16"/>
      <c r="L9" s="6"/>
      <c r="V9" s="9"/>
    </row>
    <row r="10" spans="1:22">
      <c r="A10" s="1" t="s">
        <v>16</v>
      </c>
      <c r="B10" s="6">
        <v>642518.50086786784</v>
      </c>
      <c r="C10" s="1">
        <v>4982.9336311161987</v>
      </c>
      <c r="D10" s="1">
        <v>0</v>
      </c>
      <c r="E10" s="1">
        <v>0</v>
      </c>
      <c r="F10" s="1">
        <v>0</v>
      </c>
      <c r="G10" s="9">
        <f>SUM(CA_FINANCIAL)</f>
        <v>647501.43449898402</v>
      </c>
      <c r="I10" s="13" t="s">
        <v>17</v>
      </c>
      <c r="J10" s="16">
        <v>148264822.2801379</v>
      </c>
      <c r="L10" s="6"/>
      <c r="V10" s="9"/>
    </row>
    <row r="11" spans="1:22">
      <c r="A11" s="1" t="s">
        <v>18</v>
      </c>
      <c r="B11" s="6">
        <v>0</v>
      </c>
      <c r="C11" s="1">
        <v>0</v>
      </c>
      <c r="D11" s="1">
        <v>0</v>
      </c>
      <c r="E11" s="1">
        <v>0</v>
      </c>
      <c r="F11" s="1">
        <v>0</v>
      </c>
      <c r="G11" s="9">
        <f>SUM(CO_FINANCIAL)</f>
        <v>0</v>
      </c>
      <c r="I11" s="13"/>
      <c r="J11" s="16"/>
      <c r="L11" s="6"/>
      <c r="V11" s="9"/>
    </row>
    <row r="12" spans="1:22">
      <c r="A12" s="1" t="s">
        <v>19</v>
      </c>
      <c r="B12" s="6">
        <v>0</v>
      </c>
      <c r="C12" s="1">
        <v>0</v>
      </c>
      <c r="D12" s="1">
        <v>0</v>
      </c>
      <c r="E12" s="1">
        <v>0</v>
      </c>
      <c r="F12" s="1">
        <v>0</v>
      </c>
      <c r="G12" s="9">
        <f>SUM(CT_FINANCIAL)</f>
        <v>0</v>
      </c>
      <c r="I12" s="13" t="s">
        <v>20</v>
      </c>
      <c r="J12" s="16"/>
      <c r="L12" s="6"/>
      <c r="V12" s="9"/>
    </row>
    <row r="13" spans="1:22">
      <c r="A13" s="1" t="s">
        <v>21</v>
      </c>
      <c r="B13" s="6">
        <v>0</v>
      </c>
      <c r="C13" s="1">
        <v>0</v>
      </c>
      <c r="D13" s="1">
        <v>0</v>
      </c>
      <c r="E13" s="1">
        <v>0</v>
      </c>
      <c r="F13" s="1">
        <v>0</v>
      </c>
      <c r="G13" s="9">
        <f>SUM(DE_FINANCIAL)</f>
        <v>0</v>
      </c>
      <c r="I13" s="13" t="s">
        <v>22</v>
      </c>
      <c r="J13" s="16">
        <v>17067205.605795082</v>
      </c>
      <c r="L13" s="6"/>
      <c r="V13" s="9"/>
    </row>
    <row r="14" spans="1:22">
      <c r="A14" s="1" t="s">
        <v>23</v>
      </c>
      <c r="B14" s="6">
        <v>2144255.3191001681</v>
      </c>
      <c r="C14" s="1">
        <v>35347.596414302716</v>
      </c>
      <c r="D14" s="1">
        <v>853.61514247258344</v>
      </c>
      <c r="E14" s="1">
        <v>0</v>
      </c>
      <c r="F14" s="1">
        <v>0</v>
      </c>
      <c r="G14" s="9">
        <f>SUM(DC_FINANCIAL)</f>
        <v>2180456.5306569436</v>
      </c>
      <c r="I14" s="13" t="s">
        <v>24</v>
      </c>
      <c r="J14" s="16">
        <v>3981772.664598044</v>
      </c>
      <c r="L14" s="6">
        <v>1000000</v>
      </c>
      <c r="M14" s="1">
        <v>0</v>
      </c>
      <c r="O14" s="1">
        <v>0</v>
      </c>
      <c r="P14" s="1">
        <v>0</v>
      </c>
      <c r="R14" s="1">
        <v>0</v>
      </c>
      <c r="S14" s="1">
        <v>0</v>
      </c>
      <c r="U14" s="1">
        <v>0</v>
      </c>
      <c r="V14" s="9">
        <v>0</v>
      </c>
    </row>
    <row r="15" spans="1:22">
      <c r="A15" s="1" t="s">
        <v>25</v>
      </c>
      <c r="B15" s="6">
        <v>816704.44313124008</v>
      </c>
      <c r="C15" s="1">
        <v>108462.85103793436</v>
      </c>
      <c r="D15" s="1">
        <v>-208.07999999999998</v>
      </c>
      <c r="E15" s="1">
        <v>0</v>
      </c>
      <c r="F15" s="1">
        <v>0</v>
      </c>
      <c r="G15" s="9">
        <f>SUM(FL_FINANCIAL)</f>
        <v>924959.21416917455</v>
      </c>
      <c r="I15" s="13" t="s">
        <v>26</v>
      </c>
      <c r="J15" s="16">
        <v>4166814.5544412332</v>
      </c>
      <c r="L15" s="6"/>
      <c r="V15" s="9"/>
    </row>
    <row r="16" spans="1:22">
      <c r="A16" s="1" t="s">
        <v>27</v>
      </c>
      <c r="B16" s="6">
        <v>5789730.0735960286</v>
      </c>
      <c r="C16" s="1">
        <v>140325.26102756948</v>
      </c>
      <c r="D16" s="1">
        <v>1480.263501754418</v>
      </c>
      <c r="E16" s="1">
        <v>0</v>
      </c>
      <c r="F16" s="1">
        <v>0</v>
      </c>
      <c r="G16" s="9">
        <f>SUM(GA_FINANCIAL)</f>
        <v>5931535.5981253525</v>
      </c>
      <c r="I16" s="13" t="s">
        <v>28</v>
      </c>
      <c r="J16" s="16">
        <v>88264822.280137897</v>
      </c>
      <c r="L16" s="6"/>
      <c r="V16" s="9"/>
    </row>
    <row r="17" spans="1:22">
      <c r="A17" s="1" t="s">
        <v>29</v>
      </c>
      <c r="B17" s="6">
        <v>0</v>
      </c>
      <c r="C17" s="1">
        <v>0</v>
      </c>
      <c r="D17" s="1">
        <v>0</v>
      </c>
      <c r="E17" s="1">
        <v>0</v>
      </c>
      <c r="F17" s="1">
        <v>0</v>
      </c>
      <c r="G17" s="9">
        <f>SUM(HI_FINANCIAL)</f>
        <v>0</v>
      </c>
      <c r="I17" s="13"/>
      <c r="J17" s="16"/>
      <c r="L17" s="6"/>
      <c r="V17" s="9"/>
    </row>
    <row r="18" spans="1:22">
      <c r="A18" s="1" t="s">
        <v>30</v>
      </c>
      <c r="B18" s="6">
        <v>2978.6358586493225</v>
      </c>
      <c r="C18" s="1">
        <v>0</v>
      </c>
      <c r="D18" s="1">
        <v>0</v>
      </c>
      <c r="E18" s="1">
        <v>0</v>
      </c>
      <c r="F18" s="1">
        <v>0</v>
      </c>
      <c r="G18" s="9">
        <f>SUM(ID_FINANCIAL)</f>
        <v>2978.6358586493225</v>
      </c>
      <c r="I18" s="13" t="s">
        <v>31</v>
      </c>
      <c r="J18" s="16"/>
      <c r="L18" s="6"/>
      <c r="V18" s="9"/>
    </row>
    <row r="19" spans="1:22">
      <c r="A19" s="1" t="s">
        <v>32</v>
      </c>
      <c r="B19" s="6">
        <v>3623505.6281103259</v>
      </c>
      <c r="C19" s="1">
        <v>13978.455683203156</v>
      </c>
      <c r="D19" s="1">
        <v>0</v>
      </c>
      <c r="E19" s="1">
        <v>0</v>
      </c>
      <c r="F19" s="1">
        <v>0</v>
      </c>
      <c r="G19" s="9">
        <f>SUM(IL_FINANCIAL)</f>
        <v>3637484.0837935288</v>
      </c>
      <c r="I19" s="13" t="s">
        <v>33</v>
      </c>
      <c r="J19" s="16">
        <v>60000000.000000015</v>
      </c>
      <c r="L19" s="6"/>
      <c r="V19" s="9"/>
    </row>
    <row r="20" spans="1:22">
      <c r="A20" s="1" t="s">
        <v>34</v>
      </c>
      <c r="B20" s="6">
        <v>119515.23465629923</v>
      </c>
      <c r="C20" s="1">
        <v>43.210710241856738</v>
      </c>
      <c r="D20" s="1">
        <v>0</v>
      </c>
      <c r="E20" s="1">
        <v>0</v>
      </c>
      <c r="F20" s="1">
        <v>0</v>
      </c>
      <c r="G20" s="9">
        <f>SUM(IN_FINANCIAL)</f>
        <v>119558.44536654108</v>
      </c>
      <c r="I20" s="13" t="s">
        <v>35</v>
      </c>
      <c r="J20" s="16">
        <v>88264822.280137897</v>
      </c>
      <c r="L20" s="6"/>
      <c r="V20" s="9"/>
    </row>
    <row r="21" spans="1:22">
      <c r="A21" s="1" t="s">
        <v>36</v>
      </c>
      <c r="B21" s="6">
        <v>0</v>
      </c>
      <c r="C21" s="1">
        <v>0</v>
      </c>
      <c r="D21" s="1">
        <v>0</v>
      </c>
      <c r="E21" s="1">
        <v>0</v>
      </c>
      <c r="F21" s="1">
        <v>0</v>
      </c>
      <c r="G21" s="9">
        <f>SUM(IA_FINANCIAL)</f>
        <v>0</v>
      </c>
      <c r="I21" s="13" t="s">
        <v>37</v>
      </c>
      <c r="J21" s="16"/>
      <c r="L21" s="6"/>
      <c r="V21" s="9"/>
    </row>
    <row r="22" spans="1:22">
      <c r="A22" s="1" t="s">
        <v>38</v>
      </c>
      <c r="B22" s="6">
        <v>0</v>
      </c>
      <c r="C22" s="1">
        <v>0</v>
      </c>
      <c r="D22" s="1">
        <v>0</v>
      </c>
      <c r="E22" s="1">
        <v>0</v>
      </c>
      <c r="F22" s="1">
        <v>0</v>
      </c>
      <c r="G22" s="9">
        <f>SUM(KS_FINANCIAL)</f>
        <v>0</v>
      </c>
      <c r="I22" s="13" t="s">
        <v>39</v>
      </c>
      <c r="J22" s="16">
        <v>0</v>
      </c>
      <c r="L22" s="6"/>
      <c r="V22" s="9"/>
    </row>
    <row r="23" spans="1:22">
      <c r="A23" s="1" t="s">
        <v>40</v>
      </c>
      <c r="B23" s="6">
        <v>145876.51147998951</v>
      </c>
      <c r="C23" s="1">
        <v>0</v>
      </c>
      <c r="D23" s="1">
        <v>-24.44</v>
      </c>
      <c r="E23" s="1">
        <v>0</v>
      </c>
      <c r="F23" s="1">
        <v>0</v>
      </c>
      <c r="G23" s="9">
        <f>SUM(KY_FINANCIAL)</f>
        <v>145852.07147998951</v>
      </c>
      <c r="I23" s="13" t="s">
        <v>41</v>
      </c>
      <c r="J23" s="16"/>
      <c r="L23" s="6"/>
      <c r="V23" s="9"/>
    </row>
    <row r="24" spans="1:22">
      <c r="A24" s="1" t="s">
        <v>42</v>
      </c>
      <c r="B24" s="6">
        <v>355894.14819069335</v>
      </c>
      <c r="C24" s="1">
        <v>998.9229663720397</v>
      </c>
      <c r="D24" s="1">
        <v>0</v>
      </c>
      <c r="E24" s="1">
        <v>0</v>
      </c>
      <c r="F24" s="1">
        <v>0</v>
      </c>
      <c r="G24" s="9">
        <f>SUM(LA_FINANCIAL)</f>
        <v>356893.07115706539</v>
      </c>
      <c r="I24" s="13" t="s">
        <v>43</v>
      </c>
      <c r="J24" s="16">
        <v>10677924.050000003</v>
      </c>
      <c r="L24" s="6"/>
      <c r="V24" s="9"/>
    </row>
    <row r="25" spans="1:22">
      <c r="A25" s="1" t="s">
        <v>44</v>
      </c>
      <c r="B25" s="6">
        <v>0</v>
      </c>
      <c r="C25" s="1">
        <v>0</v>
      </c>
      <c r="D25" s="1">
        <v>0</v>
      </c>
      <c r="E25" s="1">
        <v>0</v>
      </c>
      <c r="F25" s="1">
        <v>0</v>
      </c>
      <c r="G25" s="9">
        <f>SUM(ME_FINANCIAL)</f>
        <v>0</v>
      </c>
      <c r="I25" s="13"/>
      <c r="J25" s="16"/>
      <c r="L25" s="6"/>
      <c r="V25" s="9"/>
    </row>
    <row r="26" spans="1:22">
      <c r="A26" s="1" t="s">
        <v>45</v>
      </c>
      <c r="B26" s="6">
        <v>5671344.5482521411</v>
      </c>
      <c r="C26" s="1">
        <v>97754.872677462539</v>
      </c>
      <c r="D26" s="1">
        <v>200.04999999999995</v>
      </c>
      <c r="E26" s="1">
        <v>0</v>
      </c>
      <c r="F26" s="1">
        <v>0</v>
      </c>
      <c r="G26" s="9">
        <f>SUM(MD_FINANCIAL)</f>
        <v>5769299.4709296031</v>
      </c>
      <c r="I26" s="13" t="s">
        <v>46</v>
      </c>
      <c r="J26" s="16">
        <f>SUM(ADD_FINANCIAL)-SUM(LESS_FINANCIAL)</f>
        <v>102802691.05497226</v>
      </c>
      <c r="L26" s="6">
        <v>4000000</v>
      </c>
      <c r="M26" s="1">
        <v>0</v>
      </c>
      <c r="O26" s="1">
        <v>0</v>
      </c>
      <c r="P26" s="1">
        <v>0</v>
      </c>
      <c r="R26" s="1">
        <v>0</v>
      </c>
      <c r="S26" s="1">
        <v>0</v>
      </c>
      <c r="U26" s="1">
        <v>0</v>
      </c>
      <c r="V26" s="9">
        <v>0</v>
      </c>
    </row>
    <row r="27" spans="1:22">
      <c r="A27" s="1" t="s">
        <v>47</v>
      </c>
      <c r="B27" s="6">
        <v>0</v>
      </c>
      <c r="C27" s="1">
        <v>0</v>
      </c>
      <c r="D27" s="1">
        <v>0</v>
      </c>
      <c r="E27" s="1">
        <v>0</v>
      </c>
      <c r="F27" s="1">
        <v>0</v>
      </c>
      <c r="G27" s="9">
        <f>SUM(MA_FINANCIAL)</f>
        <v>0</v>
      </c>
      <c r="I27" s="13" t="s">
        <v>48</v>
      </c>
      <c r="J27" s="16">
        <f>SUM(ALL_BLOCKS)</f>
        <v>102802691.05497223</v>
      </c>
      <c r="L27" s="6"/>
      <c r="V27" s="9"/>
    </row>
    <row r="28" spans="1:22">
      <c r="A28" s="1" t="s">
        <v>49</v>
      </c>
      <c r="B28" s="6">
        <v>5042596.5696768807</v>
      </c>
      <c r="C28" s="1">
        <v>39611.290412148592</v>
      </c>
      <c r="D28" s="1">
        <v>15362.61636261529</v>
      </c>
      <c r="E28" s="1">
        <v>0</v>
      </c>
      <c r="F28" s="1">
        <v>0</v>
      </c>
      <c r="G28" s="9">
        <f>SUM(MI_FINANCIAL)</f>
        <v>5097570.4764516447</v>
      </c>
      <c r="I28" s="14"/>
      <c r="J28" s="17"/>
      <c r="L28" s="6">
        <v>4196538</v>
      </c>
      <c r="M28" s="1">
        <v>0</v>
      </c>
      <c r="O28" s="1">
        <v>0</v>
      </c>
      <c r="P28" s="1">
        <v>0</v>
      </c>
      <c r="R28" s="1">
        <v>0</v>
      </c>
      <c r="S28" s="1">
        <v>0</v>
      </c>
      <c r="U28" s="1">
        <v>0</v>
      </c>
      <c r="V28" s="9">
        <v>0</v>
      </c>
    </row>
    <row r="29" spans="1:22">
      <c r="A29" s="1" t="s">
        <v>50</v>
      </c>
      <c r="B29" s="6">
        <v>0</v>
      </c>
      <c r="C29" s="1">
        <v>0</v>
      </c>
      <c r="D29" s="1">
        <v>0</v>
      </c>
      <c r="E29" s="1">
        <v>0</v>
      </c>
      <c r="F29" s="1">
        <v>0</v>
      </c>
      <c r="G29" s="9">
        <f>SUM(MN_FINANCIAL)</f>
        <v>0</v>
      </c>
      <c r="L29" s="6"/>
      <c r="V29" s="9"/>
    </row>
    <row r="30" spans="1:22">
      <c r="A30" s="1" t="s">
        <v>51</v>
      </c>
      <c r="B30" s="6">
        <v>749768.19660894573</v>
      </c>
      <c r="C30" s="1">
        <v>0</v>
      </c>
      <c r="D30" s="1">
        <v>-718.29000000000019</v>
      </c>
      <c r="E30" s="1">
        <v>0</v>
      </c>
      <c r="F30" s="1">
        <v>0</v>
      </c>
      <c r="G30" s="9">
        <f>SUM(MS_FINANCIAL)</f>
        <v>749049.90660894569</v>
      </c>
      <c r="L30" s="6"/>
      <c r="V30" s="9"/>
    </row>
    <row r="31" spans="1:22">
      <c r="A31" s="1" t="s">
        <v>52</v>
      </c>
      <c r="B31" s="6">
        <v>1125445.7882114716</v>
      </c>
      <c r="C31" s="1">
        <v>0</v>
      </c>
      <c r="D31" s="1">
        <v>-149.05999999999997</v>
      </c>
      <c r="E31" s="1">
        <v>0</v>
      </c>
      <c r="F31" s="1">
        <v>0</v>
      </c>
      <c r="G31" s="9">
        <f>SUM(MO_FINANCIAL)</f>
        <v>1125296.7282114716</v>
      </c>
      <c r="L31" s="6"/>
      <c r="V31" s="9"/>
    </row>
    <row r="32" spans="1:22">
      <c r="A32" s="1" t="s">
        <v>53</v>
      </c>
      <c r="B32" s="6">
        <v>0</v>
      </c>
      <c r="C32" s="1">
        <v>0</v>
      </c>
      <c r="D32" s="1">
        <v>0</v>
      </c>
      <c r="E32" s="1">
        <v>0</v>
      </c>
      <c r="F32" s="1">
        <v>0</v>
      </c>
      <c r="G32" s="9">
        <f>SUM(MT_FINANCIAL)</f>
        <v>0</v>
      </c>
      <c r="L32" s="6"/>
      <c r="V32" s="9"/>
    </row>
    <row r="33" spans="1:22">
      <c r="A33" s="1" t="s">
        <v>54</v>
      </c>
      <c r="B33" s="6">
        <v>0</v>
      </c>
      <c r="C33" s="1">
        <v>0</v>
      </c>
      <c r="D33" s="1">
        <v>0</v>
      </c>
      <c r="E33" s="1">
        <v>0</v>
      </c>
      <c r="F33" s="1">
        <v>0</v>
      </c>
      <c r="G33" s="9">
        <f>SUM(NE_FINANCIAL)</f>
        <v>0</v>
      </c>
      <c r="L33" s="6"/>
      <c r="V33" s="9"/>
    </row>
    <row r="34" spans="1:22">
      <c r="A34" s="1" t="s">
        <v>55</v>
      </c>
      <c r="B34" s="6">
        <v>67281.035892709595</v>
      </c>
      <c r="C34" s="1">
        <v>0</v>
      </c>
      <c r="D34" s="1">
        <v>0</v>
      </c>
      <c r="E34" s="1">
        <v>0</v>
      </c>
      <c r="F34" s="1">
        <v>0</v>
      </c>
      <c r="G34" s="9">
        <f>SUM(NV_FINANCIAL)</f>
        <v>67281.035892709595</v>
      </c>
      <c r="L34" s="6"/>
      <c r="V34" s="9"/>
    </row>
    <row r="35" spans="1:22">
      <c r="A35" s="1" t="s">
        <v>56</v>
      </c>
      <c r="B35" s="6">
        <v>0</v>
      </c>
      <c r="C35" s="1">
        <v>0</v>
      </c>
      <c r="D35" s="1">
        <v>0</v>
      </c>
      <c r="E35" s="1">
        <v>0</v>
      </c>
      <c r="F35" s="1">
        <v>0</v>
      </c>
      <c r="G35" s="9">
        <f>SUM(NH_FINANCIAL)</f>
        <v>0</v>
      </c>
      <c r="L35" s="6"/>
      <c r="V35" s="9"/>
    </row>
    <row r="36" spans="1:22">
      <c r="A36" s="1" t="s">
        <v>57</v>
      </c>
      <c r="B36" s="6">
        <v>2283700.5596333244</v>
      </c>
      <c r="C36" s="1">
        <v>14606.695982826252</v>
      </c>
      <c r="D36" s="1">
        <v>-18.3</v>
      </c>
      <c r="E36" s="1">
        <v>0</v>
      </c>
      <c r="F36" s="1">
        <v>0</v>
      </c>
      <c r="G36" s="9">
        <f>SUM(NJ_FINANCIAL)</f>
        <v>2298288.955616151</v>
      </c>
      <c r="L36" s="6">
        <v>2599580</v>
      </c>
      <c r="M36" s="1">
        <v>0</v>
      </c>
      <c r="O36" s="1">
        <v>0</v>
      </c>
      <c r="P36" s="1">
        <v>0</v>
      </c>
      <c r="R36" s="1">
        <v>0</v>
      </c>
      <c r="S36" s="1">
        <v>0</v>
      </c>
      <c r="U36" s="1">
        <v>0</v>
      </c>
      <c r="V36" s="9">
        <v>0</v>
      </c>
    </row>
    <row r="37" spans="1:22">
      <c r="A37" s="1" t="s">
        <v>58</v>
      </c>
      <c r="B37" s="6">
        <v>0</v>
      </c>
      <c r="C37" s="1">
        <v>0</v>
      </c>
      <c r="D37" s="1">
        <v>0</v>
      </c>
      <c r="E37" s="1">
        <v>0</v>
      </c>
      <c r="F37" s="1">
        <v>0</v>
      </c>
      <c r="G37" s="9">
        <f>SUM(NM_FINANCIAL)</f>
        <v>0</v>
      </c>
      <c r="L37" s="6"/>
      <c r="V37" s="9"/>
    </row>
    <row r="38" spans="1:22">
      <c r="A38" s="1" t="s">
        <v>59</v>
      </c>
      <c r="B38" s="6">
        <v>0</v>
      </c>
      <c r="C38" s="1">
        <v>0</v>
      </c>
      <c r="D38" s="1">
        <v>0</v>
      </c>
      <c r="E38" s="1">
        <v>0</v>
      </c>
      <c r="F38" s="1">
        <v>0</v>
      </c>
      <c r="G38" s="9">
        <f>SUM(NY_FINANCIAL)</f>
        <v>0</v>
      </c>
      <c r="L38" s="6"/>
      <c r="V38" s="9"/>
    </row>
    <row r="39" spans="1:22">
      <c r="A39" s="1" t="s">
        <v>60</v>
      </c>
      <c r="B39" s="6">
        <v>32496461.49608057</v>
      </c>
      <c r="C39" s="1">
        <v>1570331.1598331321</v>
      </c>
      <c r="D39" s="1">
        <v>-14827.277131078112</v>
      </c>
      <c r="E39" s="1">
        <v>0</v>
      </c>
      <c r="F39" s="1">
        <v>0</v>
      </c>
      <c r="G39" s="9">
        <f>SUM(NC_FINANCIAL)</f>
        <v>34051965.378782623</v>
      </c>
      <c r="L39" s="6">
        <v>28200000</v>
      </c>
      <c r="M39" s="1">
        <v>0</v>
      </c>
      <c r="O39" s="1">
        <v>800000</v>
      </c>
      <c r="P39" s="1">
        <v>0</v>
      </c>
      <c r="R39" s="1">
        <v>0</v>
      </c>
      <c r="S39" s="1">
        <v>0</v>
      </c>
      <c r="U39" s="1">
        <v>0</v>
      </c>
      <c r="V39" s="9">
        <v>0</v>
      </c>
    </row>
    <row r="40" spans="1:22">
      <c r="A40" s="1" t="s">
        <v>61</v>
      </c>
      <c r="B40" s="6">
        <v>0</v>
      </c>
      <c r="C40" s="1">
        <v>0</v>
      </c>
      <c r="D40" s="1">
        <v>0</v>
      </c>
      <c r="E40" s="1">
        <v>0</v>
      </c>
      <c r="F40" s="1">
        <v>0</v>
      </c>
      <c r="G40" s="9">
        <f>SUM(ND_FINANCIAL)</f>
        <v>0</v>
      </c>
      <c r="L40" s="6"/>
      <c r="V40" s="9"/>
    </row>
    <row r="41" spans="1:22">
      <c r="A41" s="1" t="s">
        <v>62</v>
      </c>
      <c r="B41" s="6">
        <v>548841.65007650829</v>
      </c>
      <c r="C41" s="1">
        <v>267606.42292197584</v>
      </c>
      <c r="D41" s="1">
        <v>-231.03022802322909</v>
      </c>
      <c r="E41" s="1">
        <v>0</v>
      </c>
      <c r="F41" s="1">
        <v>0</v>
      </c>
      <c r="G41" s="9">
        <f>SUM(OH_FINANCIAL)</f>
        <v>816217.04277046095</v>
      </c>
      <c r="L41" s="6">
        <v>725000</v>
      </c>
      <c r="M41" s="1">
        <v>0</v>
      </c>
      <c r="O41" s="1">
        <v>0</v>
      </c>
      <c r="P41" s="1">
        <v>0</v>
      </c>
      <c r="R41" s="1">
        <v>0</v>
      </c>
      <c r="S41" s="1">
        <v>0</v>
      </c>
      <c r="U41" s="1">
        <v>0</v>
      </c>
      <c r="V41" s="9">
        <v>0</v>
      </c>
    </row>
    <row r="42" spans="1:22">
      <c r="A42" s="1" t="s">
        <v>63</v>
      </c>
      <c r="B42" s="6">
        <v>66219.623278222745</v>
      </c>
      <c r="C42" s="1">
        <v>0</v>
      </c>
      <c r="D42" s="1">
        <v>0</v>
      </c>
      <c r="E42" s="1">
        <v>0</v>
      </c>
      <c r="F42" s="1">
        <v>0</v>
      </c>
      <c r="G42" s="9">
        <f>SUM(OK_FINANCIAL)</f>
        <v>66219.623278222745</v>
      </c>
      <c r="L42" s="6">
        <v>100000</v>
      </c>
      <c r="M42" s="1">
        <v>0</v>
      </c>
      <c r="O42" s="1">
        <v>0</v>
      </c>
      <c r="P42" s="1">
        <v>0</v>
      </c>
      <c r="R42" s="1">
        <v>0</v>
      </c>
      <c r="S42" s="1">
        <v>0</v>
      </c>
      <c r="U42" s="1">
        <v>0</v>
      </c>
      <c r="V42" s="9">
        <v>0</v>
      </c>
    </row>
    <row r="43" spans="1:22">
      <c r="A43" s="1" t="s">
        <v>64</v>
      </c>
      <c r="B43" s="6">
        <v>0</v>
      </c>
      <c r="C43" s="1">
        <v>0</v>
      </c>
      <c r="D43" s="1">
        <v>0</v>
      </c>
      <c r="E43" s="1">
        <v>0</v>
      </c>
      <c r="F43" s="1">
        <v>0</v>
      </c>
      <c r="G43" s="9">
        <f>SUM(OR_FINANCIAL)</f>
        <v>0</v>
      </c>
      <c r="L43" s="6"/>
      <c r="V43" s="9"/>
    </row>
    <row r="44" spans="1:22">
      <c r="A44" s="1" t="s">
        <v>65</v>
      </c>
      <c r="B44" s="6">
        <v>6396654.9353717286</v>
      </c>
      <c r="C44" s="1">
        <v>25415.268638739122</v>
      </c>
      <c r="D44" s="1">
        <v>-757.63000000000022</v>
      </c>
      <c r="E44" s="1">
        <v>0</v>
      </c>
      <c r="F44" s="1">
        <v>0</v>
      </c>
      <c r="G44" s="9">
        <f>SUM(PA_FINANCIAL)</f>
        <v>6421312.5740104681</v>
      </c>
      <c r="L44" s="6"/>
      <c r="V44" s="9"/>
    </row>
    <row r="45" spans="1:22">
      <c r="A45" s="1" t="s">
        <v>66</v>
      </c>
      <c r="B45" s="6">
        <v>0</v>
      </c>
      <c r="C45" s="1">
        <v>0</v>
      </c>
      <c r="D45" s="1">
        <v>0</v>
      </c>
      <c r="E45" s="1">
        <v>0</v>
      </c>
      <c r="F45" s="1">
        <v>0</v>
      </c>
      <c r="G45" s="9">
        <f>SUM(PR_FINANCIAL)</f>
        <v>0</v>
      </c>
      <c r="L45" s="6"/>
      <c r="V45" s="9"/>
    </row>
    <row r="46" spans="1:22">
      <c r="A46" s="1" t="s">
        <v>67</v>
      </c>
      <c r="B46" s="6">
        <v>0</v>
      </c>
      <c r="C46" s="1">
        <v>0</v>
      </c>
      <c r="D46" s="1">
        <v>0</v>
      </c>
      <c r="E46" s="1">
        <v>0</v>
      </c>
      <c r="F46" s="1">
        <v>0</v>
      </c>
      <c r="G46" s="9">
        <f>SUM(RI_FINANCIAL)</f>
        <v>0</v>
      </c>
      <c r="L46" s="6"/>
      <c r="V46" s="9"/>
    </row>
    <row r="47" spans="1:22">
      <c r="A47" s="1" t="s">
        <v>68</v>
      </c>
      <c r="B47" s="6">
        <v>4691052.1751102898</v>
      </c>
      <c r="C47" s="1">
        <v>161792.1434670873</v>
      </c>
      <c r="D47" s="1">
        <v>-8529.4500000000007</v>
      </c>
      <c r="E47" s="1">
        <v>0</v>
      </c>
      <c r="F47" s="1">
        <v>0</v>
      </c>
      <c r="G47" s="9">
        <f>SUM(SC_FINANCIAL)</f>
        <v>4844314.8685773769</v>
      </c>
      <c r="L47" s="6">
        <v>0</v>
      </c>
      <c r="M47" s="1">
        <v>0</v>
      </c>
      <c r="O47" s="1">
        <v>0</v>
      </c>
      <c r="P47" s="1">
        <v>0</v>
      </c>
      <c r="R47" s="1">
        <v>0</v>
      </c>
      <c r="S47" s="1">
        <v>0</v>
      </c>
      <c r="U47" s="1">
        <v>0</v>
      </c>
      <c r="V47" s="9">
        <v>0</v>
      </c>
    </row>
    <row r="48" spans="1:22">
      <c r="A48" s="1" t="s">
        <v>69</v>
      </c>
      <c r="B48" s="6">
        <v>0</v>
      </c>
      <c r="C48" s="1">
        <v>0</v>
      </c>
      <c r="D48" s="1">
        <v>0</v>
      </c>
      <c r="E48" s="1">
        <v>0</v>
      </c>
      <c r="F48" s="1">
        <v>0</v>
      </c>
      <c r="G48" s="9">
        <f>SUM(SD_FINANCIAL)</f>
        <v>0</v>
      </c>
      <c r="L48" s="6"/>
      <c r="V48" s="9"/>
    </row>
    <row r="49" spans="1:22">
      <c r="A49" s="1" t="s">
        <v>70</v>
      </c>
      <c r="B49" s="6">
        <v>3188084.9045961122</v>
      </c>
      <c r="C49" s="1">
        <v>57233.202178513158</v>
      </c>
      <c r="D49" s="1">
        <v>0</v>
      </c>
      <c r="E49" s="1">
        <v>0</v>
      </c>
      <c r="F49" s="1">
        <v>0</v>
      </c>
      <c r="G49" s="9">
        <f>SUM(TN_FINANCIAL)</f>
        <v>3245318.1067746254</v>
      </c>
      <c r="L49" s="6">
        <v>2578833</v>
      </c>
      <c r="M49" s="1">
        <v>0</v>
      </c>
      <c r="O49" s="1">
        <v>0</v>
      </c>
      <c r="P49" s="1">
        <v>0</v>
      </c>
      <c r="R49" s="1">
        <v>0</v>
      </c>
      <c r="S49" s="1">
        <v>0</v>
      </c>
      <c r="U49" s="1">
        <v>0</v>
      </c>
      <c r="V49" s="9">
        <v>0</v>
      </c>
    </row>
    <row r="50" spans="1:22">
      <c r="A50" s="1" t="s">
        <v>71</v>
      </c>
      <c r="B50" s="6">
        <v>1501265.7553520394</v>
      </c>
      <c r="C50" s="1">
        <v>98135.38003576544</v>
      </c>
      <c r="D50" s="1">
        <v>-1957.5100000000002</v>
      </c>
      <c r="E50" s="1">
        <v>0</v>
      </c>
      <c r="F50" s="1">
        <v>0</v>
      </c>
      <c r="G50" s="9">
        <f>SUM(TX_FINANCIAL)</f>
        <v>1597443.6253878048</v>
      </c>
      <c r="L50" s="6"/>
      <c r="V50" s="9"/>
    </row>
    <row r="51" spans="1:22">
      <c r="A51" s="1" t="s">
        <v>72</v>
      </c>
      <c r="B51" s="6">
        <v>0</v>
      </c>
      <c r="C51" s="1">
        <v>0</v>
      </c>
      <c r="D51" s="1">
        <v>0</v>
      </c>
      <c r="E51" s="1">
        <v>0</v>
      </c>
      <c r="F51" s="1">
        <v>0</v>
      </c>
      <c r="G51" s="9">
        <f>SUM(UT_FINANCIAL)</f>
        <v>0</v>
      </c>
      <c r="L51" s="6"/>
      <c r="V51" s="9"/>
    </row>
    <row r="52" spans="1:22">
      <c r="A52" s="1" t="s">
        <v>73</v>
      </c>
      <c r="B52" s="6">
        <v>0</v>
      </c>
      <c r="C52" s="1">
        <v>0</v>
      </c>
      <c r="D52" s="1">
        <v>0</v>
      </c>
      <c r="E52" s="1">
        <v>0</v>
      </c>
      <c r="F52" s="1">
        <v>0</v>
      </c>
      <c r="G52" s="9">
        <f>SUM(VT_FINANCIAL)</f>
        <v>0</v>
      </c>
      <c r="L52" s="6"/>
      <c r="V52" s="9"/>
    </row>
    <row r="53" spans="1:22">
      <c r="A53" s="1" t="s">
        <v>74</v>
      </c>
      <c r="B53" s="6">
        <v>6804754.8659341317</v>
      </c>
      <c r="C53" s="1">
        <v>99866.717396403066</v>
      </c>
      <c r="D53" s="1">
        <v>-10490.44944988934</v>
      </c>
      <c r="E53" s="1">
        <v>0</v>
      </c>
      <c r="F53" s="1">
        <v>0</v>
      </c>
      <c r="G53" s="9">
        <f>SUM(VA_FINANCIAL)</f>
        <v>6894131.133880645</v>
      </c>
      <c r="L53" s="6"/>
      <c r="V53" s="9"/>
    </row>
    <row r="54" spans="1:22">
      <c r="A54" s="1" t="s">
        <v>75</v>
      </c>
      <c r="B54" s="6">
        <v>0</v>
      </c>
      <c r="C54" s="1">
        <v>0</v>
      </c>
      <c r="D54" s="1">
        <v>0</v>
      </c>
      <c r="E54" s="1">
        <v>0</v>
      </c>
      <c r="F54" s="1">
        <v>0</v>
      </c>
      <c r="G54" s="9">
        <f>SUM(WA_FINANCIAL)</f>
        <v>0</v>
      </c>
      <c r="L54" s="6"/>
      <c r="V54" s="9"/>
    </row>
    <row r="55" spans="1:22">
      <c r="A55" s="1" t="s">
        <v>76</v>
      </c>
      <c r="B55" s="6">
        <v>0</v>
      </c>
      <c r="C55" s="1">
        <v>0</v>
      </c>
      <c r="D55" s="1">
        <v>0</v>
      </c>
      <c r="E55" s="1">
        <v>0</v>
      </c>
      <c r="F55" s="1">
        <v>0</v>
      </c>
      <c r="G55" s="9">
        <f>SUM(WV_FINANCIAL)</f>
        <v>0</v>
      </c>
      <c r="L55" s="6"/>
      <c r="V55" s="9"/>
    </row>
    <row r="56" spans="1:22">
      <c r="A56" s="1" t="s">
        <v>77</v>
      </c>
      <c r="B56" s="6">
        <v>0</v>
      </c>
      <c r="C56" s="1">
        <v>0</v>
      </c>
      <c r="D56" s="1">
        <v>0</v>
      </c>
      <c r="E56" s="1">
        <v>0</v>
      </c>
      <c r="F56" s="1">
        <v>0</v>
      </c>
      <c r="G56" s="9">
        <f>SUM(WI_FINANCIAL)</f>
        <v>0</v>
      </c>
      <c r="L56" s="6"/>
      <c r="V56" s="9"/>
    </row>
    <row r="57" spans="1:22">
      <c r="A57" s="1" t="s">
        <v>78</v>
      </c>
      <c r="B57" s="6">
        <v>0</v>
      </c>
      <c r="C57" s="1">
        <v>0</v>
      </c>
      <c r="D57" s="1">
        <v>0</v>
      </c>
      <c r="E57" s="1">
        <v>0</v>
      </c>
      <c r="F57" s="1">
        <v>0</v>
      </c>
      <c r="G57" s="9">
        <f>SUM(WY_FINANCIAL)</f>
        <v>0</v>
      </c>
      <c r="L57" s="6"/>
      <c r="V57" s="9"/>
    </row>
    <row r="58" spans="1:22">
      <c r="A58" s="1" t="s">
        <v>79</v>
      </c>
      <c r="B58" s="6">
        <v>0</v>
      </c>
      <c r="C58" s="1">
        <v>0</v>
      </c>
      <c r="D58" s="1">
        <v>0</v>
      </c>
      <c r="E58" s="1">
        <v>0</v>
      </c>
      <c r="F58" s="1">
        <v>0</v>
      </c>
      <c r="G58" s="9">
        <f>SUM(OT_FINANCIAL)</f>
        <v>0</v>
      </c>
      <c r="L58" s="6"/>
      <c r="V58" s="9"/>
    </row>
    <row r="59" spans="1:22">
      <c r="B59" s="6"/>
      <c r="G59" s="9"/>
      <c r="L59" s="6"/>
      <c r="V59" s="9"/>
    </row>
    <row r="60" spans="1:22">
      <c r="A60" s="1" t="s">
        <v>8</v>
      </c>
      <c r="B60" s="6">
        <f>SUM(LIFE)</f>
        <v>100039768.4955463</v>
      </c>
      <c r="C60" s="1">
        <f>SUM(ALLOCATED)</f>
        <v>2783003.2964712246</v>
      </c>
      <c r="D60" s="1">
        <f>SUM(HEALTH)</f>
        <v>-20080.737045290611</v>
      </c>
      <c r="E60" s="1">
        <f>SUM(UNALLOCATED)</f>
        <v>0</v>
      </c>
      <c r="F60" s="1">
        <f>SUM(LTC)</f>
        <v>0</v>
      </c>
      <c r="G60" s="9">
        <f>SUM(ALL_BLOCKS)</f>
        <v>102802691.05497223</v>
      </c>
      <c r="L60" s="6">
        <f>SUM(LIFE_CALLED)</f>
        <v>43399951</v>
      </c>
      <c r="M60" s="1">
        <f>SUM(LIFE_REFUNDED)</f>
        <v>0</v>
      </c>
      <c r="O60" s="1">
        <f>SUM(ALLOC_CALLED)</f>
        <v>800000</v>
      </c>
      <c r="P60" s="1">
        <f>SUM(ALLOC_REFUNDED)</f>
        <v>0</v>
      </c>
      <c r="R60" s="1">
        <f>SUM(HEALTH_CALLED)</f>
        <v>0</v>
      </c>
      <c r="S60" s="1">
        <f>SUM(HEALTH_REFUNDED)</f>
        <v>0</v>
      </c>
      <c r="U60" s="1">
        <f>SUM(UNALLOC_CALLED)</f>
        <v>0</v>
      </c>
      <c r="V60" s="9">
        <f>SUM(UNALLOC_REFUNDED)</f>
        <v>0</v>
      </c>
    </row>
    <row r="61" spans="1:22" ht="5.0999999999999996" customHeight="1">
      <c r="B61" s="6"/>
      <c r="G61" s="9"/>
      <c r="L61" s="6"/>
      <c r="V61" s="9"/>
    </row>
    <row r="62" spans="1:22">
      <c r="B62" s="6"/>
      <c r="G62" s="9"/>
      <c r="L62" s="78" t="s">
        <v>80</v>
      </c>
      <c r="M62" s="79"/>
      <c r="N62" s="79"/>
      <c r="O62" s="79"/>
      <c r="P62" s="79"/>
      <c r="Q62" s="79"/>
      <c r="R62" s="79"/>
      <c r="S62" s="79"/>
      <c r="T62" s="79"/>
      <c r="U62" s="79"/>
      <c r="V62" s="80"/>
    </row>
    <row r="63" spans="1:22">
      <c r="B63" s="6"/>
      <c r="G63" s="9"/>
      <c r="L63" s="81"/>
      <c r="M63" s="79"/>
      <c r="N63" s="79"/>
      <c r="O63" s="79"/>
      <c r="P63" s="79"/>
      <c r="Q63" s="79"/>
      <c r="R63" s="79"/>
      <c r="S63" s="79"/>
      <c r="T63" s="79"/>
      <c r="U63" s="79"/>
      <c r="V63" s="80"/>
    </row>
    <row r="64" spans="1:22">
      <c r="B64" s="8"/>
      <c r="C64" s="5"/>
      <c r="D64" s="5"/>
      <c r="E64" s="5"/>
      <c r="F64" s="5"/>
      <c r="G64" s="11"/>
      <c r="L64" s="82"/>
      <c r="M64" s="83"/>
      <c r="N64" s="83"/>
      <c r="O64" s="83"/>
      <c r="P64" s="83"/>
      <c r="Q64" s="83"/>
      <c r="R64" s="83"/>
      <c r="S64" s="83"/>
      <c r="T64" s="83"/>
      <c r="U64" s="83"/>
      <c r="V64" s="84"/>
    </row>
  </sheetData>
  <mergeCells count="8">
    <mergeCell ref="L62:V64"/>
    <mergeCell ref="A1:G1"/>
    <mergeCell ref="B3:G3"/>
    <mergeCell ref="L3:V3"/>
    <mergeCell ref="L4:M4"/>
    <mergeCell ref="O4:P4"/>
    <mergeCell ref="R4:S4"/>
    <mergeCell ref="U4:V4"/>
  </mergeCells>
  <pageMargins left="0" right="0" top="0" bottom="0" header="0" footer="0"/>
  <pageSetup scale="48"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pageSetUpPr fitToPage="1"/>
  </sheetPr>
  <dimension ref="A1:V64"/>
  <sheetViews>
    <sheetView zoomScale="75" workbookViewId="0">
      <selection sqref="A1:G1"/>
    </sheetView>
  </sheetViews>
  <sheetFormatPr defaultColWidth="9.109375" defaultRowHeight="14.4"/>
  <cols>
    <col min="1" max="1" width="20" style="1" customWidth="1"/>
    <col min="2" max="7" width="15" style="1" customWidth="1"/>
    <col min="8" max="8" width="1" style="1" customWidth="1"/>
    <col min="9" max="9" width="30" style="1" customWidth="1"/>
    <col min="10" max="10" width="15" style="1" customWidth="1"/>
    <col min="11" max="11" width="1" style="1" customWidth="1"/>
    <col min="12" max="13" width="15" style="1" customWidth="1"/>
    <col min="14" max="14" width="1" style="1" customWidth="1"/>
    <col min="15" max="16" width="15" style="1" customWidth="1"/>
    <col min="17" max="17" width="1" style="1" customWidth="1"/>
    <col min="18" max="19" width="15" style="1" customWidth="1"/>
    <col min="20" max="20" width="1" style="1" customWidth="1"/>
    <col min="21" max="22" width="15" style="1" customWidth="1"/>
    <col min="23" max="23" width="9.109375" style="1" customWidth="1"/>
    <col min="24" max="16384" width="9.109375" style="1"/>
  </cols>
  <sheetData>
    <row r="1" spans="1:22">
      <c r="A1" s="85" t="s">
        <v>154</v>
      </c>
      <c r="B1" s="79"/>
      <c r="C1" s="79"/>
      <c r="D1" s="79"/>
      <c r="E1" s="79"/>
      <c r="F1" s="79"/>
      <c r="G1" s="79"/>
    </row>
    <row r="3" spans="1:22">
      <c r="B3" s="86" t="s">
        <v>1</v>
      </c>
      <c r="C3" s="87"/>
      <c r="D3" s="87"/>
      <c r="E3" s="87"/>
      <c r="F3" s="87"/>
      <c r="G3" s="88"/>
      <c r="L3" s="89" t="s">
        <v>2</v>
      </c>
      <c r="M3" s="90"/>
      <c r="N3" s="90"/>
      <c r="O3" s="90"/>
      <c r="P3" s="90"/>
      <c r="Q3" s="90"/>
      <c r="R3" s="90"/>
      <c r="S3" s="90"/>
      <c r="T3" s="90"/>
      <c r="U3" s="90"/>
      <c r="V3" s="91"/>
    </row>
    <row r="4" spans="1:22">
      <c r="B4" s="6"/>
      <c r="G4" s="9"/>
      <c r="L4" s="92" t="s">
        <v>3</v>
      </c>
      <c r="M4" s="93"/>
      <c r="N4" s="3"/>
      <c r="O4" s="94" t="s">
        <v>4</v>
      </c>
      <c r="P4" s="93"/>
      <c r="Q4" s="3"/>
      <c r="R4" s="94" t="s">
        <v>5</v>
      </c>
      <c r="S4" s="93"/>
      <c r="T4" s="3"/>
      <c r="U4" s="94" t="s">
        <v>6</v>
      </c>
      <c r="V4" s="95"/>
    </row>
    <row r="5" spans="1:22" ht="60" customHeight="1">
      <c r="B5" s="7" t="s">
        <v>3</v>
      </c>
      <c r="C5" s="4" t="s">
        <v>4</v>
      </c>
      <c r="D5" s="4" t="s">
        <v>5</v>
      </c>
      <c r="E5" s="4" t="s">
        <v>6</v>
      </c>
      <c r="F5" s="4" t="s">
        <v>7</v>
      </c>
      <c r="G5" s="10" t="s">
        <v>8</v>
      </c>
      <c r="L5" s="19" t="s">
        <v>9</v>
      </c>
      <c r="M5" s="18" t="s">
        <v>10</v>
      </c>
      <c r="N5" s="18"/>
      <c r="O5" s="18" t="s">
        <v>9</v>
      </c>
      <c r="P5" s="18" t="s">
        <v>10</v>
      </c>
      <c r="Q5" s="18"/>
      <c r="R5" s="18" t="s">
        <v>9</v>
      </c>
      <c r="S5" s="18" t="s">
        <v>10</v>
      </c>
      <c r="T5" s="18"/>
      <c r="U5" s="18" t="s">
        <v>9</v>
      </c>
      <c r="V5" s="20" t="s">
        <v>10</v>
      </c>
    </row>
    <row r="6" spans="1:22">
      <c r="A6" s="1" t="s">
        <v>11</v>
      </c>
      <c r="B6" s="6">
        <v>0</v>
      </c>
      <c r="C6" s="1">
        <v>0</v>
      </c>
      <c r="D6" s="1">
        <v>0</v>
      </c>
      <c r="E6" s="1">
        <v>0</v>
      </c>
      <c r="F6" s="1">
        <v>0</v>
      </c>
      <c r="G6" s="9">
        <f>SUM(AL_FINANCIAL)</f>
        <v>0</v>
      </c>
      <c r="L6" s="6"/>
      <c r="V6" s="9"/>
    </row>
    <row r="7" spans="1:22">
      <c r="A7" s="1" t="s">
        <v>12</v>
      </c>
      <c r="B7" s="6">
        <v>0</v>
      </c>
      <c r="C7" s="1">
        <v>0</v>
      </c>
      <c r="D7" s="1">
        <v>0</v>
      </c>
      <c r="E7" s="1">
        <v>0</v>
      </c>
      <c r="F7" s="1">
        <v>0</v>
      </c>
      <c r="G7" s="9">
        <f>SUM(AK_FINANCIAL)</f>
        <v>0</v>
      </c>
      <c r="I7" s="12"/>
      <c r="J7" s="15"/>
      <c r="L7" s="6"/>
      <c r="V7" s="9"/>
    </row>
    <row r="8" spans="1:22">
      <c r="A8" s="1" t="s">
        <v>13</v>
      </c>
      <c r="B8" s="6">
        <v>0</v>
      </c>
      <c r="C8" s="1">
        <v>0</v>
      </c>
      <c r="D8" s="1">
        <v>0</v>
      </c>
      <c r="E8" s="1">
        <v>0</v>
      </c>
      <c r="F8" s="1">
        <v>0</v>
      </c>
      <c r="G8" s="9">
        <f>SUM(AZ_FINANCIAL)</f>
        <v>0</v>
      </c>
      <c r="I8" s="13" t="s">
        <v>14</v>
      </c>
      <c r="J8" s="16"/>
      <c r="L8" s="6"/>
      <c r="V8" s="9"/>
    </row>
    <row r="9" spans="1:22">
      <c r="A9" s="1" t="s">
        <v>15</v>
      </c>
      <c r="B9" s="6">
        <v>0</v>
      </c>
      <c r="C9" s="1">
        <v>0</v>
      </c>
      <c r="D9" s="1">
        <v>0</v>
      </c>
      <c r="E9" s="1">
        <v>0</v>
      </c>
      <c r="F9" s="1">
        <v>0</v>
      </c>
      <c r="G9" s="9">
        <f>SUM(AR_FINANCIAL)</f>
        <v>0</v>
      </c>
      <c r="I9" s="13"/>
      <c r="J9" s="16"/>
      <c r="L9" s="6"/>
      <c r="V9" s="9"/>
    </row>
    <row r="10" spans="1:22">
      <c r="A10" s="1" t="s">
        <v>16</v>
      </c>
      <c r="B10" s="6">
        <v>0</v>
      </c>
      <c r="C10" s="1">
        <v>0</v>
      </c>
      <c r="D10" s="1">
        <v>357628.78379136499</v>
      </c>
      <c r="E10" s="1">
        <v>0</v>
      </c>
      <c r="F10" s="1">
        <v>0</v>
      </c>
      <c r="G10" s="9">
        <f>SUM(CA_FINANCIAL)</f>
        <v>357628.78379136499</v>
      </c>
      <c r="I10" s="13" t="s">
        <v>17</v>
      </c>
      <c r="J10" s="16">
        <v>6382342.2200228013</v>
      </c>
      <c r="L10" s="6"/>
      <c r="V10" s="9"/>
    </row>
    <row r="11" spans="1:22">
      <c r="A11" s="1" t="s">
        <v>18</v>
      </c>
      <c r="B11" s="6">
        <v>0</v>
      </c>
      <c r="C11" s="1">
        <v>0</v>
      </c>
      <c r="D11" s="1">
        <v>0</v>
      </c>
      <c r="E11" s="1">
        <v>0</v>
      </c>
      <c r="F11" s="1">
        <v>0</v>
      </c>
      <c r="G11" s="9">
        <f>SUM(CO_FINANCIAL)</f>
        <v>0</v>
      </c>
      <c r="I11" s="13"/>
      <c r="J11" s="16"/>
      <c r="L11" s="6"/>
      <c r="V11" s="9"/>
    </row>
    <row r="12" spans="1:22">
      <c r="A12" s="1" t="s">
        <v>19</v>
      </c>
      <c r="B12" s="6">
        <v>0</v>
      </c>
      <c r="C12" s="1">
        <v>0</v>
      </c>
      <c r="D12" s="1">
        <v>47252.233876911487</v>
      </c>
      <c r="E12" s="1">
        <v>0</v>
      </c>
      <c r="F12" s="1">
        <v>0</v>
      </c>
      <c r="G12" s="9">
        <f>SUM(CT_FINANCIAL)</f>
        <v>47252.233876911487</v>
      </c>
      <c r="I12" s="13" t="s">
        <v>20</v>
      </c>
      <c r="J12" s="16"/>
      <c r="L12" s="6"/>
      <c r="V12" s="9"/>
    </row>
    <row r="13" spans="1:22">
      <c r="A13" s="1" t="s">
        <v>21</v>
      </c>
      <c r="B13" s="6">
        <v>0</v>
      </c>
      <c r="C13" s="1">
        <v>0</v>
      </c>
      <c r="D13" s="1">
        <v>0</v>
      </c>
      <c r="E13" s="1">
        <v>0</v>
      </c>
      <c r="F13" s="1">
        <v>0</v>
      </c>
      <c r="G13" s="9">
        <f>SUM(DE_FINANCIAL)</f>
        <v>0</v>
      </c>
      <c r="I13" s="13" t="s">
        <v>22</v>
      </c>
      <c r="J13" s="16">
        <v>1048160.8101999999</v>
      </c>
      <c r="L13" s="6"/>
      <c r="V13" s="9"/>
    </row>
    <row r="14" spans="1:22">
      <c r="A14" s="1" t="s">
        <v>23</v>
      </c>
      <c r="B14" s="6">
        <v>0</v>
      </c>
      <c r="C14" s="1">
        <v>0</v>
      </c>
      <c r="D14" s="1">
        <v>0</v>
      </c>
      <c r="E14" s="1">
        <v>0</v>
      </c>
      <c r="F14" s="1">
        <v>0</v>
      </c>
      <c r="G14" s="9">
        <f>SUM(DC_FINANCIAL)</f>
        <v>0</v>
      </c>
      <c r="I14" s="13" t="s">
        <v>24</v>
      </c>
      <c r="J14" s="16">
        <v>551914.32999999996</v>
      </c>
      <c r="L14" s="6"/>
      <c r="V14" s="9"/>
    </row>
    <row r="15" spans="1:22">
      <c r="A15" s="1" t="s">
        <v>25</v>
      </c>
      <c r="B15" s="6">
        <v>0</v>
      </c>
      <c r="C15" s="1">
        <v>0</v>
      </c>
      <c r="D15" s="1">
        <v>2182838.9302175776</v>
      </c>
      <c r="E15" s="1">
        <v>0</v>
      </c>
      <c r="F15" s="1">
        <v>0</v>
      </c>
      <c r="G15" s="9">
        <f>SUM(FL_FINANCIAL)</f>
        <v>2182838.9302175776</v>
      </c>
      <c r="I15" s="13" t="s">
        <v>26</v>
      </c>
      <c r="J15" s="16">
        <v>935411.60588235408</v>
      </c>
      <c r="L15" s="6">
        <v>0</v>
      </c>
      <c r="M15" s="1">
        <v>0</v>
      </c>
      <c r="O15" s="1">
        <v>0</v>
      </c>
      <c r="P15" s="1">
        <v>0</v>
      </c>
      <c r="R15" s="1">
        <v>1300000</v>
      </c>
      <c r="S15" s="1">
        <v>0</v>
      </c>
      <c r="U15" s="1">
        <v>0</v>
      </c>
      <c r="V15" s="9">
        <v>0</v>
      </c>
    </row>
    <row r="16" spans="1:22">
      <c r="A16" s="1" t="s">
        <v>27</v>
      </c>
      <c r="B16" s="6">
        <v>0</v>
      </c>
      <c r="C16" s="1">
        <v>0</v>
      </c>
      <c r="D16" s="1">
        <v>0</v>
      </c>
      <c r="E16" s="1">
        <v>0</v>
      </c>
      <c r="F16" s="1">
        <v>0</v>
      </c>
      <c r="G16" s="9">
        <f>SUM(GA_FINANCIAL)</f>
        <v>0</v>
      </c>
      <c r="I16" s="13" t="s">
        <v>28</v>
      </c>
      <c r="J16" s="16">
        <v>5334181.4098228011</v>
      </c>
      <c r="L16" s="6"/>
      <c r="V16" s="9"/>
    </row>
    <row r="17" spans="1:22">
      <c r="A17" s="1" t="s">
        <v>29</v>
      </c>
      <c r="B17" s="6">
        <v>0</v>
      </c>
      <c r="C17" s="1">
        <v>0</v>
      </c>
      <c r="D17" s="1">
        <v>0</v>
      </c>
      <c r="E17" s="1">
        <v>0</v>
      </c>
      <c r="F17" s="1">
        <v>0</v>
      </c>
      <c r="G17" s="9">
        <f>SUM(HI_FINANCIAL)</f>
        <v>0</v>
      </c>
      <c r="I17" s="13"/>
      <c r="J17" s="16"/>
      <c r="L17" s="6"/>
      <c r="V17" s="9"/>
    </row>
    <row r="18" spans="1:22">
      <c r="A18" s="1" t="s">
        <v>30</v>
      </c>
      <c r="B18" s="6">
        <v>0</v>
      </c>
      <c r="C18" s="1">
        <v>0</v>
      </c>
      <c r="D18" s="1">
        <v>0</v>
      </c>
      <c r="E18" s="1">
        <v>0</v>
      </c>
      <c r="F18" s="1">
        <v>0</v>
      </c>
      <c r="G18" s="9">
        <f>SUM(ID_FINANCIAL)</f>
        <v>0</v>
      </c>
      <c r="I18" s="13" t="s">
        <v>31</v>
      </c>
      <c r="J18" s="16"/>
      <c r="L18" s="6"/>
      <c r="V18" s="9"/>
    </row>
    <row r="19" spans="1:22">
      <c r="A19" s="1" t="s">
        <v>32</v>
      </c>
      <c r="B19" s="6">
        <v>0</v>
      </c>
      <c r="C19" s="1">
        <v>0</v>
      </c>
      <c r="D19" s="1">
        <v>11909.869449240337</v>
      </c>
      <c r="E19" s="1">
        <v>0</v>
      </c>
      <c r="F19" s="1">
        <v>0</v>
      </c>
      <c r="G19" s="9">
        <f>SUM(IL_FINANCIAL)</f>
        <v>11909.869449240337</v>
      </c>
      <c r="I19" s="13" t="s">
        <v>33</v>
      </c>
      <c r="J19" s="16">
        <v>2018826.0999999999</v>
      </c>
      <c r="L19" s="6"/>
      <c r="V19" s="9"/>
    </row>
    <row r="20" spans="1:22">
      <c r="A20" s="1" t="s">
        <v>34</v>
      </c>
      <c r="B20" s="6">
        <v>0</v>
      </c>
      <c r="C20" s="1">
        <v>0</v>
      </c>
      <c r="D20" s="1">
        <v>0</v>
      </c>
      <c r="E20" s="1">
        <v>0</v>
      </c>
      <c r="F20" s="1">
        <v>0</v>
      </c>
      <c r="G20" s="9">
        <f>SUM(IN_FINANCIAL)</f>
        <v>0</v>
      </c>
      <c r="I20" s="13" t="s">
        <v>35</v>
      </c>
      <c r="J20" s="16">
        <v>6382342.2200228013</v>
      </c>
      <c r="L20" s="6"/>
      <c r="V20" s="9"/>
    </row>
    <row r="21" spans="1:22">
      <c r="A21" s="1" t="s">
        <v>36</v>
      </c>
      <c r="B21" s="6">
        <v>0</v>
      </c>
      <c r="C21" s="1">
        <v>0</v>
      </c>
      <c r="D21" s="1">
        <v>0</v>
      </c>
      <c r="E21" s="1">
        <v>0</v>
      </c>
      <c r="F21" s="1">
        <v>0</v>
      </c>
      <c r="G21" s="9">
        <f>SUM(IA_FINANCIAL)</f>
        <v>0</v>
      </c>
      <c r="I21" s="13" t="s">
        <v>37</v>
      </c>
      <c r="J21" s="16"/>
      <c r="L21" s="6"/>
      <c r="V21" s="9"/>
    </row>
    <row r="22" spans="1:22">
      <c r="A22" s="1" t="s">
        <v>38</v>
      </c>
      <c r="B22" s="6">
        <v>0</v>
      </c>
      <c r="C22" s="1">
        <v>0</v>
      </c>
      <c r="D22" s="1">
        <v>33343.918070223765</v>
      </c>
      <c r="E22" s="1">
        <v>0</v>
      </c>
      <c r="F22" s="1">
        <v>0</v>
      </c>
      <c r="G22" s="9">
        <f>SUM(KS_FINANCIAL)</f>
        <v>33343.918070223765</v>
      </c>
      <c r="I22" s="13" t="s">
        <v>39</v>
      </c>
      <c r="J22" s="16">
        <v>0</v>
      </c>
      <c r="L22" s="6"/>
      <c r="V22" s="9"/>
    </row>
    <row r="23" spans="1:22">
      <c r="A23" s="1" t="s">
        <v>40</v>
      </c>
      <c r="B23" s="6">
        <v>0</v>
      </c>
      <c r="C23" s="1">
        <v>0</v>
      </c>
      <c r="D23" s="1">
        <v>0</v>
      </c>
      <c r="E23" s="1">
        <v>0</v>
      </c>
      <c r="F23" s="1">
        <v>0</v>
      </c>
      <c r="G23" s="9">
        <f>SUM(KY_FINANCIAL)</f>
        <v>0</v>
      </c>
      <c r="I23" s="13" t="s">
        <v>41</v>
      </c>
      <c r="J23" s="16"/>
      <c r="L23" s="6"/>
      <c r="V23" s="9"/>
    </row>
    <row r="24" spans="1:22">
      <c r="A24" s="1" t="s">
        <v>42</v>
      </c>
      <c r="B24" s="6">
        <v>0</v>
      </c>
      <c r="C24" s="1">
        <v>0</v>
      </c>
      <c r="D24" s="1">
        <v>0</v>
      </c>
      <c r="E24" s="1">
        <v>0</v>
      </c>
      <c r="F24" s="1">
        <v>0</v>
      </c>
      <c r="G24" s="9">
        <f>SUM(LA_FINANCIAL)</f>
        <v>0</v>
      </c>
      <c r="I24" s="13" t="s">
        <v>43</v>
      </c>
      <c r="J24" s="16">
        <v>0</v>
      </c>
      <c r="L24" s="6"/>
      <c r="V24" s="9"/>
    </row>
    <row r="25" spans="1:22">
      <c r="A25" s="1" t="s">
        <v>44</v>
      </c>
      <c r="B25" s="6">
        <v>0</v>
      </c>
      <c r="C25" s="1">
        <v>0</v>
      </c>
      <c r="D25" s="1">
        <v>235195.93016642323</v>
      </c>
      <c r="E25" s="1">
        <v>0</v>
      </c>
      <c r="F25" s="1">
        <v>0</v>
      </c>
      <c r="G25" s="9">
        <f>SUM(ME_FINANCIAL)</f>
        <v>235195.93016642323</v>
      </c>
      <c r="I25" s="13"/>
      <c r="J25" s="16"/>
      <c r="L25" s="6">
        <v>0</v>
      </c>
      <c r="M25" s="1">
        <v>0</v>
      </c>
      <c r="O25" s="1">
        <v>0</v>
      </c>
      <c r="P25" s="1">
        <v>0</v>
      </c>
      <c r="R25" s="1">
        <v>292496</v>
      </c>
      <c r="S25" s="1">
        <v>0</v>
      </c>
      <c r="U25" s="1">
        <v>0</v>
      </c>
      <c r="V25" s="9">
        <v>0</v>
      </c>
    </row>
    <row r="26" spans="1:22">
      <c r="A26" s="1" t="s">
        <v>45</v>
      </c>
      <c r="B26" s="6">
        <v>0</v>
      </c>
      <c r="C26" s="1">
        <v>0</v>
      </c>
      <c r="D26" s="1">
        <v>258493.45511427379</v>
      </c>
      <c r="E26" s="1">
        <v>0</v>
      </c>
      <c r="F26" s="1">
        <v>0</v>
      </c>
      <c r="G26" s="9">
        <f>SUM(MD_FINANCIAL)</f>
        <v>258493.45511427379</v>
      </c>
      <c r="I26" s="13" t="s">
        <v>46</v>
      </c>
      <c r="J26" s="16">
        <f>SUM(ADD_FINANCIAL)-SUM(LESS_FINANCIAL)</f>
        <v>5850842.0559051558</v>
      </c>
      <c r="L26" s="6"/>
      <c r="V26" s="9"/>
    </row>
    <row r="27" spans="1:22">
      <c r="A27" s="1" t="s">
        <v>47</v>
      </c>
      <c r="B27" s="6">
        <v>0</v>
      </c>
      <c r="C27" s="1">
        <v>0</v>
      </c>
      <c r="D27" s="1">
        <v>745738.02850078419</v>
      </c>
      <c r="E27" s="1">
        <v>0</v>
      </c>
      <c r="F27" s="1">
        <v>0</v>
      </c>
      <c r="G27" s="9">
        <f>SUM(MA_FINANCIAL)</f>
        <v>745738.02850078419</v>
      </c>
      <c r="I27" s="13" t="s">
        <v>48</v>
      </c>
      <c r="J27" s="16">
        <f>SUM(ALL_BLOCKS)</f>
        <v>5850842.055905154</v>
      </c>
      <c r="L27" s="6">
        <v>0</v>
      </c>
      <c r="M27" s="1">
        <v>0</v>
      </c>
      <c r="O27" s="1">
        <v>0</v>
      </c>
      <c r="P27" s="1">
        <v>0</v>
      </c>
      <c r="R27" s="1">
        <v>200000</v>
      </c>
      <c r="S27" s="1">
        <v>0</v>
      </c>
      <c r="U27" s="1">
        <v>0</v>
      </c>
      <c r="V27" s="9">
        <v>0</v>
      </c>
    </row>
    <row r="28" spans="1:22">
      <c r="A28" s="1" t="s">
        <v>49</v>
      </c>
      <c r="B28" s="6">
        <v>0</v>
      </c>
      <c r="C28" s="1">
        <v>0</v>
      </c>
      <c r="D28" s="1">
        <v>0</v>
      </c>
      <c r="E28" s="1">
        <v>0</v>
      </c>
      <c r="F28" s="1">
        <v>0</v>
      </c>
      <c r="G28" s="9">
        <f>SUM(MI_FINANCIAL)</f>
        <v>0</v>
      </c>
      <c r="I28" s="14"/>
      <c r="J28" s="17"/>
      <c r="L28" s="6"/>
      <c r="V28" s="9"/>
    </row>
    <row r="29" spans="1:22">
      <c r="A29" s="1" t="s">
        <v>50</v>
      </c>
      <c r="B29" s="6">
        <v>0</v>
      </c>
      <c r="C29" s="1">
        <v>0</v>
      </c>
      <c r="D29" s="1">
        <v>0</v>
      </c>
      <c r="E29" s="1">
        <v>0</v>
      </c>
      <c r="F29" s="1">
        <v>0</v>
      </c>
      <c r="G29" s="9">
        <f>SUM(MN_FINANCIAL)</f>
        <v>0</v>
      </c>
      <c r="L29" s="6"/>
      <c r="V29" s="9"/>
    </row>
    <row r="30" spans="1:22">
      <c r="A30" s="1" t="s">
        <v>51</v>
      </c>
      <c r="B30" s="6">
        <v>0</v>
      </c>
      <c r="C30" s="1">
        <v>0</v>
      </c>
      <c r="D30" s="1">
        <v>0</v>
      </c>
      <c r="E30" s="1">
        <v>0</v>
      </c>
      <c r="F30" s="1">
        <v>0</v>
      </c>
      <c r="G30" s="9">
        <f>SUM(MS_FINANCIAL)</f>
        <v>0</v>
      </c>
      <c r="L30" s="6"/>
      <c r="V30" s="9"/>
    </row>
    <row r="31" spans="1:22">
      <c r="A31" s="1" t="s">
        <v>52</v>
      </c>
      <c r="B31" s="6">
        <v>0</v>
      </c>
      <c r="C31" s="1">
        <v>0</v>
      </c>
      <c r="D31" s="1">
        <v>0</v>
      </c>
      <c r="E31" s="1">
        <v>0</v>
      </c>
      <c r="F31" s="1">
        <v>0</v>
      </c>
      <c r="G31" s="9">
        <f>SUM(MO_FINANCIAL)</f>
        <v>0</v>
      </c>
      <c r="L31" s="6"/>
      <c r="V31" s="9"/>
    </row>
    <row r="32" spans="1:22">
      <c r="A32" s="1" t="s">
        <v>53</v>
      </c>
      <c r="B32" s="6">
        <v>0</v>
      </c>
      <c r="C32" s="1">
        <v>0</v>
      </c>
      <c r="D32" s="1">
        <v>6514.272665376644</v>
      </c>
      <c r="E32" s="1">
        <v>0</v>
      </c>
      <c r="F32" s="1">
        <v>0</v>
      </c>
      <c r="G32" s="9">
        <f>SUM(MT_FINANCIAL)</f>
        <v>6514.272665376644</v>
      </c>
      <c r="L32" s="6"/>
      <c r="V32" s="9"/>
    </row>
    <row r="33" spans="1:22">
      <c r="A33" s="1" t="s">
        <v>54</v>
      </c>
      <c r="B33" s="6">
        <v>0</v>
      </c>
      <c r="C33" s="1">
        <v>0</v>
      </c>
      <c r="D33" s="1">
        <v>0</v>
      </c>
      <c r="E33" s="1">
        <v>0</v>
      </c>
      <c r="F33" s="1">
        <v>0</v>
      </c>
      <c r="G33" s="9">
        <f>SUM(NE_FINANCIAL)</f>
        <v>0</v>
      </c>
      <c r="L33" s="6"/>
      <c r="V33" s="9"/>
    </row>
    <row r="34" spans="1:22">
      <c r="A34" s="1" t="s">
        <v>55</v>
      </c>
      <c r="B34" s="6">
        <v>0</v>
      </c>
      <c r="C34" s="1">
        <v>0</v>
      </c>
      <c r="D34" s="1">
        <v>0</v>
      </c>
      <c r="E34" s="1">
        <v>0</v>
      </c>
      <c r="F34" s="1">
        <v>0</v>
      </c>
      <c r="G34" s="9">
        <f>SUM(NV_FINANCIAL)</f>
        <v>0</v>
      </c>
      <c r="L34" s="6"/>
      <c r="V34" s="9"/>
    </row>
    <row r="35" spans="1:22">
      <c r="A35" s="1" t="s">
        <v>56</v>
      </c>
      <c r="B35" s="6">
        <v>0</v>
      </c>
      <c r="C35" s="1">
        <v>0</v>
      </c>
      <c r="D35" s="1">
        <v>187009.27935600834</v>
      </c>
      <c r="E35" s="1">
        <v>0</v>
      </c>
      <c r="F35" s="1">
        <v>0</v>
      </c>
      <c r="G35" s="9">
        <f>SUM(NH_FINANCIAL)</f>
        <v>187009.27935600834</v>
      </c>
      <c r="L35" s="6"/>
      <c r="V35" s="9"/>
    </row>
    <row r="36" spans="1:22">
      <c r="A36" s="1" t="s">
        <v>57</v>
      </c>
      <c r="B36" s="6">
        <v>0</v>
      </c>
      <c r="C36" s="1">
        <v>0</v>
      </c>
      <c r="D36" s="1">
        <v>741894.72665150126</v>
      </c>
      <c r="E36" s="1">
        <v>0</v>
      </c>
      <c r="F36" s="1">
        <v>0</v>
      </c>
      <c r="G36" s="9">
        <f>SUM(NJ_FINANCIAL)</f>
        <v>741894.72665150126</v>
      </c>
      <c r="L36" s="6"/>
      <c r="V36" s="9"/>
    </row>
    <row r="37" spans="1:22">
      <c r="A37" s="1" t="s">
        <v>58</v>
      </c>
      <c r="B37" s="6">
        <v>0</v>
      </c>
      <c r="C37" s="1">
        <v>0</v>
      </c>
      <c r="D37" s="1">
        <v>0</v>
      </c>
      <c r="E37" s="1">
        <v>0</v>
      </c>
      <c r="F37" s="1">
        <v>0</v>
      </c>
      <c r="G37" s="9">
        <f>SUM(NM_FINANCIAL)</f>
        <v>0</v>
      </c>
      <c r="L37" s="6"/>
      <c r="V37" s="9"/>
    </row>
    <row r="38" spans="1:22">
      <c r="A38" s="1" t="s">
        <v>59</v>
      </c>
      <c r="B38" s="6">
        <v>0</v>
      </c>
      <c r="C38" s="1">
        <v>0</v>
      </c>
      <c r="D38" s="1">
        <v>0</v>
      </c>
      <c r="E38" s="1">
        <v>0</v>
      </c>
      <c r="F38" s="1">
        <v>0</v>
      </c>
      <c r="G38" s="9">
        <f>SUM(NY_FINANCIAL)</f>
        <v>0</v>
      </c>
      <c r="L38" s="6"/>
      <c r="V38" s="9"/>
    </row>
    <row r="39" spans="1:22">
      <c r="A39" s="1" t="s">
        <v>60</v>
      </c>
      <c r="B39" s="6">
        <v>0</v>
      </c>
      <c r="C39" s="1">
        <v>0</v>
      </c>
      <c r="D39" s="1">
        <v>0</v>
      </c>
      <c r="E39" s="1">
        <v>0</v>
      </c>
      <c r="F39" s="1">
        <v>0</v>
      </c>
      <c r="G39" s="9">
        <f>SUM(NC_FINANCIAL)</f>
        <v>0</v>
      </c>
      <c r="L39" s="6"/>
      <c r="V39" s="9"/>
    </row>
    <row r="40" spans="1:22">
      <c r="A40" s="1" t="s">
        <v>61</v>
      </c>
      <c r="B40" s="6">
        <v>0</v>
      </c>
      <c r="C40" s="1">
        <v>0</v>
      </c>
      <c r="D40" s="1">
        <v>0</v>
      </c>
      <c r="E40" s="1">
        <v>0</v>
      </c>
      <c r="F40" s="1">
        <v>0</v>
      </c>
      <c r="G40" s="9">
        <f>SUM(ND_FINANCIAL)</f>
        <v>0</v>
      </c>
      <c r="L40" s="6"/>
      <c r="V40" s="9"/>
    </row>
    <row r="41" spans="1:22">
      <c r="A41" s="1" t="s">
        <v>62</v>
      </c>
      <c r="B41" s="6">
        <v>0</v>
      </c>
      <c r="C41" s="1">
        <v>0</v>
      </c>
      <c r="D41" s="1">
        <v>-14133.229999999996</v>
      </c>
      <c r="E41" s="1">
        <v>0</v>
      </c>
      <c r="F41" s="1">
        <v>0</v>
      </c>
      <c r="G41" s="9">
        <f>SUM(OH_FINANCIAL)</f>
        <v>-14133.229999999996</v>
      </c>
      <c r="L41" s="6"/>
      <c r="V41" s="9"/>
    </row>
    <row r="42" spans="1:22">
      <c r="A42" s="1" t="s">
        <v>63</v>
      </c>
      <c r="B42" s="6">
        <v>0</v>
      </c>
      <c r="C42" s="1">
        <v>0</v>
      </c>
      <c r="D42" s="1">
        <v>0</v>
      </c>
      <c r="E42" s="1">
        <v>0</v>
      </c>
      <c r="F42" s="1">
        <v>0</v>
      </c>
      <c r="G42" s="9">
        <f>SUM(OK_FINANCIAL)</f>
        <v>0</v>
      </c>
      <c r="L42" s="6"/>
      <c r="V42" s="9"/>
    </row>
    <row r="43" spans="1:22">
      <c r="A43" s="1" t="s">
        <v>64</v>
      </c>
      <c r="B43" s="6">
        <v>0</v>
      </c>
      <c r="C43" s="1">
        <v>0</v>
      </c>
      <c r="D43" s="1">
        <v>0</v>
      </c>
      <c r="E43" s="1">
        <v>0</v>
      </c>
      <c r="F43" s="1">
        <v>0</v>
      </c>
      <c r="G43" s="9">
        <f>SUM(OR_FINANCIAL)</f>
        <v>0</v>
      </c>
      <c r="L43" s="6"/>
      <c r="V43" s="9"/>
    </row>
    <row r="44" spans="1:22">
      <c r="A44" s="1" t="s">
        <v>65</v>
      </c>
      <c r="B44" s="6">
        <v>0</v>
      </c>
      <c r="C44" s="1">
        <v>0</v>
      </c>
      <c r="D44" s="1">
        <v>870375.28615180135</v>
      </c>
      <c r="E44" s="1">
        <v>0</v>
      </c>
      <c r="F44" s="1">
        <v>0</v>
      </c>
      <c r="G44" s="9">
        <f>SUM(PA_FINANCIAL)</f>
        <v>870375.28615180135</v>
      </c>
      <c r="L44" s="6"/>
      <c r="V44" s="9"/>
    </row>
    <row r="45" spans="1:22">
      <c r="A45" s="1" t="s">
        <v>66</v>
      </c>
      <c r="B45" s="6">
        <v>0</v>
      </c>
      <c r="C45" s="1">
        <v>0</v>
      </c>
      <c r="D45" s="1">
        <v>0</v>
      </c>
      <c r="E45" s="1">
        <v>0</v>
      </c>
      <c r="F45" s="1">
        <v>0</v>
      </c>
      <c r="G45" s="9">
        <f>SUM(PR_FINANCIAL)</f>
        <v>0</v>
      </c>
      <c r="L45" s="6"/>
      <c r="V45" s="9"/>
    </row>
    <row r="46" spans="1:22">
      <c r="A46" s="1" t="s">
        <v>67</v>
      </c>
      <c r="B46" s="6">
        <v>0</v>
      </c>
      <c r="C46" s="1">
        <v>0</v>
      </c>
      <c r="D46" s="1">
        <v>0</v>
      </c>
      <c r="E46" s="1">
        <v>0</v>
      </c>
      <c r="F46" s="1">
        <v>0</v>
      </c>
      <c r="G46" s="9">
        <f>SUM(RI_FINANCIAL)</f>
        <v>0</v>
      </c>
      <c r="L46" s="6"/>
      <c r="V46" s="9"/>
    </row>
    <row r="47" spans="1:22">
      <c r="A47" s="1" t="s">
        <v>68</v>
      </c>
      <c r="B47" s="6">
        <v>0</v>
      </c>
      <c r="C47" s="1">
        <v>0</v>
      </c>
      <c r="D47" s="1">
        <v>0</v>
      </c>
      <c r="E47" s="1">
        <v>0</v>
      </c>
      <c r="F47" s="1">
        <v>0</v>
      </c>
      <c r="G47" s="9">
        <f>SUM(SC_FINANCIAL)</f>
        <v>0</v>
      </c>
      <c r="L47" s="6"/>
      <c r="V47" s="9"/>
    </row>
    <row r="48" spans="1:22">
      <c r="A48" s="1" t="s">
        <v>69</v>
      </c>
      <c r="B48" s="6">
        <v>0</v>
      </c>
      <c r="C48" s="1">
        <v>0</v>
      </c>
      <c r="D48" s="1">
        <v>0</v>
      </c>
      <c r="E48" s="1">
        <v>0</v>
      </c>
      <c r="F48" s="1">
        <v>0</v>
      </c>
      <c r="G48" s="9">
        <f>SUM(SD_FINANCIAL)</f>
        <v>0</v>
      </c>
      <c r="L48" s="6"/>
      <c r="V48" s="9"/>
    </row>
    <row r="49" spans="1:22">
      <c r="A49" s="1" t="s">
        <v>70</v>
      </c>
      <c r="B49" s="6">
        <v>0</v>
      </c>
      <c r="C49" s="1">
        <v>0</v>
      </c>
      <c r="D49" s="1">
        <v>0</v>
      </c>
      <c r="E49" s="1">
        <v>0</v>
      </c>
      <c r="F49" s="1">
        <v>0</v>
      </c>
      <c r="G49" s="9">
        <f>SUM(TN_FINANCIAL)</f>
        <v>0</v>
      </c>
      <c r="L49" s="6"/>
      <c r="V49" s="9"/>
    </row>
    <row r="50" spans="1:22">
      <c r="A50" s="1" t="s">
        <v>71</v>
      </c>
      <c r="B50" s="6">
        <v>0</v>
      </c>
      <c r="C50" s="1">
        <v>0</v>
      </c>
      <c r="D50" s="1">
        <v>186608.40602994649</v>
      </c>
      <c r="E50" s="1">
        <v>0</v>
      </c>
      <c r="F50" s="1">
        <v>0</v>
      </c>
      <c r="G50" s="9">
        <f>SUM(TX_FINANCIAL)</f>
        <v>186608.40602994649</v>
      </c>
      <c r="L50" s="6"/>
      <c r="V50" s="9"/>
    </row>
    <row r="51" spans="1:22">
      <c r="A51" s="1" t="s">
        <v>72</v>
      </c>
      <c r="B51" s="6">
        <v>0</v>
      </c>
      <c r="C51" s="1">
        <v>0</v>
      </c>
      <c r="D51" s="1">
        <v>0</v>
      </c>
      <c r="E51" s="1">
        <v>0</v>
      </c>
      <c r="F51" s="1">
        <v>0</v>
      </c>
      <c r="G51" s="9">
        <f>SUM(UT_FINANCIAL)</f>
        <v>0</v>
      </c>
      <c r="L51" s="6"/>
      <c r="V51" s="9"/>
    </row>
    <row r="52" spans="1:22">
      <c r="A52" s="1" t="s">
        <v>73</v>
      </c>
      <c r="B52" s="6">
        <v>0</v>
      </c>
      <c r="C52" s="1">
        <v>0</v>
      </c>
      <c r="D52" s="1">
        <v>172.16586372123197</v>
      </c>
      <c r="E52" s="1">
        <v>0</v>
      </c>
      <c r="F52" s="1">
        <v>0</v>
      </c>
      <c r="G52" s="9">
        <f>SUM(VT_FINANCIAL)</f>
        <v>172.16586372123197</v>
      </c>
      <c r="L52" s="6"/>
      <c r="V52" s="9"/>
    </row>
    <row r="53" spans="1:22">
      <c r="A53" s="1" t="s">
        <v>74</v>
      </c>
      <c r="B53" s="6">
        <v>0</v>
      </c>
      <c r="C53" s="1">
        <v>0</v>
      </c>
      <c r="D53" s="1">
        <v>0</v>
      </c>
      <c r="E53" s="1">
        <v>0</v>
      </c>
      <c r="F53" s="1">
        <v>0</v>
      </c>
      <c r="G53" s="9">
        <f>SUM(VA_FINANCIAL)</f>
        <v>0</v>
      </c>
      <c r="L53" s="6"/>
      <c r="V53" s="9"/>
    </row>
    <row r="54" spans="1:22">
      <c r="A54" s="1" t="s">
        <v>75</v>
      </c>
      <c r="B54" s="6">
        <v>0</v>
      </c>
      <c r="C54" s="1">
        <v>0</v>
      </c>
      <c r="D54" s="1">
        <v>0</v>
      </c>
      <c r="E54" s="1">
        <v>0</v>
      </c>
      <c r="F54" s="1">
        <v>0</v>
      </c>
      <c r="G54" s="9">
        <f>SUM(WA_FINANCIAL)</f>
        <v>0</v>
      </c>
      <c r="L54" s="6"/>
      <c r="V54" s="9"/>
    </row>
    <row r="55" spans="1:22">
      <c r="A55" s="1" t="s">
        <v>76</v>
      </c>
      <c r="B55" s="6">
        <v>0</v>
      </c>
      <c r="C55" s="1">
        <v>0</v>
      </c>
      <c r="D55" s="1">
        <v>0</v>
      </c>
      <c r="E55" s="1">
        <v>0</v>
      </c>
      <c r="F55" s="1">
        <v>0</v>
      </c>
      <c r="G55" s="9">
        <f>SUM(WV_FINANCIAL)</f>
        <v>0</v>
      </c>
      <c r="L55" s="6"/>
      <c r="V55" s="9"/>
    </row>
    <row r="56" spans="1:22">
      <c r="A56" s="1" t="s">
        <v>77</v>
      </c>
      <c r="B56" s="6">
        <v>0</v>
      </c>
      <c r="C56" s="1">
        <v>0</v>
      </c>
      <c r="D56" s="1">
        <v>0</v>
      </c>
      <c r="E56" s="1">
        <v>0</v>
      </c>
      <c r="F56" s="1">
        <v>0</v>
      </c>
      <c r="G56" s="9">
        <f>SUM(WI_FINANCIAL)</f>
        <v>0</v>
      </c>
      <c r="L56" s="6"/>
      <c r="V56" s="9"/>
    </row>
    <row r="57" spans="1:22">
      <c r="A57" s="1" t="s">
        <v>78</v>
      </c>
      <c r="B57" s="6">
        <v>0</v>
      </c>
      <c r="C57" s="1">
        <v>0</v>
      </c>
      <c r="D57" s="1">
        <v>0</v>
      </c>
      <c r="E57" s="1">
        <v>0</v>
      </c>
      <c r="F57" s="1">
        <v>0</v>
      </c>
      <c r="G57" s="9">
        <f>SUM(WY_FINANCIAL)</f>
        <v>0</v>
      </c>
      <c r="L57" s="6"/>
      <c r="V57" s="9"/>
    </row>
    <row r="58" spans="1:22">
      <c r="A58" s="1" t="s">
        <v>79</v>
      </c>
      <c r="B58" s="6">
        <v>0</v>
      </c>
      <c r="C58" s="1">
        <v>0</v>
      </c>
      <c r="D58" s="1">
        <v>0</v>
      </c>
      <c r="E58" s="1">
        <v>0</v>
      </c>
      <c r="F58" s="1">
        <v>0</v>
      </c>
      <c r="G58" s="9">
        <f>SUM(OT_FINANCIAL)</f>
        <v>0</v>
      </c>
      <c r="L58" s="6"/>
      <c r="V58" s="9"/>
    </row>
    <row r="59" spans="1:22">
      <c r="B59" s="6"/>
      <c r="G59" s="9"/>
      <c r="L59" s="6"/>
      <c r="V59" s="9"/>
    </row>
    <row r="60" spans="1:22">
      <c r="A60" s="1" t="s">
        <v>8</v>
      </c>
      <c r="B60" s="6">
        <f>SUM(LIFE)</f>
        <v>0</v>
      </c>
      <c r="C60" s="1">
        <f>SUM(ALLOCATED)</f>
        <v>0</v>
      </c>
      <c r="D60" s="1">
        <f>SUM(HEALTH)</f>
        <v>5850842.055905154</v>
      </c>
      <c r="E60" s="1">
        <f>SUM(UNALLOCATED)</f>
        <v>0</v>
      </c>
      <c r="F60" s="1">
        <f>SUM(LTC)</f>
        <v>0</v>
      </c>
      <c r="G60" s="9">
        <f>SUM(ALL_BLOCKS)</f>
        <v>5850842.055905154</v>
      </c>
      <c r="L60" s="6">
        <f>SUM(LIFE_CALLED)</f>
        <v>0</v>
      </c>
      <c r="M60" s="1">
        <f>SUM(LIFE_REFUNDED)</f>
        <v>0</v>
      </c>
      <c r="O60" s="1">
        <f>SUM(ALLOC_CALLED)</f>
        <v>0</v>
      </c>
      <c r="P60" s="1">
        <f>SUM(ALLOC_REFUNDED)</f>
        <v>0</v>
      </c>
      <c r="R60" s="1">
        <f>SUM(HEALTH_CALLED)</f>
        <v>1792496</v>
      </c>
      <c r="S60" s="1">
        <f>SUM(HEALTH_REFUNDED)</f>
        <v>0</v>
      </c>
      <c r="U60" s="1">
        <f>SUM(UNALLOC_CALLED)</f>
        <v>0</v>
      </c>
      <c r="V60" s="9">
        <f>SUM(UNALLOC_REFUNDED)</f>
        <v>0</v>
      </c>
    </row>
    <row r="61" spans="1:22" ht="5.0999999999999996" customHeight="1">
      <c r="B61" s="6"/>
      <c r="G61" s="9"/>
      <c r="L61" s="6"/>
      <c r="V61" s="9"/>
    </row>
    <row r="62" spans="1:22">
      <c r="B62" s="6"/>
      <c r="G62" s="9"/>
      <c r="L62" s="78" t="s">
        <v>80</v>
      </c>
      <c r="M62" s="79"/>
      <c r="N62" s="79"/>
      <c r="O62" s="79"/>
      <c r="P62" s="79"/>
      <c r="Q62" s="79"/>
      <c r="R62" s="79"/>
      <c r="S62" s="79"/>
      <c r="T62" s="79"/>
      <c r="U62" s="79"/>
      <c r="V62" s="80"/>
    </row>
    <row r="63" spans="1:22">
      <c r="B63" s="6"/>
      <c r="G63" s="9"/>
      <c r="L63" s="81"/>
      <c r="M63" s="79"/>
      <c r="N63" s="79"/>
      <c r="O63" s="79"/>
      <c r="P63" s="79"/>
      <c r="Q63" s="79"/>
      <c r="R63" s="79"/>
      <c r="S63" s="79"/>
      <c r="T63" s="79"/>
      <c r="U63" s="79"/>
      <c r="V63" s="80"/>
    </row>
    <row r="64" spans="1:22">
      <c r="B64" s="8"/>
      <c r="C64" s="5"/>
      <c r="D64" s="5"/>
      <c r="E64" s="5"/>
      <c r="F64" s="5"/>
      <c r="G64" s="11"/>
      <c r="L64" s="82"/>
      <c r="M64" s="83"/>
      <c r="N64" s="83"/>
      <c r="O64" s="83"/>
      <c r="P64" s="83"/>
      <c r="Q64" s="83"/>
      <c r="R64" s="83"/>
      <c r="S64" s="83"/>
      <c r="T64" s="83"/>
      <c r="U64" s="83"/>
      <c r="V64" s="84"/>
    </row>
  </sheetData>
  <mergeCells count="8">
    <mergeCell ref="L62:V64"/>
    <mergeCell ref="A1:G1"/>
    <mergeCell ref="B3:G3"/>
    <mergeCell ref="L3:V3"/>
    <mergeCell ref="L4:M4"/>
    <mergeCell ref="O4:P4"/>
    <mergeCell ref="R4:S4"/>
    <mergeCell ref="U4:V4"/>
  </mergeCells>
  <pageMargins left="0" right="0" top="0" bottom="0" header="0" footer="0"/>
  <pageSetup scale="48"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pageSetUpPr fitToPage="1"/>
  </sheetPr>
  <dimension ref="A1:V64"/>
  <sheetViews>
    <sheetView zoomScale="75" workbookViewId="0">
      <selection sqref="A1:G1"/>
    </sheetView>
  </sheetViews>
  <sheetFormatPr defaultColWidth="9.109375" defaultRowHeight="14.4"/>
  <cols>
    <col min="1" max="1" width="20" style="1" customWidth="1"/>
    <col min="2" max="7" width="15" style="1" customWidth="1"/>
    <col min="8" max="8" width="1" style="1" customWidth="1"/>
    <col min="9" max="9" width="30" style="1" customWidth="1"/>
    <col min="10" max="10" width="15" style="1" customWidth="1"/>
    <col min="11" max="11" width="1" style="1" customWidth="1"/>
    <col min="12" max="13" width="15" style="1" customWidth="1"/>
    <col min="14" max="14" width="1" style="1" customWidth="1"/>
    <col min="15" max="16" width="15" style="1" customWidth="1"/>
    <col min="17" max="17" width="1" style="1" customWidth="1"/>
    <col min="18" max="19" width="15" style="1" customWidth="1"/>
    <col min="20" max="20" width="1" style="1" customWidth="1"/>
    <col min="21" max="22" width="15" style="1" customWidth="1"/>
    <col min="23" max="23" width="9.109375" style="1" customWidth="1"/>
    <col min="24" max="16384" width="9.109375" style="1"/>
  </cols>
  <sheetData>
    <row r="1" spans="1:22">
      <c r="A1" s="85" t="s">
        <v>155</v>
      </c>
      <c r="B1" s="79"/>
      <c r="C1" s="79"/>
      <c r="D1" s="79"/>
      <c r="E1" s="79"/>
      <c r="F1" s="79"/>
      <c r="G1" s="79"/>
    </row>
    <row r="3" spans="1:22">
      <c r="B3" s="86" t="s">
        <v>1</v>
      </c>
      <c r="C3" s="87"/>
      <c r="D3" s="87"/>
      <c r="E3" s="87"/>
      <c r="F3" s="87"/>
      <c r="G3" s="88"/>
      <c r="L3" s="89" t="s">
        <v>2</v>
      </c>
      <c r="M3" s="90"/>
      <c r="N3" s="90"/>
      <c r="O3" s="90"/>
      <c r="P3" s="90"/>
      <c r="Q3" s="90"/>
      <c r="R3" s="90"/>
      <c r="S3" s="90"/>
      <c r="T3" s="90"/>
      <c r="U3" s="90"/>
      <c r="V3" s="91"/>
    </row>
    <row r="4" spans="1:22">
      <c r="B4" s="6"/>
      <c r="G4" s="9"/>
      <c r="L4" s="92" t="s">
        <v>3</v>
      </c>
      <c r="M4" s="93"/>
      <c r="N4" s="3"/>
      <c r="O4" s="94" t="s">
        <v>4</v>
      </c>
      <c r="P4" s="93"/>
      <c r="Q4" s="3"/>
      <c r="R4" s="94" t="s">
        <v>5</v>
      </c>
      <c r="S4" s="93"/>
      <c r="T4" s="3"/>
      <c r="U4" s="94" t="s">
        <v>6</v>
      </c>
      <c r="V4" s="95"/>
    </row>
    <row r="5" spans="1:22" ht="60" customHeight="1">
      <c r="B5" s="7" t="s">
        <v>3</v>
      </c>
      <c r="C5" s="4" t="s">
        <v>4</v>
      </c>
      <c r="D5" s="4" t="s">
        <v>5</v>
      </c>
      <c r="E5" s="4" t="s">
        <v>6</v>
      </c>
      <c r="F5" s="4" t="s">
        <v>7</v>
      </c>
      <c r="G5" s="10" t="s">
        <v>8</v>
      </c>
      <c r="L5" s="19" t="s">
        <v>9</v>
      </c>
      <c r="M5" s="18" t="s">
        <v>10</v>
      </c>
      <c r="N5" s="18"/>
      <c r="O5" s="18" t="s">
        <v>9</v>
      </c>
      <c r="P5" s="18" t="s">
        <v>10</v>
      </c>
      <c r="Q5" s="18"/>
      <c r="R5" s="18" t="s">
        <v>9</v>
      </c>
      <c r="S5" s="18" t="s">
        <v>10</v>
      </c>
      <c r="T5" s="18"/>
      <c r="U5" s="18" t="s">
        <v>9</v>
      </c>
      <c r="V5" s="20" t="s">
        <v>10</v>
      </c>
    </row>
    <row r="6" spans="1:22">
      <c r="A6" s="1" t="s">
        <v>11</v>
      </c>
      <c r="B6" s="6">
        <v>1962.0010553470431</v>
      </c>
      <c r="C6" s="1">
        <v>49727.331870488357</v>
      </c>
      <c r="D6" s="1">
        <v>0</v>
      </c>
      <c r="E6" s="1">
        <v>0</v>
      </c>
      <c r="F6" s="1">
        <v>0</v>
      </c>
      <c r="G6" s="9">
        <f>SUM(AL_FINANCIAL)</f>
        <v>51689.332925835399</v>
      </c>
      <c r="L6" s="6">
        <v>3000</v>
      </c>
      <c r="M6" s="1">
        <v>0</v>
      </c>
      <c r="O6" s="1">
        <v>13939</v>
      </c>
      <c r="P6" s="1">
        <v>0</v>
      </c>
      <c r="R6" s="1">
        <v>53000</v>
      </c>
      <c r="S6" s="1">
        <v>0</v>
      </c>
      <c r="U6" s="1">
        <v>0</v>
      </c>
      <c r="V6" s="9">
        <v>0</v>
      </c>
    </row>
    <row r="7" spans="1:22">
      <c r="A7" s="1" t="s">
        <v>12</v>
      </c>
      <c r="B7" s="6">
        <v>0</v>
      </c>
      <c r="C7" s="1">
        <v>0</v>
      </c>
      <c r="D7" s="1">
        <v>0</v>
      </c>
      <c r="E7" s="1">
        <v>0</v>
      </c>
      <c r="F7" s="1">
        <v>0</v>
      </c>
      <c r="G7" s="9">
        <f>SUM(AK_FINANCIAL)</f>
        <v>0</v>
      </c>
      <c r="I7" s="12"/>
      <c r="J7" s="15"/>
      <c r="L7" s="6"/>
      <c r="V7" s="9"/>
    </row>
    <row r="8" spans="1:22">
      <c r="A8" s="1" t="s">
        <v>13</v>
      </c>
      <c r="B8" s="6">
        <v>10009.955824345025</v>
      </c>
      <c r="C8" s="1">
        <v>1063400.6303061601</v>
      </c>
      <c r="D8" s="1">
        <v>0</v>
      </c>
      <c r="E8" s="1">
        <v>0</v>
      </c>
      <c r="F8" s="1">
        <v>0</v>
      </c>
      <c r="G8" s="9">
        <f>SUM(AZ_FINANCIAL)</f>
        <v>1073410.5861305052</v>
      </c>
      <c r="I8" s="13" t="s">
        <v>14</v>
      </c>
      <c r="J8" s="16"/>
      <c r="L8" s="6">
        <v>3960</v>
      </c>
      <c r="M8" s="1">
        <v>0</v>
      </c>
      <c r="O8" s="1">
        <v>656757</v>
      </c>
      <c r="P8" s="1">
        <v>0</v>
      </c>
      <c r="R8" s="1">
        <v>0</v>
      </c>
      <c r="S8" s="1">
        <v>0</v>
      </c>
      <c r="U8" s="1">
        <v>0</v>
      </c>
      <c r="V8" s="9">
        <v>0</v>
      </c>
    </row>
    <row r="9" spans="1:22">
      <c r="A9" s="1" t="s">
        <v>15</v>
      </c>
      <c r="B9" s="6">
        <v>0</v>
      </c>
      <c r="C9" s="1">
        <v>31152.847078431558</v>
      </c>
      <c r="D9" s="1">
        <v>0</v>
      </c>
      <c r="E9" s="1">
        <v>0</v>
      </c>
      <c r="F9" s="1">
        <v>0</v>
      </c>
      <c r="G9" s="9">
        <f>SUM(AR_FINANCIAL)</f>
        <v>31152.847078431558</v>
      </c>
      <c r="I9" s="13"/>
      <c r="J9" s="16"/>
      <c r="L9" s="6">
        <v>53995</v>
      </c>
      <c r="M9" s="1">
        <v>0</v>
      </c>
      <c r="O9" s="1">
        <v>0</v>
      </c>
      <c r="P9" s="1">
        <v>0</v>
      </c>
      <c r="R9" s="1">
        <v>0</v>
      </c>
      <c r="S9" s="1">
        <v>0</v>
      </c>
      <c r="U9" s="1">
        <v>0</v>
      </c>
      <c r="V9" s="9">
        <v>0</v>
      </c>
    </row>
    <row r="10" spans="1:22">
      <c r="A10" s="1" t="s">
        <v>16</v>
      </c>
      <c r="B10" s="6">
        <v>12928.170581021808</v>
      </c>
      <c r="C10" s="1">
        <v>173859.91811626701</v>
      </c>
      <c r="D10" s="1">
        <v>0</v>
      </c>
      <c r="E10" s="1">
        <v>0</v>
      </c>
      <c r="F10" s="1">
        <v>0</v>
      </c>
      <c r="G10" s="9">
        <f>SUM(CA_FINANCIAL)</f>
        <v>186788.08869728883</v>
      </c>
      <c r="I10" s="13" t="s">
        <v>17</v>
      </c>
      <c r="J10" s="16">
        <v>190939550.94</v>
      </c>
      <c r="L10" s="6">
        <v>22902</v>
      </c>
      <c r="M10" s="1">
        <v>0</v>
      </c>
      <c r="O10" s="1">
        <v>298758</v>
      </c>
      <c r="P10" s="1">
        <v>130000</v>
      </c>
      <c r="R10" s="1">
        <v>0</v>
      </c>
      <c r="S10" s="1">
        <v>0</v>
      </c>
      <c r="U10" s="1">
        <v>0</v>
      </c>
      <c r="V10" s="9">
        <v>0</v>
      </c>
    </row>
    <row r="11" spans="1:22">
      <c r="A11" s="1" t="s">
        <v>18</v>
      </c>
      <c r="B11" s="6">
        <v>56291.65827041179</v>
      </c>
      <c r="C11" s="1">
        <v>570410.38157304167</v>
      </c>
      <c r="D11" s="1">
        <v>0</v>
      </c>
      <c r="E11" s="1">
        <v>0</v>
      </c>
      <c r="F11" s="1">
        <v>0</v>
      </c>
      <c r="G11" s="9">
        <f>SUM(CO_FINANCIAL)</f>
        <v>626702.03984345344</v>
      </c>
      <c r="I11" s="13"/>
      <c r="J11" s="16"/>
      <c r="L11" s="6">
        <v>0</v>
      </c>
      <c r="M11" s="1">
        <v>0</v>
      </c>
      <c r="O11" s="1">
        <v>125000</v>
      </c>
      <c r="P11" s="1">
        <v>60000</v>
      </c>
      <c r="R11" s="1">
        <v>0</v>
      </c>
      <c r="S11" s="1">
        <v>0</v>
      </c>
      <c r="U11" s="1">
        <v>0</v>
      </c>
      <c r="V11" s="9">
        <v>0</v>
      </c>
    </row>
    <row r="12" spans="1:22">
      <c r="A12" s="1" t="s">
        <v>19</v>
      </c>
      <c r="B12" s="6">
        <v>0</v>
      </c>
      <c r="C12" s="1">
        <v>11164.114661889449</v>
      </c>
      <c r="D12" s="1">
        <v>0</v>
      </c>
      <c r="E12" s="1">
        <v>0</v>
      </c>
      <c r="F12" s="1">
        <v>0</v>
      </c>
      <c r="G12" s="9">
        <f>SUM(CT_FINANCIAL)</f>
        <v>11164.114661889449</v>
      </c>
      <c r="I12" s="13" t="s">
        <v>20</v>
      </c>
      <c r="J12" s="16"/>
      <c r="L12" s="6"/>
      <c r="V12" s="9"/>
    </row>
    <row r="13" spans="1:22">
      <c r="A13" s="1" t="s">
        <v>21</v>
      </c>
      <c r="B13" s="6">
        <v>0</v>
      </c>
      <c r="C13" s="1">
        <v>4559.5330385745201</v>
      </c>
      <c r="D13" s="1">
        <v>0</v>
      </c>
      <c r="E13" s="1">
        <v>0</v>
      </c>
      <c r="F13" s="1">
        <v>0</v>
      </c>
      <c r="G13" s="9">
        <f>SUM(DE_FINANCIAL)</f>
        <v>4559.5330385745201</v>
      </c>
      <c r="I13" s="13" t="s">
        <v>22</v>
      </c>
      <c r="J13" s="16">
        <v>0</v>
      </c>
      <c r="L13" s="6">
        <v>0</v>
      </c>
      <c r="M13" s="1">
        <v>0</v>
      </c>
      <c r="O13" s="1">
        <v>10500</v>
      </c>
      <c r="P13" s="1">
        <v>0</v>
      </c>
      <c r="R13" s="1">
        <v>0</v>
      </c>
      <c r="S13" s="1">
        <v>0</v>
      </c>
      <c r="U13" s="1">
        <v>0</v>
      </c>
      <c r="V13" s="9">
        <v>0</v>
      </c>
    </row>
    <row r="14" spans="1:22">
      <c r="A14" s="1" t="s">
        <v>23</v>
      </c>
      <c r="B14" s="6">
        <v>0</v>
      </c>
      <c r="C14" s="1">
        <v>0</v>
      </c>
      <c r="D14" s="1">
        <v>0</v>
      </c>
      <c r="E14" s="1">
        <v>0</v>
      </c>
      <c r="F14" s="1">
        <v>0</v>
      </c>
      <c r="G14" s="9">
        <f>SUM(DC_FINANCIAL)</f>
        <v>0</v>
      </c>
      <c r="I14" s="13" t="s">
        <v>24</v>
      </c>
      <c r="J14" s="16">
        <v>0</v>
      </c>
      <c r="L14" s="6"/>
      <c r="V14" s="9"/>
    </row>
    <row r="15" spans="1:22">
      <c r="A15" s="1" t="s">
        <v>25</v>
      </c>
      <c r="B15" s="6">
        <v>37796.885037794142</v>
      </c>
      <c r="C15" s="1">
        <v>1232498.4478503249</v>
      </c>
      <c r="D15" s="1">
        <v>0</v>
      </c>
      <c r="E15" s="1">
        <v>0</v>
      </c>
      <c r="F15" s="1">
        <v>0</v>
      </c>
      <c r="G15" s="9">
        <f>SUM(FL_FINANCIAL)</f>
        <v>1270295.3328881192</v>
      </c>
      <c r="I15" s="13" t="s">
        <v>26</v>
      </c>
      <c r="J15" s="16">
        <v>1707228.62</v>
      </c>
      <c r="L15" s="6">
        <v>140100</v>
      </c>
      <c r="M15" s="1">
        <v>0</v>
      </c>
      <c r="O15" s="1">
        <v>1600000</v>
      </c>
      <c r="P15" s="1">
        <v>0</v>
      </c>
      <c r="R15" s="1">
        <v>0</v>
      </c>
      <c r="S15" s="1">
        <v>0</v>
      </c>
      <c r="U15" s="1">
        <v>0</v>
      </c>
      <c r="V15" s="9">
        <v>0</v>
      </c>
    </row>
    <row r="16" spans="1:22">
      <c r="A16" s="1" t="s">
        <v>27</v>
      </c>
      <c r="B16" s="6">
        <v>45430.692084968854</v>
      </c>
      <c r="C16" s="1">
        <v>588879.34288418107</v>
      </c>
      <c r="D16" s="1">
        <v>0</v>
      </c>
      <c r="E16" s="1">
        <v>0</v>
      </c>
      <c r="F16" s="1">
        <v>0</v>
      </c>
      <c r="G16" s="9">
        <f>SUM(GA_FINANCIAL)</f>
        <v>634310.03496914997</v>
      </c>
      <c r="I16" s="13" t="s">
        <v>28</v>
      </c>
      <c r="J16" s="16">
        <v>0</v>
      </c>
      <c r="L16" s="6">
        <v>64460</v>
      </c>
      <c r="M16" s="1">
        <v>0</v>
      </c>
      <c r="O16" s="1">
        <v>935540</v>
      </c>
      <c r="P16" s="1">
        <v>45913.35</v>
      </c>
      <c r="R16" s="1">
        <v>0</v>
      </c>
      <c r="S16" s="1">
        <v>0</v>
      </c>
      <c r="U16" s="1">
        <v>0</v>
      </c>
      <c r="V16" s="9">
        <v>0</v>
      </c>
    </row>
    <row r="17" spans="1:22">
      <c r="A17" s="1" t="s">
        <v>29</v>
      </c>
      <c r="B17" s="6">
        <v>0</v>
      </c>
      <c r="C17" s="1">
        <v>0</v>
      </c>
      <c r="D17" s="1">
        <v>0</v>
      </c>
      <c r="E17" s="1">
        <v>0</v>
      </c>
      <c r="F17" s="1">
        <v>0</v>
      </c>
      <c r="G17" s="9">
        <f>SUM(HI_FINANCIAL)</f>
        <v>0</v>
      </c>
      <c r="I17" s="13"/>
      <c r="J17" s="16"/>
      <c r="L17" s="6"/>
      <c r="V17" s="9"/>
    </row>
    <row r="18" spans="1:22">
      <c r="A18" s="1" t="s">
        <v>30</v>
      </c>
      <c r="B18" s="6">
        <v>12113.018123164646</v>
      </c>
      <c r="C18" s="1">
        <v>432837.9705067313</v>
      </c>
      <c r="D18" s="1">
        <v>0</v>
      </c>
      <c r="E18" s="1">
        <v>0</v>
      </c>
      <c r="F18" s="1">
        <v>0</v>
      </c>
      <c r="G18" s="9">
        <f>SUM(ID_FINANCIAL)</f>
        <v>444950.98862989596</v>
      </c>
      <c r="I18" s="13" t="s">
        <v>31</v>
      </c>
      <c r="J18" s="16"/>
      <c r="L18" s="6">
        <v>22330</v>
      </c>
      <c r="M18" s="1">
        <v>0</v>
      </c>
      <c r="O18" s="1">
        <v>677670</v>
      </c>
      <c r="P18" s="1">
        <v>0</v>
      </c>
      <c r="R18" s="1">
        <v>0</v>
      </c>
      <c r="S18" s="1">
        <v>0</v>
      </c>
      <c r="U18" s="1">
        <v>0</v>
      </c>
      <c r="V18" s="9">
        <v>0</v>
      </c>
    </row>
    <row r="19" spans="1:22">
      <c r="A19" s="1" t="s">
        <v>32</v>
      </c>
      <c r="B19" s="6">
        <v>30251.278544995592</v>
      </c>
      <c r="C19" s="1">
        <v>432977.4499570136</v>
      </c>
      <c r="D19" s="1">
        <v>0</v>
      </c>
      <c r="E19" s="1">
        <v>0</v>
      </c>
      <c r="F19" s="1">
        <v>0</v>
      </c>
      <c r="G19" s="9">
        <f>SUM(IL_FINANCIAL)</f>
        <v>463228.72850200918</v>
      </c>
      <c r="I19" s="13" t="s">
        <v>33</v>
      </c>
      <c r="J19" s="16">
        <v>176081408.505</v>
      </c>
      <c r="L19" s="6">
        <v>75000</v>
      </c>
      <c r="M19" s="1">
        <v>0</v>
      </c>
      <c r="O19" s="1">
        <v>750000</v>
      </c>
      <c r="P19" s="1">
        <v>200000</v>
      </c>
      <c r="R19" s="1">
        <v>0</v>
      </c>
      <c r="S19" s="1">
        <v>0</v>
      </c>
      <c r="U19" s="1">
        <v>0</v>
      </c>
      <c r="V19" s="9">
        <v>0</v>
      </c>
    </row>
    <row r="20" spans="1:22">
      <c r="A20" s="1" t="s">
        <v>34</v>
      </c>
      <c r="B20" s="6">
        <v>51620.402225595353</v>
      </c>
      <c r="C20" s="1">
        <v>582272.31157752243</v>
      </c>
      <c r="D20" s="1">
        <v>0</v>
      </c>
      <c r="E20" s="1">
        <v>0</v>
      </c>
      <c r="F20" s="1">
        <v>0</v>
      </c>
      <c r="G20" s="9">
        <f>SUM(IN_FINANCIAL)</f>
        <v>633892.71380311775</v>
      </c>
      <c r="I20" s="13" t="s">
        <v>35</v>
      </c>
      <c r="J20" s="16">
        <v>250452.43500007124</v>
      </c>
      <c r="L20" s="6"/>
      <c r="V20" s="9"/>
    </row>
    <row r="21" spans="1:22">
      <c r="A21" s="1" t="s">
        <v>36</v>
      </c>
      <c r="B21" s="6">
        <v>0</v>
      </c>
      <c r="C21" s="1">
        <v>-4.6566128730773926E-10</v>
      </c>
      <c r="D21" s="1">
        <v>0</v>
      </c>
      <c r="E21" s="1">
        <v>0</v>
      </c>
      <c r="F21" s="1">
        <v>0</v>
      </c>
      <c r="G21" s="9">
        <f>SUM(IA_FINANCIAL)</f>
        <v>-4.6566128730773926E-10</v>
      </c>
      <c r="I21" s="13" t="s">
        <v>37</v>
      </c>
      <c r="J21" s="16"/>
      <c r="L21" s="6"/>
      <c r="V21" s="9"/>
    </row>
    <row r="22" spans="1:22">
      <c r="A22" s="1" t="s">
        <v>38</v>
      </c>
      <c r="B22" s="6">
        <v>10961.873710433116</v>
      </c>
      <c r="C22" s="1">
        <v>216885.59256377228</v>
      </c>
      <c r="D22" s="1">
        <v>0</v>
      </c>
      <c r="E22" s="1">
        <v>0</v>
      </c>
      <c r="F22" s="1">
        <v>0</v>
      </c>
      <c r="G22" s="9">
        <f>SUM(KS_FINANCIAL)</f>
        <v>227847.46627420539</v>
      </c>
      <c r="I22" s="13" t="s">
        <v>39</v>
      </c>
      <c r="J22" s="16">
        <v>0</v>
      </c>
      <c r="L22" s="6">
        <v>0</v>
      </c>
      <c r="M22" s="1">
        <v>0</v>
      </c>
      <c r="O22" s="1">
        <v>250000</v>
      </c>
      <c r="P22" s="1">
        <v>0</v>
      </c>
      <c r="R22" s="1">
        <v>0</v>
      </c>
      <c r="S22" s="1">
        <v>0</v>
      </c>
      <c r="U22" s="1">
        <v>0</v>
      </c>
      <c r="V22" s="9">
        <v>0</v>
      </c>
    </row>
    <row r="23" spans="1:22">
      <c r="A23" s="1" t="s">
        <v>40</v>
      </c>
      <c r="B23" s="6">
        <v>1264.0964243215658</v>
      </c>
      <c r="C23" s="1">
        <v>54984.063423921347</v>
      </c>
      <c r="D23" s="1">
        <v>0</v>
      </c>
      <c r="E23" s="1">
        <v>0</v>
      </c>
      <c r="F23" s="1">
        <v>0</v>
      </c>
      <c r="G23" s="9">
        <f>SUM(KY_FINANCIAL)</f>
        <v>56248.159848242911</v>
      </c>
      <c r="I23" s="13" t="s">
        <v>41</v>
      </c>
      <c r="J23" s="16"/>
      <c r="L23" s="6">
        <v>0</v>
      </c>
      <c r="M23" s="1">
        <v>0</v>
      </c>
      <c r="O23" s="1">
        <v>125172</v>
      </c>
      <c r="P23" s="1">
        <v>60390</v>
      </c>
      <c r="R23" s="1">
        <v>0</v>
      </c>
      <c r="S23" s="1">
        <v>0</v>
      </c>
      <c r="U23" s="1">
        <v>0</v>
      </c>
      <c r="V23" s="9">
        <v>0</v>
      </c>
    </row>
    <row r="24" spans="1:22">
      <c r="A24" s="1" t="s">
        <v>42</v>
      </c>
      <c r="B24" s="6">
        <v>0</v>
      </c>
      <c r="C24" s="1">
        <v>77012.260869034304</v>
      </c>
      <c r="D24" s="1">
        <v>0</v>
      </c>
      <c r="E24" s="1">
        <v>0</v>
      </c>
      <c r="F24" s="1">
        <v>0</v>
      </c>
      <c r="G24" s="9">
        <f>SUM(LA_FINANCIAL)</f>
        <v>77012.260869034304</v>
      </c>
      <c r="I24" s="13" t="s">
        <v>43</v>
      </c>
      <c r="J24" s="16">
        <v>5138282.9999999991</v>
      </c>
      <c r="L24" s="6">
        <v>5650</v>
      </c>
      <c r="M24" s="1">
        <v>0</v>
      </c>
      <c r="O24" s="1">
        <v>107350</v>
      </c>
      <c r="P24" s="1">
        <v>0</v>
      </c>
      <c r="R24" s="1">
        <v>0</v>
      </c>
      <c r="S24" s="1">
        <v>0</v>
      </c>
      <c r="U24" s="1">
        <v>0</v>
      </c>
      <c r="V24" s="9">
        <v>0</v>
      </c>
    </row>
    <row r="25" spans="1:22">
      <c r="A25" s="1" t="s">
        <v>44</v>
      </c>
      <c r="B25" s="6">
        <v>8811.5221343022404</v>
      </c>
      <c r="C25" s="1">
        <v>180810.33867395355</v>
      </c>
      <c r="D25" s="1">
        <v>0</v>
      </c>
      <c r="E25" s="1">
        <v>0</v>
      </c>
      <c r="F25" s="1">
        <v>0</v>
      </c>
      <c r="G25" s="9">
        <f>SUM(ME_FINANCIAL)</f>
        <v>189621.86080825579</v>
      </c>
      <c r="I25" s="13"/>
      <c r="J25" s="16"/>
      <c r="L25" s="6">
        <v>12350</v>
      </c>
      <c r="M25" s="1">
        <v>0</v>
      </c>
      <c r="O25" s="1">
        <v>292650</v>
      </c>
      <c r="P25" s="1">
        <v>0</v>
      </c>
      <c r="R25" s="1">
        <v>0</v>
      </c>
      <c r="S25" s="1">
        <v>0</v>
      </c>
      <c r="U25" s="1">
        <v>0</v>
      </c>
      <c r="V25" s="9">
        <v>0</v>
      </c>
    </row>
    <row r="26" spans="1:22">
      <c r="A26" s="1" t="s">
        <v>45</v>
      </c>
      <c r="B26" s="6">
        <v>3359.7728076700696</v>
      </c>
      <c r="C26" s="1">
        <v>35741.119168891004</v>
      </c>
      <c r="D26" s="1">
        <v>0</v>
      </c>
      <c r="E26" s="1">
        <v>0</v>
      </c>
      <c r="F26" s="1">
        <v>0</v>
      </c>
      <c r="G26" s="9">
        <f>SUM(MD_FINANCIAL)</f>
        <v>39100.891976561077</v>
      </c>
      <c r="I26" s="13" t="s">
        <v>46</v>
      </c>
      <c r="J26" s="16">
        <f>SUM(ADD_FINANCIAL)-SUM(LESS_FINANCIAL)</f>
        <v>11176635.619999945</v>
      </c>
      <c r="L26" s="6">
        <v>4000</v>
      </c>
      <c r="M26" s="1">
        <v>0</v>
      </c>
      <c r="O26" s="1">
        <v>66000</v>
      </c>
      <c r="P26" s="1">
        <v>0</v>
      </c>
      <c r="R26" s="1">
        <v>0</v>
      </c>
      <c r="S26" s="1">
        <v>0</v>
      </c>
      <c r="U26" s="1">
        <v>0</v>
      </c>
      <c r="V26" s="9">
        <v>0</v>
      </c>
    </row>
    <row r="27" spans="1:22">
      <c r="A27" s="1" t="s">
        <v>47</v>
      </c>
      <c r="B27" s="6">
        <v>0</v>
      </c>
      <c r="C27" s="1">
        <v>0</v>
      </c>
      <c r="D27" s="1">
        <v>0</v>
      </c>
      <c r="E27" s="1">
        <v>0</v>
      </c>
      <c r="F27" s="1">
        <v>0</v>
      </c>
      <c r="G27" s="9">
        <f>SUM(MA_FINANCIAL)</f>
        <v>0</v>
      </c>
      <c r="I27" s="13" t="s">
        <v>48</v>
      </c>
      <c r="J27" s="16">
        <f>SUM(ALL_BLOCKS)</f>
        <v>11176635.619999932</v>
      </c>
      <c r="L27" s="6"/>
      <c r="V27" s="9"/>
    </row>
    <row r="28" spans="1:22">
      <c r="A28" s="1" t="s">
        <v>49</v>
      </c>
      <c r="B28" s="6">
        <v>0</v>
      </c>
      <c r="C28" s="1">
        <v>0</v>
      </c>
      <c r="D28" s="1">
        <v>0</v>
      </c>
      <c r="E28" s="1">
        <v>0</v>
      </c>
      <c r="F28" s="1">
        <v>0</v>
      </c>
      <c r="G28" s="9">
        <f>SUM(MI_FINANCIAL)</f>
        <v>0</v>
      </c>
      <c r="I28" s="14"/>
      <c r="J28" s="17"/>
      <c r="L28" s="6"/>
      <c r="V28" s="9"/>
    </row>
    <row r="29" spans="1:22">
      <c r="A29" s="1" t="s">
        <v>50</v>
      </c>
      <c r="B29" s="6">
        <v>0</v>
      </c>
      <c r="C29" s="1">
        <v>0</v>
      </c>
      <c r="D29" s="1">
        <v>0</v>
      </c>
      <c r="E29" s="1">
        <v>0</v>
      </c>
      <c r="F29" s="1">
        <v>0</v>
      </c>
      <c r="G29" s="9">
        <f>SUM(MN_FINANCIAL)</f>
        <v>0</v>
      </c>
      <c r="L29" s="6"/>
      <c r="V29" s="9"/>
    </row>
    <row r="30" spans="1:22">
      <c r="A30" s="1" t="s">
        <v>51</v>
      </c>
      <c r="B30" s="6">
        <v>0</v>
      </c>
      <c r="C30" s="1">
        <v>56247.356603770459</v>
      </c>
      <c r="D30" s="1">
        <v>0</v>
      </c>
      <c r="E30" s="1">
        <v>0</v>
      </c>
      <c r="F30" s="1">
        <v>0</v>
      </c>
      <c r="G30" s="9">
        <f>SUM(MS_FINANCIAL)</f>
        <v>56247.356603770459</v>
      </c>
      <c r="L30" s="6">
        <v>0</v>
      </c>
      <c r="M30" s="1">
        <v>0</v>
      </c>
      <c r="O30" s="1">
        <v>54422</v>
      </c>
      <c r="P30" s="1">
        <v>0</v>
      </c>
      <c r="R30" s="1">
        <v>0</v>
      </c>
      <c r="S30" s="1">
        <v>0</v>
      </c>
      <c r="U30" s="1">
        <v>0</v>
      </c>
      <c r="V30" s="9">
        <v>0</v>
      </c>
    </row>
    <row r="31" spans="1:22">
      <c r="A31" s="1" t="s">
        <v>52</v>
      </c>
      <c r="B31" s="6">
        <v>18298.32239196889</v>
      </c>
      <c r="C31" s="1">
        <v>774056.65162775887</v>
      </c>
      <c r="D31" s="1">
        <v>0</v>
      </c>
      <c r="E31" s="1">
        <v>0</v>
      </c>
      <c r="F31" s="1">
        <v>0</v>
      </c>
      <c r="G31" s="9">
        <f>SUM(MO_FINANCIAL)</f>
        <v>792354.97401972779</v>
      </c>
      <c r="L31" s="6">
        <v>0</v>
      </c>
      <c r="M31" s="1">
        <v>0</v>
      </c>
      <c r="O31" s="1">
        <v>1852021</v>
      </c>
      <c r="P31" s="1">
        <v>0</v>
      </c>
      <c r="R31" s="1">
        <v>0</v>
      </c>
      <c r="S31" s="1">
        <v>0</v>
      </c>
      <c r="U31" s="1">
        <v>0</v>
      </c>
      <c r="V31" s="9">
        <v>0</v>
      </c>
    </row>
    <row r="32" spans="1:22">
      <c r="A32" s="1" t="s">
        <v>53</v>
      </c>
      <c r="B32" s="6">
        <v>286.41942255182676</v>
      </c>
      <c r="C32" s="1">
        <v>107377.88777935733</v>
      </c>
      <c r="D32" s="1">
        <v>0</v>
      </c>
      <c r="E32" s="1">
        <v>0</v>
      </c>
      <c r="F32" s="1">
        <v>0</v>
      </c>
      <c r="G32" s="9">
        <f>SUM(MT_FINANCIAL)</f>
        <v>107664.30720190916</v>
      </c>
      <c r="L32" s="6">
        <v>0</v>
      </c>
      <c r="M32" s="1">
        <v>0</v>
      </c>
      <c r="O32" s="1">
        <v>160000</v>
      </c>
      <c r="P32" s="1">
        <v>0</v>
      </c>
      <c r="R32" s="1">
        <v>0</v>
      </c>
      <c r="S32" s="1">
        <v>0</v>
      </c>
      <c r="U32" s="1">
        <v>0</v>
      </c>
      <c r="V32" s="9">
        <v>0</v>
      </c>
    </row>
    <row r="33" spans="1:22">
      <c r="A33" s="1" t="s">
        <v>54</v>
      </c>
      <c r="B33" s="6">
        <v>14954.441321092085</v>
      </c>
      <c r="C33" s="1">
        <v>455785.42797848268</v>
      </c>
      <c r="D33" s="1">
        <v>0</v>
      </c>
      <c r="E33" s="1">
        <v>0</v>
      </c>
      <c r="F33" s="1">
        <v>0</v>
      </c>
      <c r="G33" s="9">
        <f>SUM(NE_FINANCIAL)</f>
        <v>470739.86929957476</v>
      </c>
      <c r="L33" s="6">
        <v>23000</v>
      </c>
      <c r="M33" s="1">
        <v>0</v>
      </c>
      <c r="O33" s="1">
        <v>747728</v>
      </c>
      <c r="P33" s="1">
        <v>0</v>
      </c>
      <c r="R33" s="1">
        <v>0</v>
      </c>
      <c r="S33" s="1">
        <v>0</v>
      </c>
      <c r="U33" s="1">
        <v>0</v>
      </c>
      <c r="V33" s="9">
        <v>0</v>
      </c>
    </row>
    <row r="34" spans="1:22">
      <c r="A34" s="1" t="s">
        <v>55</v>
      </c>
      <c r="B34" s="6">
        <v>6517.7295116900059</v>
      </c>
      <c r="C34" s="1">
        <v>79482.847731417656</v>
      </c>
      <c r="D34" s="1">
        <v>0</v>
      </c>
      <c r="E34" s="1">
        <v>0</v>
      </c>
      <c r="F34" s="1">
        <v>0</v>
      </c>
      <c r="G34" s="9">
        <f>SUM(NV_FINANCIAL)</f>
        <v>86000.577243107662</v>
      </c>
      <c r="L34" s="6">
        <v>6900</v>
      </c>
      <c r="M34" s="1">
        <v>0</v>
      </c>
      <c r="O34" s="1">
        <v>91000</v>
      </c>
      <c r="P34" s="1">
        <v>0</v>
      </c>
      <c r="R34" s="1">
        <v>0</v>
      </c>
      <c r="S34" s="1">
        <v>0</v>
      </c>
      <c r="U34" s="1">
        <v>0</v>
      </c>
      <c r="V34" s="9">
        <v>0</v>
      </c>
    </row>
    <row r="35" spans="1:22">
      <c r="A35" s="1" t="s">
        <v>56</v>
      </c>
      <c r="B35" s="6">
        <v>0</v>
      </c>
      <c r="C35" s="1">
        <v>72467.262056729684</v>
      </c>
      <c r="D35" s="1">
        <v>0</v>
      </c>
      <c r="E35" s="1">
        <v>0</v>
      </c>
      <c r="F35" s="1">
        <v>0</v>
      </c>
      <c r="G35" s="9">
        <f>SUM(NH_FINANCIAL)</f>
        <v>72467.262056729684</v>
      </c>
      <c r="L35" s="6">
        <v>0</v>
      </c>
      <c r="M35" s="1">
        <v>0</v>
      </c>
      <c r="O35" s="1">
        <v>100000</v>
      </c>
      <c r="P35" s="1">
        <v>0</v>
      </c>
      <c r="R35" s="1">
        <v>0</v>
      </c>
      <c r="S35" s="1">
        <v>0</v>
      </c>
      <c r="U35" s="1">
        <v>0</v>
      </c>
      <c r="V35" s="9">
        <v>0</v>
      </c>
    </row>
    <row r="36" spans="1:22">
      <c r="A36" s="1" t="s">
        <v>57</v>
      </c>
      <c r="B36" s="6">
        <v>0</v>
      </c>
      <c r="C36" s="1">
        <v>-9.3132257461547852E-10</v>
      </c>
      <c r="D36" s="1">
        <v>0</v>
      </c>
      <c r="E36" s="1">
        <v>0</v>
      </c>
      <c r="F36" s="1">
        <v>0</v>
      </c>
      <c r="G36" s="9">
        <f>SUM(NJ_FINANCIAL)</f>
        <v>-9.3132257461547852E-10</v>
      </c>
      <c r="L36" s="6"/>
      <c r="V36" s="9"/>
    </row>
    <row r="37" spans="1:22">
      <c r="A37" s="1" t="s">
        <v>58</v>
      </c>
      <c r="B37" s="6">
        <v>568.10571212911225</v>
      </c>
      <c r="C37" s="1">
        <v>194889.64403849823</v>
      </c>
      <c r="D37" s="1">
        <v>0</v>
      </c>
      <c r="E37" s="1">
        <v>0</v>
      </c>
      <c r="F37" s="1">
        <v>0</v>
      </c>
      <c r="G37" s="9">
        <f>SUM(NM_FINANCIAL)</f>
        <v>195457.74975062735</v>
      </c>
      <c r="L37" s="6"/>
      <c r="V37" s="9"/>
    </row>
    <row r="38" spans="1:22">
      <c r="A38" s="1" t="s">
        <v>59</v>
      </c>
      <c r="B38" s="6">
        <v>0</v>
      </c>
      <c r="C38" s="1">
        <v>0</v>
      </c>
      <c r="D38" s="1">
        <v>0</v>
      </c>
      <c r="E38" s="1">
        <v>0</v>
      </c>
      <c r="F38" s="1">
        <v>0</v>
      </c>
      <c r="G38" s="9">
        <f>SUM(NY_FINANCIAL)</f>
        <v>0</v>
      </c>
      <c r="L38" s="6"/>
      <c r="V38" s="9"/>
    </row>
    <row r="39" spans="1:22">
      <c r="A39" s="1" t="s">
        <v>60</v>
      </c>
      <c r="B39" s="6">
        <v>0</v>
      </c>
      <c r="C39" s="1">
        <v>0</v>
      </c>
      <c r="D39" s="1">
        <v>0</v>
      </c>
      <c r="E39" s="1">
        <v>0</v>
      </c>
      <c r="F39" s="1">
        <v>0</v>
      </c>
      <c r="G39" s="9">
        <f>SUM(NC_FINANCIAL)</f>
        <v>0</v>
      </c>
      <c r="L39" s="6"/>
      <c r="V39" s="9"/>
    </row>
    <row r="40" spans="1:22">
      <c r="A40" s="1" t="s">
        <v>61</v>
      </c>
      <c r="B40" s="6">
        <v>0</v>
      </c>
      <c r="C40" s="1">
        <v>0</v>
      </c>
      <c r="D40" s="1">
        <v>0</v>
      </c>
      <c r="E40" s="1">
        <v>0</v>
      </c>
      <c r="F40" s="1">
        <v>0</v>
      </c>
      <c r="G40" s="9">
        <f>SUM(ND_FINANCIAL)</f>
        <v>0</v>
      </c>
      <c r="L40" s="6"/>
      <c r="V40" s="9"/>
    </row>
    <row r="41" spans="1:22">
      <c r="A41" s="1" t="s">
        <v>62</v>
      </c>
      <c r="B41" s="6">
        <v>93769.819181190411</v>
      </c>
      <c r="C41" s="1">
        <v>789102.28498801915</v>
      </c>
      <c r="D41" s="1">
        <v>0</v>
      </c>
      <c r="E41" s="1">
        <v>0</v>
      </c>
      <c r="F41" s="1">
        <v>0</v>
      </c>
      <c r="G41" s="9">
        <f>SUM(OH_FINANCIAL)</f>
        <v>882872.1041692096</v>
      </c>
      <c r="L41" s="6">
        <v>130000</v>
      </c>
      <c r="M41" s="1">
        <v>0</v>
      </c>
      <c r="O41" s="1">
        <v>1070000</v>
      </c>
      <c r="P41" s="1">
        <v>0</v>
      </c>
      <c r="R41" s="1">
        <v>0</v>
      </c>
      <c r="S41" s="1">
        <v>0</v>
      </c>
      <c r="U41" s="1">
        <v>0</v>
      </c>
      <c r="V41" s="9">
        <v>0</v>
      </c>
    </row>
    <row r="42" spans="1:22">
      <c r="A42" s="1" t="s">
        <v>63</v>
      </c>
      <c r="B42" s="6">
        <v>0</v>
      </c>
      <c r="C42" s="1">
        <v>284681.77318788919</v>
      </c>
      <c r="D42" s="1">
        <v>0</v>
      </c>
      <c r="E42" s="1">
        <v>0</v>
      </c>
      <c r="F42" s="1">
        <v>0</v>
      </c>
      <c r="G42" s="9">
        <f>SUM(OK_FINANCIAL)</f>
        <v>284681.77318788919</v>
      </c>
      <c r="L42" s="6">
        <v>0</v>
      </c>
      <c r="M42" s="1">
        <v>0</v>
      </c>
      <c r="O42" s="1">
        <v>600000</v>
      </c>
      <c r="P42" s="1">
        <v>200000</v>
      </c>
      <c r="R42" s="1">
        <v>0</v>
      </c>
      <c r="S42" s="1">
        <v>0</v>
      </c>
      <c r="U42" s="1">
        <v>0</v>
      </c>
      <c r="V42" s="9">
        <v>0</v>
      </c>
    </row>
    <row r="43" spans="1:22">
      <c r="A43" s="1" t="s">
        <v>64</v>
      </c>
      <c r="B43" s="6">
        <v>0</v>
      </c>
      <c r="C43" s="1">
        <v>29376.097375355406</v>
      </c>
      <c r="D43" s="1">
        <v>0</v>
      </c>
      <c r="E43" s="1">
        <v>0</v>
      </c>
      <c r="F43" s="1">
        <v>0</v>
      </c>
      <c r="G43" s="9">
        <f>SUM(OR_FINANCIAL)</f>
        <v>29376.097375355406</v>
      </c>
      <c r="L43" s="6"/>
      <c r="V43" s="9"/>
    </row>
    <row r="44" spans="1:22">
      <c r="A44" s="1" t="s">
        <v>65</v>
      </c>
      <c r="B44" s="6">
        <v>0</v>
      </c>
      <c r="C44" s="1">
        <v>0</v>
      </c>
      <c r="D44" s="1">
        <v>0</v>
      </c>
      <c r="E44" s="1">
        <v>0</v>
      </c>
      <c r="F44" s="1">
        <v>0</v>
      </c>
      <c r="G44" s="9">
        <f>SUM(PA_FINANCIAL)</f>
        <v>0</v>
      </c>
      <c r="L44" s="6"/>
      <c r="V44" s="9"/>
    </row>
    <row r="45" spans="1:22">
      <c r="A45" s="1" t="s">
        <v>66</v>
      </c>
      <c r="B45" s="6">
        <v>0</v>
      </c>
      <c r="C45" s="1">
        <v>0</v>
      </c>
      <c r="D45" s="1">
        <v>0</v>
      </c>
      <c r="E45" s="1">
        <v>0</v>
      </c>
      <c r="F45" s="1">
        <v>0</v>
      </c>
      <c r="G45" s="9">
        <f>SUM(PR_FINANCIAL)</f>
        <v>0</v>
      </c>
      <c r="L45" s="6"/>
      <c r="V45" s="9"/>
    </row>
    <row r="46" spans="1:22">
      <c r="A46" s="1" t="s">
        <v>67</v>
      </c>
      <c r="B46" s="6">
        <v>0</v>
      </c>
      <c r="C46" s="1">
        <v>2319.4595470287577</v>
      </c>
      <c r="D46" s="1">
        <v>0</v>
      </c>
      <c r="E46" s="1">
        <v>0</v>
      </c>
      <c r="F46" s="1">
        <v>0</v>
      </c>
      <c r="G46" s="9">
        <f>SUM(RI_FINANCIAL)</f>
        <v>2319.4595470287577</v>
      </c>
      <c r="L46" s="6"/>
      <c r="V46" s="9"/>
    </row>
    <row r="47" spans="1:22">
      <c r="A47" s="1" t="s">
        <v>68</v>
      </c>
      <c r="B47" s="6">
        <v>0</v>
      </c>
      <c r="C47" s="1">
        <v>195662.30622008836</v>
      </c>
      <c r="D47" s="1">
        <v>0</v>
      </c>
      <c r="E47" s="1">
        <v>0</v>
      </c>
      <c r="F47" s="1">
        <v>0</v>
      </c>
      <c r="G47" s="9">
        <f>SUM(SC_FINANCIAL)</f>
        <v>195662.30622008836</v>
      </c>
      <c r="L47" s="6">
        <v>0</v>
      </c>
      <c r="M47" s="1">
        <v>0</v>
      </c>
      <c r="O47" s="1">
        <v>200000</v>
      </c>
      <c r="P47" s="1">
        <v>0</v>
      </c>
      <c r="R47" s="1">
        <v>0</v>
      </c>
      <c r="S47" s="1">
        <v>0</v>
      </c>
      <c r="U47" s="1">
        <v>0</v>
      </c>
      <c r="V47" s="9">
        <v>0</v>
      </c>
    </row>
    <row r="48" spans="1:22">
      <c r="A48" s="1" t="s">
        <v>69</v>
      </c>
      <c r="B48" s="6">
        <v>0</v>
      </c>
      <c r="C48" s="1">
        <v>0</v>
      </c>
      <c r="D48" s="1">
        <v>0</v>
      </c>
      <c r="E48" s="1">
        <v>0</v>
      </c>
      <c r="F48" s="1">
        <v>0</v>
      </c>
      <c r="G48" s="9">
        <f>SUM(SD_FINANCIAL)</f>
        <v>0</v>
      </c>
      <c r="L48" s="6"/>
      <c r="V48" s="9"/>
    </row>
    <row r="49" spans="1:22">
      <c r="A49" s="1" t="s">
        <v>70</v>
      </c>
      <c r="B49" s="6">
        <v>1690.1590616221431</v>
      </c>
      <c r="C49" s="1">
        <v>79428.896408618282</v>
      </c>
      <c r="D49" s="1">
        <v>0</v>
      </c>
      <c r="E49" s="1">
        <v>0</v>
      </c>
      <c r="F49" s="1">
        <v>0</v>
      </c>
      <c r="G49" s="9">
        <f>SUM(TN_FINANCIAL)</f>
        <v>81119.055470240419</v>
      </c>
      <c r="L49" s="6">
        <v>10000</v>
      </c>
      <c r="M49" s="1">
        <v>0</v>
      </c>
      <c r="O49" s="1">
        <v>115000</v>
      </c>
      <c r="P49" s="1">
        <v>0</v>
      </c>
      <c r="R49" s="1">
        <v>0</v>
      </c>
      <c r="S49" s="1">
        <v>0</v>
      </c>
      <c r="U49" s="1">
        <v>0</v>
      </c>
      <c r="V49" s="9">
        <v>0</v>
      </c>
    </row>
    <row r="50" spans="1:22">
      <c r="A50" s="1" t="s">
        <v>71</v>
      </c>
      <c r="B50" s="6">
        <v>56457.675564678735</v>
      </c>
      <c r="C50" s="1">
        <v>1214716.5862136623</v>
      </c>
      <c r="D50" s="1">
        <v>0</v>
      </c>
      <c r="E50" s="1">
        <v>0</v>
      </c>
      <c r="F50" s="1">
        <v>0</v>
      </c>
      <c r="G50" s="9">
        <f>SUM(TX_FINANCIAL)</f>
        <v>1271174.2617783411</v>
      </c>
      <c r="L50" s="6">
        <v>185265</v>
      </c>
      <c r="M50" s="1">
        <v>42450.53</v>
      </c>
      <c r="O50" s="1">
        <v>1924605</v>
      </c>
      <c r="P50" s="1">
        <v>441025.47000000003</v>
      </c>
      <c r="R50" s="1">
        <v>13</v>
      </c>
      <c r="S50" s="1">
        <v>1</v>
      </c>
      <c r="U50" s="1">
        <v>0</v>
      </c>
      <c r="V50" s="9">
        <v>0</v>
      </c>
    </row>
    <row r="51" spans="1:22">
      <c r="A51" s="1" t="s">
        <v>72</v>
      </c>
      <c r="B51" s="6">
        <v>7939.5715256585299</v>
      </c>
      <c r="C51" s="1">
        <v>51953.849844040844</v>
      </c>
      <c r="D51" s="1">
        <v>0</v>
      </c>
      <c r="E51" s="1">
        <v>0</v>
      </c>
      <c r="F51" s="1">
        <v>0</v>
      </c>
      <c r="G51" s="9">
        <f>SUM(UT_FINANCIAL)</f>
        <v>59893.421369699376</v>
      </c>
      <c r="L51" s="6">
        <v>29068</v>
      </c>
      <c r="M51" s="1">
        <v>0</v>
      </c>
      <c r="O51" s="1">
        <v>50931</v>
      </c>
      <c r="P51" s="1">
        <v>0</v>
      </c>
      <c r="R51" s="1">
        <v>0</v>
      </c>
      <c r="S51" s="1">
        <v>0</v>
      </c>
      <c r="U51" s="1">
        <v>0</v>
      </c>
      <c r="V51" s="9">
        <v>0</v>
      </c>
    </row>
    <row r="52" spans="1:22">
      <c r="A52" s="1" t="s">
        <v>73</v>
      </c>
      <c r="B52" s="6">
        <v>0</v>
      </c>
      <c r="C52" s="1">
        <v>0</v>
      </c>
      <c r="D52" s="1">
        <v>0</v>
      </c>
      <c r="E52" s="1">
        <v>0</v>
      </c>
      <c r="F52" s="1">
        <v>0</v>
      </c>
      <c r="G52" s="9">
        <f>SUM(VT_FINANCIAL)</f>
        <v>0</v>
      </c>
      <c r="L52" s="6"/>
      <c r="V52" s="9"/>
    </row>
    <row r="53" spans="1:22">
      <c r="A53" s="1" t="s">
        <v>74</v>
      </c>
      <c r="B53" s="6">
        <v>42711.789156096471</v>
      </c>
      <c r="C53" s="1">
        <v>390570.50765115384</v>
      </c>
      <c r="D53" s="1">
        <v>0</v>
      </c>
      <c r="E53" s="1">
        <v>0</v>
      </c>
      <c r="F53" s="1">
        <v>0</v>
      </c>
      <c r="G53" s="9">
        <f>SUM(VA_FINANCIAL)</f>
        <v>433282.2968072503</v>
      </c>
      <c r="L53" s="6">
        <v>67230</v>
      </c>
      <c r="M53" s="1">
        <v>0</v>
      </c>
      <c r="O53" s="1">
        <v>465271</v>
      </c>
      <c r="P53" s="1">
        <v>172914</v>
      </c>
      <c r="R53" s="1">
        <v>0</v>
      </c>
      <c r="S53" s="1">
        <v>0</v>
      </c>
      <c r="U53" s="1">
        <v>0</v>
      </c>
      <c r="V53" s="9">
        <v>0</v>
      </c>
    </row>
    <row r="54" spans="1:22">
      <c r="A54" s="1" t="s">
        <v>75</v>
      </c>
      <c r="B54" s="6">
        <v>0</v>
      </c>
      <c r="C54" s="1">
        <v>-4.6566128730773926E-10</v>
      </c>
      <c r="D54" s="1">
        <v>0</v>
      </c>
      <c r="E54" s="1">
        <v>0</v>
      </c>
      <c r="F54" s="1">
        <v>0</v>
      </c>
      <c r="G54" s="9">
        <f>SUM(WA_FINANCIAL)</f>
        <v>-4.6566128730773926E-10</v>
      </c>
      <c r="L54" s="6"/>
      <c r="V54" s="9"/>
    </row>
    <row r="55" spans="1:22">
      <c r="A55" s="1" t="s">
        <v>76</v>
      </c>
      <c r="B55" s="6">
        <v>0</v>
      </c>
      <c r="C55" s="1">
        <v>133347.76695481065</v>
      </c>
      <c r="D55" s="1">
        <v>0</v>
      </c>
      <c r="E55" s="1">
        <v>0</v>
      </c>
      <c r="F55" s="1">
        <v>0</v>
      </c>
      <c r="G55" s="9">
        <f>SUM(WV_FINANCIAL)</f>
        <v>133347.76695481065</v>
      </c>
      <c r="L55" s="6">
        <v>0</v>
      </c>
      <c r="M55" s="1">
        <v>0</v>
      </c>
      <c r="O55" s="1">
        <v>220000</v>
      </c>
      <c r="P55" s="1">
        <v>49006</v>
      </c>
      <c r="R55" s="1">
        <v>0</v>
      </c>
      <c r="S55" s="1">
        <v>0</v>
      </c>
      <c r="U55" s="1">
        <v>0</v>
      </c>
      <c r="V55" s="9">
        <v>0</v>
      </c>
    </row>
    <row r="56" spans="1:22">
      <c r="A56" s="1" t="s">
        <v>77</v>
      </c>
      <c r="B56" s="6">
        <v>0</v>
      </c>
      <c r="C56" s="1">
        <v>0</v>
      </c>
      <c r="D56" s="1">
        <v>0</v>
      </c>
      <c r="E56" s="1">
        <v>0</v>
      </c>
      <c r="F56" s="1">
        <v>0</v>
      </c>
      <c r="G56" s="9">
        <f>SUM(WI_FINANCIAL)</f>
        <v>0</v>
      </c>
      <c r="L56" s="6"/>
      <c r="V56" s="9"/>
    </row>
    <row r="57" spans="1:22">
      <c r="A57" s="1" t="s">
        <v>78</v>
      </c>
      <c r="B57" s="6">
        <v>0</v>
      </c>
      <c r="C57" s="1">
        <v>0</v>
      </c>
      <c r="D57" s="1">
        <v>0</v>
      </c>
      <c r="E57" s="1">
        <v>0</v>
      </c>
      <c r="F57" s="1">
        <v>0</v>
      </c>
      <c r="G57" s="9">
        <f>SUM(WY_FINANCIAL)</f>
        <v>0</v>
      </c>
      <c r="L57" s="6"/>
      <c r="V57" s="9"/>
    </row>
    <row r="58" spans="1:22">
      <c r="A58" s="1" t="s">
        <v>79</v>
      </c>
      <c r="B58" s="6">
        <v>0</v>
      </c>
      <c r="C58" s="1">
        <v>0</v>
      </c>
      <c r="D58" s="1">
        <v>0</v>
      </c>
      <c r="E58" s="1">
        <v>0</v>
      </c>
      <c r="F58" s="1">
        <v>0</v>
      </c>
      <c r="G58" s="9">
        <f>SUM(OT_FINANCIAL)</f>
        <v>0</v>
      </c>
      <c r="L58" s="6"/>
      <c r="V58" s="9"/>
    </row>
    <row r="59" spans="1:22">
      <c r="B59" s="6"/>
      <c r="G59" s="9"/>
      <c r="L59" s="6"/>
      <c r="V59" s="9"/>
    </row>
    <row r="60" spans="1:22">
      <c r="A60" s="1" t="s">
        <v>8</v>
      </c>
      <c r="B60" s="6">
        <f>SUM(LIFE)</f>
        <v>525995.35967304953</v>
      </c>
      <c r="C60" s="1">
        <f>SUM(ALLOCATED)</f>
        <v>10650640.260326877</v>
      </c>
      <c r="D60" s="1">
        <f>SUM(HEALTH)</f>
        <v>0</v>
      </c>
      <c r="E60" s="1">
        <f>SUM(UNALLOCATED)</f>
        <v>0</v>
      </c>
      <c r="F60" s="1">
        <f>SUM(LTC)</f>
        <v>0</v>
      </c>
      <c r="G60" s="9">
        <f>SUM(ALL_BLOCKS)</f>
        <v>11176635.619999932</v>
      </c>
      <c r="L60" s="6">
        <f>SUM(LIFE_CALLED)</f>
        <v>859210</v>
      </c>
      <c r="M60" s="1">
        <f>SUM(LIFE_REFUNDED)</f>
        <v>42450.53</v>
      </c>
      <c r="O60" s="1">
        <f>SUM(ALLOC_CALLED)</f>
        <v>13560314</v>
      </c>
      <c r="P60" s="1">
        <f>SUM(ALLOC_REFUNDED)</f>
        <v>1359248.82</v>
      </c>
      <c r="R60" s="1">
        <f>SUM(HEALTH_CALLED)</f>
        <v>53013</v>
      </c>
      <c r="S60" s="1">
        <f>SUM(HEALTH_REFUNDED)</f>
        <v>1</v>
      </c>
      <c r="U60" s="1">
        <f>SUM(UNALLOC_CALLED)</f>
        <v>0</v>
      </c>
      <c r="V60" s="9">
        <f>SUM(UNALLOC_REFUNDED)</f>
        <v>0</v>
      </c>
    </row>
    <row r="61" spans="1:22" ht="5.0999999999999996" customHeight="1">
      <c r="B61" s="6"/>
      <c r="G61" s="9"/>
      <c r="L61" s="6"/>
      <c r="V61" s="9"/>
    </row>
    <row r="62" spans="1:22">
      <c r="B62" s="6"/>
      <c r="G62" s="9"/>
      <c r="L62" s="78" t="s">
        <v>80</v>
      </c>
      <c r="M62" s="79"/>
      <c r="N62" s="79"/>
      <c r="O62" s="79"/>
      <c r="P62" s="79"/>
      <c r="Q62" s="79"/>
      <c r="R62" s="79"/>
      <c r="S62" s="79"/>
      <c r="T62" s="79"/>
      <c r="U62" s="79"/>
      <c r="V62" s="80"/>
    </row>
    <row r="63" spans="1:22">
      <c r="B63" s="6"/>
      <c r="G63" s="9"/>
      <c r="L63" s="81"/>
      <c r="M63" s="79"/>
      <c r="N63" s="79"/>
      <c r="O63" s="79"/>
      <c r="P63" s="79"/>
      <c r="Q63" s="79"/>
      <c r="R63" s="79"/>
      <c r="S63" s="79"/>
      <c r="T63" s="79"/>
      <c r="U63" s="79"/>
      <c r="V63" s="80"/>
    </row>
    <row r="64" spans="1:22">
      <c r="B64" s="8"/>
      <c r="C64" s="5"/>
      <c r="D64" s="5"/>
      <c r="E64" s="5"/>
      <c r="F64" s="5"/>
      <c r="G64" s="11"/>
      <c r="L64" s="82"/>
      <c r="M64" s="83"/>
      <c r="N64" s="83"/>
      <c r="O64" s="83"/>
      <c r="P64" s="83"/>
      <c r="Q64" s="83"/>
      <c r="R64" s="83"/>
      <c r="S64" s="83"/>
      <c r="T64" s="83"/>
      <c r="U64" s="83"/>
      <c r="V64" s="84"/>
    </row>
  </sheetData>
  <mergeCells count="8">
    <mergeCell ref="L62:V64"/>
    <mergeCell ref="A1:G1"/>
    <mergeCell ref="B3:G3"/>
    <mergeCell ref="L3:V3"/>
    <mergeCell ref="L4:M4"/>
    <mergeCell ref="O4:P4"/>
    <mergeCell ref="R4:S4"/>
    <mergeCell ref="U4:V4"/>
  </mergeCells>
  <pageMargins left="0" right="0" top="0" bottom="0" header="0" footer="0"/>
  <pageSetup scale="48"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pageSetUpPr fitToPage="1"/>
  </sheetPr>
  <dimension ref="A1:V64"/>
  <sheetViews>
    <sheetView zoomScale="75" workbookViewId="0">
      <selection sqref="A1:G1"/>
    </sheetView>
  </sheetViews>
  <sheetFormatPr defaultColWidth="9.109375" defaultRowHeight="14.4"/>
  <cols>
    <col min="1" max="1" width="20" style="1" customWidth="1"/>
    <col min="2" max="7" width="15" style="1" customWidth="1"/>
    <col min="8" max="8" width="1" style="1" customWidth="1"/>
    <col min="9" max="9" width="30" style="1" customWidth="1"/>
    <col min="10" max="10" width="15" style="1" customWidth="1"/>
    <col min="11" max="11" width="1" style="1" customWidth="1"/>
    <col min="12" max="13" width="15" style="1" customWidth="1"/>
    <col min="14" max="14" width="1" style="1" customWidth="1"/>
    <col min="15" max="16" width="15" style="1" customWidth="1"/>
    <col min="17" max="17" width="1" style="1" customWidth="1"/>
    <col min="18" max="19" width="15" style="1" customWidth="1"/>
    <col min="20" max="20" width="1" style="1" customWidth="1"/>
    <col min="21" max="22" width="15" style="1" customWidth="1"/>
    <col min="23" max="23" width="9.109375" style="1" customWidth="1"/>
    <col min="24" max="16384" width="9.109375" style="1"/>
  </cols>
  <sheetData>
    <row r="1" spans="1:22">
      <c r="A1" s="85" t="s">
        <v>156</v>
      </c>
      <c r="B1" s="79"/>
      <c r="C1" s="79"/>
      <c r="D1" s="79"/>
      <c r="E1" s="79"/>
      <c r="F1" s="79"/>
      <c r="G1" s="79"/>
    </row>
    <row r="3" spans="1:22">
      <c r="B3" s="86" t="s">
        <v>1</v>
      </c>
      <c r="C3" s="87"/>
      <c r="D3" s="87"/>
      <c r="E3" s="87"/>
      <c r="F3" s="87"/>
      <c r="G3" s="88"/>
      <c r="L3" s="89" t="s">
        <v>2</v>
      </c>
      <c r="M3" s="90"/>
      <c r="N3" s="90"/>
      <c r="O3" s="90"/>
      <c r="P3" s="90"/>
      <c r="Q3" s="90"/>
      <c r="R3" s="90"/>
      <c r="S3" s="90"/>
      <c r="T3" s="90"/>
      <c r="U3" s="90"/>
      <c r="V3" s="91"/>
    </row>
    <row r="4" spans="1:22">
      <c r="B4" s="6"/>
      <c r="G4" s="9"/>
      <c r="L4" s="92" t="s">
        <v>3</v>
      </c>
      <c r="M4" s="93"/>
      <c r="N4" s="3"/>
      <c r="O4" s="94" t="s">
        <v>4</v>
      </c>
      <c r="P4" s="93"/>
      <c r="Q4" s="3"/>
      <c r="R4" s="94" t="s">
        <v>5</v>
      </c>
      <c r="S4" s="93"/>
      <c r="T4" s="3"/>
      <c r="U4" s="94" t="s">
        <v>6</v>
      </c>
      <c r="V4" s="95"/>
    </row>
    <row r="5" spans="1:22" ht="60" customHeight="1">
      <c r="B5" s="7" t="s">
        <v>3</v>
      </c>
      <c r="C5" s="4" t="s">
        <v>4</v>
      </c>
      <c r="D5" s="4" t="s">
        <v>5</v>
      </c>
      <c r="E5" s="4" t="s">
        <v>6</v>
      </c>
      <c r="F5" s="4" t="s">
        <v>7</v>
      </c>
      <c r="G5" s="10" t="s">
        <v>8</v>
      </c>
      <c r="L5" s="19" t="s">
        <v>9</v>
      </c>
      <c r="M5" s="18" t="s">
        <v>10</v>
      </c>
      <c r="N5" s="18"/>
      <c r="O5" s="18" t="s">
        <v>9</v>
      </c>
      <c r="P5" s="18" t="s">
        <v>10</v>
      </c>
      <c r="Q5" s="18"/>
      <c r="R5" s="18" t="s">
        <v>9</v>
      </c>
      <c r="S5" s="18" t="s">
        <v>10</v>
      </c>
      <c r="T5" s="18"/>
      <c r="U5" s="18" t="s">
        <v>9</v>
      </c>
      <c r="V5" s="20" t="s">
        <v>10</v>
      </c>
    </row>
    <row r="6" spans="1:22">
      <c r="A6" s="1" t="s">
        <v>11</v>
      </c>
      <c r="B6" s="6">
        <v>0</v>
      </c>
      <c r="C6" s="1">
        <v>0</v>
      </c>
      <c r="D6" s="1">
        <v>0</v>
      </c>
      <c r="E6" s="1">
        <v>0</v>
      </c>
      <c r="F6" s="1">
        <v>0</v>
      </c>
      <c r="G6" s="9">
        <f>SUM(AL_FINANCIAL)</f>
        <v>0</v>
      </c>
      <c r="L6" s="6"/>
      <c r="V6" s="9"/>
    </row>
    <row r="7" spans="1:22">
      <c r="A7" s="1" t="s">
        <v>12</v>
      </c>
      <c r="B7" s="6">
        <v>0</v>
      </c>
      <c r="C7" s="1">
        <v>0</v>
      </c>
      <c r="D7" s="1">
        <v>0</v>
      </c>
      <c r="E7" s="1">
        <v>0</v>
      </c>
      <c r="F7" s="1">
        <v>0</v>
      </c>
      <c r="G7" s="9">
        <f>SUM(AK_FINANCIAL)</f>
        <v>0</v>
      </c>
      <c r="I7" s="12"/>
      <c r="J7" s="15"/>
      <c r="L7" s="6"/>
      <c r="V7" s="9"/>
    </row>
    <row r="8" spans="1:22">
      <c r="A8" s="1" t="s">
        <v>13</v>
      </c>
      <c r="B8" s="6">
        <v>0</v>
      </c>
      <c r="C8" s="1">
        <v>0</v>
      </c>
      <c r="D8" s="1">
        <v>0</v>
      </c>
      <c r="E8" s="1">
        <v>0</v>
      </c>
      <c r="F8" s="1">
        <v>0</v>
      </c>
      <c r="G8" s="9">
        <f>SUM(AZ_FINANCIAL)</f>
        <v>0</v>
      </c>
      <c r="I8" s="13" t="s">
        <v>14</v>
      </c>
      <c r="J8" s="16"/>
      <c r="L8" s="6"/>
      <c r="V8" s="9"/>
    </row>
    <row r="9" spans="1:22">
      <c r="A9" s="1" t="s">
        <v>15</v>
      </c>
      <c r="B9" s="6">
        <v>0</v>
      </c>
      <c r="C9" s="1">
        <v>0</v>
      </c>
      <c r="D9" s="1">
        <v>0</v>
      </c>
      <c r="E9" s="1">
        <v>0</v>
      </c>
      <c r="F9" s="1">
        <v>0</v>
      </c>
      <c r="G9" s="9">
        <f>SUM(AR_FINANCIAL)</f>
        <v>0</v>
      </c>
      <c r="I9" s="13"/>
      <c r="J9" s="16"/>
      <c r="L9" s="6"/>
      <c r="V9" s="9"/>
    </row>
    <row r="10" spans="1:22">
      <c r="A10" s="1" t="s">
        <v>16</v>
      </c>
      <c r="B10" s="6">
        <v>0</v>
      </c>
      <c r="C10" s="1">
        <v>0</v>
      </c>
      <c r="D10" s="1">
        <v>0</v>
      </c>
      <c r="E10" s="1">
        <v>0</v>
      </c>
      <c r="F10" s="1">
        <v>0</v>
      </c>
      <c r="G10" s="9">
        <f>SUM(CA_FINANCIAL)</f>
        <v>0</v>
      </c>
      <c r="I10" s="13" t="s">
        <v>17</v>
      </c>
      <c r="J10" s="16">
        <v>21390848.639099997</v>
      </c>
      <c r="L10" s="6"/>
      <c r="V10" s="9"/>
    </row>
    <row r="11" spans="1:22">
      <c r="A11" s="1" t="s">
        <v>18</v>
      </c>
      <c r="B11" s="6">
        <v>105380.13046458495</v>
      </c>
      <c r="C11" s="1">
        <v>77716.360417622913</v>
      </c>
      <c r="D11" s="1">
        <v>4061.7123345762084</v>
      </c>
      <c r="E11" s="1">
        <v>0</v>
      </c>
      <c r="F11" s="1">
        <v>0</v>
      </c>
      <c r="G11" s="9">
        <f>SUM(CO_FINANCIAL)</f>
        <v>187158.20321678408</v>
      </c>
      <c r="I11" s="13"/>
      <c r="J11" s="16"/>
      <c r="L11" s="6">
        <v>265000</v>
      </c>
      <c r="M11" s="1">
        <v>0</v>
      </c>
      <c r="O11" s="1">
        <v>230000</v>
      </c>
      <c r="P11" s="1">
        <v>0</v>
      </c>
      <c r="R11" s="1">
        <v>5000</v>
      </c>
      <c r="S11" s="1">
        <v>0</v>
      </c>
      <c r="U11" s="1">
        <v>0</v>
      </c>
      <c r="V11" s="9">
        <v>0</v>
      </c>
    </row>
    <row r="12" spans="1:22">
      <c r="A12" s="1" t="s">
        <v>19</v>
      </c>
      <c r="B12" s="6">
        <v>0</v>
      </c>
      <c r="C12" s="1">
        <v>0</v>
      </c>
      <c r="D12" s="1">
        <v>0</v>
      </c>
      <c r="E12" s="1">
        <v>0</v>
      </c>
      <c r="F12" s="1">
        <v>0</v>
      </c>
      <c r="G12" s="9">
        <f>SUM(CT_FINANCIAL)</f>
        <v>0</v>
      </c>
      <c r="I12" s="13" t="s">
        <v>20</v>
      </c>
      <c r="J12" s="16"/>
      <c r="L12" s="6"/>
      <c r="V12" s="9"/>
    </row>
    <row r="13" spans="1:22">
      <c r="A13" s="1" t="s">
        <v>21</v>
      </c>
      <c r="B13" s="6">
        <v>0</v>
      </c>
      <c r="C13" s="1">
        <v>0</v>
      </c>
      <c r="D13" s="1">
        <v>0</v>
      </c>
      <c r="E13" s="1">
        <v>0</v>
      </c>
      <c r="F13" s="1">
        <v>0</v>
      </c>
      <c r="G13" s="9">
        <f>SUM(DE_FINANCIAL)</f>
        <v>0</v>
      </c>
      <c r="I13" s="13" t="s">
        <v>22</v>
      </c>
      <c r="J13" s="16">
        <v>0</v>
      </c>
      <c r="L13" s="6"/>
      <c r="V13" s="9"/>
    </row>
    <row r="14" spans="1:22">
      <c r="A14" s="1" t="s">
        <v>23</v>
      </c>
      <c r="B14" s="6">
        <v>0</v>
      </c>
      <c r="C14" s="1">
        <v>0</v>
      </c>
      <c r="D14" s="1">
        <v>0</v>
      </c>
      <c r="E14" s="1">
        <v>0</v>
      </c>
      <c r="F14" s="1">
        <v>0</v>
      </c>
      <c r="G14" s="9">
        <f>SUM(DC_FINANCIAL)</f>
        <v>0</v>
      </c>
      <c r="I14" s="13" t="s">
        <v>24</v>
      </c>
      <c r="J14" s="16">
        <v>0</v>
      </c>
      <c r="L14" s="6"/>
      <c r="V14" s="9"/>
    </row>
    <row r="15" spans="1:22">
      <c r="A15" s="1" t="s">
        <v>25</v>
      </c>
      <c r="B15" s="6">
        <v>0</v>
      </c>
      <c r="C15" s="1">
        <v>0</v>
      </c>
      <c r="D15" s="1">
        <v>0</v>
      </c>
      <c r="E15" s="1">
        <v>0</v>
      </c>
      <c r="F15" s="1">
        <v>0</v>
      </c>
      <c r="G15" s="9">
        <f>SUM(FL_FINANCIAL)</f>
        <v>0</v>
      </c>
      <c r="I15" s="13" t="s">
        <v>26</v>
      </c>
      <c r="J15" s="16">
        <v>291176.92999999988</v>
      </c>
      <c r="L15" s="6"/>
      <c r="V15" s="9"/>
    </row>
    <row r="16" spans="1:22">
      <c r="A16" s="1" t="s">
        <v>27</v>
      </c>
      <c r="B16" s="6">
        <v>0</v>
      </c>
      <c r="C16" s="1">
        <v>0</v>
      </c>
      <c r="D16" s="1">
        <v>0</v>
      </c>
      <c r="E16" s="1">
        <v>0</v>
      </c>
      <c r="F16" s="1">
        <v>0</v>
      </c>
      <c r="G16" s="9">
        <f>SUM(GA_FINANCIAL)</f>
        <v>0</v>
      </c>
      <c r="I16" s="13" t="s">
        <v>28</v>
      </c>
      <c r="J16" s="16">
        <v>0</v>
      </c>
      <c r="L16" s="6"/>
      <c r="V16" s="9"/>
    </row>
    <row r="17" spans="1:22">
      <c r="A17" s="1" t="s">
        <v>29</v>
      </c>
      <c r="B17" s="6">
        <v>0</v>
      </c>
      <c r="C17" s="1">
        <v>0</v>
      </c>
      <c r="D17" s="1">
        <v>0</v>
      </c>
      <c r="E17" s="1">
        <v>0</v>
      </c>
      <c r="F17" s="1">
        <v>0</v>
      </c>
      <c r="G17" s="9">
        <f>SUM(HI_FINANCIAL)</f>
        <v>0</v>
      </c>
      <c r="I17" s="13"/>
      <c r="J17" s="16"/>
      <c r="L17" s="6"/>
      <c r="V17" s="9"/>
    </row>
    <row r="18" spans="1:22">
      <c r="A18" s="1" t="s">
        <v>30</v>
      </c>
      <c r="B18" s="6">
        <v>6079.7391907090541</v>
      </c>
      <c r="C18" s="1">
        <v>15766.278408437818</v>
      </c>
      <c r="D18" s="1">
        <v>974.09046637177812</v>
      </c>
      <c r="E18" s="1">
        <v>0</v>
      </c>
      <c r="F18" s="1">
        <v>0</v>
      </c>
      <c r="G18" s="9">
        <f>SUM(ID_FINANCIAL)</f>
        <v>22820.108065518649</v>
      </c>
      <c r="I18" s="13" t="s">
        <v>31</v>
      </c>
      <c r="J18" s="16"/>
      <c r="L18" s="6">
        <v>18218</v>
      </c>
      <c r="M18" s="1">
        <v>0</v>
      </c>
      <c r="O18" s="1">
        <v>36782</v>
      </c>
      <c r="P18" s="1">
        <v>0</v>
      </c>
      <c r="R18" s="1">
        <v>0</v>
      </c>
      <c r="S18" s="1">
        <v>0</v>
      </c>
      <c r="U18" s="1">
        <v>0</v>
      </c>
      <c r="V18" s="9">
        <v>0</v>
      </c>
    </row>
    <row r="19" spans="1:22">
      <c r="A19" s="1" t="s">
        <v>32</v>
      </c>
      <c r="B19" s="6">
        <v>0</v>
      </c>
      <c r="C19" s="1">
        <v>0</v>
      </c>
      <c r="D19" s="1">
        <v>0</v>
      </c>
      <c r="E19" s="1">
        <v>0</v>
      </c>
      <c r="F19" s="1">
        <v>0</v>
      </c>
      <c r="G19" s="9">
        <f>SUM(IL_FINANCIAL)</f>
        <v>0</v>
      </c>
      <c r="I19" s="13" t="s">
        <v>33</v>
      </c>
      <c r="J19" s="16">
        <v>14856392</v>
      </c>
      <c r="L19" s="6"/>
      <c r="V19" s="9"/>
    </row>
    <row r="20" spans="1:22">
      <c r="A20" s="1" t="s">
        <v>34</v>
      </c>
      <c r="B20" s="6">
        <v>0</v>
      </c>
      <c r="C20" s="1">
        <v>0</v>
      </c>
      <c r="D20" s="1">
        <v>0</v>
      </c>
      <c r="E20" s="1">
        <v>0</v>
      </c>
      <c r="F20" s="1">
        <v>0</v>
      </c>
      <c r="G20" s="9">
        <f>SUM(IN_FINANCIAL)</f>
        <v>0</v>
      </c>
      <c r="I20" s="13" t="s">
        <v>35</v>
      </c>
      <c r="J20" s="16">
        <v>0</v>
      </c>
      <c r="L20" s="6"/>
      <c r="V20" s="9"/>
    </row>
    <row r="21" spans="1:22">
      <c r="A21" s="1" t="s">
        <v>36</v>
      </c>
      <c r="B21" s="6">
        <v>0</v>
      </c>
      <c r="C21" s="1">
        <v>0</v>
      </c>
      <c r="D21" s="1">
        <v>0</v>
      </c>
      <c r="E21" s="1">
        <v>0</v>
      </c>
      <c r="F21" s="1">
        <v>0</v>
      </c>
      <c r="G21" s="9">
        <f>SUM(IA_FINANCIAL)</f>
        <v>0</v>
      </c>
      <c r="I21" s="13" t="s">
        <v>37</v>
      </c>
      <c r="J21" s="16"/>
      <c r="L21" s="6"/>
      <c r="V21" s="9"/>
    </row>
    <row r="22" spans="1:22">
      <c r="A22" s="1" t="s">
        <v>38</v>
      </c>
      <c r="B22" s="6">
        <v>0</v>
      </c>
      <c r="C22" s="1">
        <v>0</v>
      </c>
      <c r="D22" s="1">
        <v>0</v>
      </c>
      <c r="E22" s="1">
        <v>0</v>
      </c>
      <c r="F22" s="1">
        <v>0</v>
      </c>
      <c r="G22" s="9">
        <f>SUM(KS_FINANCIAL)</f>
        <v>0</v>
      </c>
      <c r="I22" s="13" t="s">
        <v>39</v>
      </c>
      <c r="J22" s="16">
        <v>2754999</v>
      </c>
      <c r="L22" s="6"/>
      <c r="V22" s="9"/>
    </row>
    <row r="23" spans="1:22">
      <c r="A23" s="1" t="s">
        <v>40</v>
      </c>
      <c r="B23" s="6">
        <v>0</v>
      </c>
      <c r="C23" s="1">
        <v>0</v>
      </c>
      <c r="D23" s="1">
        <v>0</v>
      </c>
      <c r="E23" s="1">
        <v>0</v>
      </c>
      <c r="F23" s="1">
        <v>0</v>
      </c>
      <c r="G23" s="9">
        <f>SUM(KY_FINANCIAL)</f>
        <v>0</v>
      </c>
      <c r="I23" s="13" t="s">
        <v>41</v>
      </c>
      <c r="J23" s="16"/>
      <c r="L23" s="6"/>
      <c r="V23" s="9"/>
    </row>
    <row r="24" spans="1:22">
      <c r="A24" s="1" t="s">
        <v>42</v>
      </c>
      <c r="B24" s="6">
        <v>0</v>
      </c>
      <c r="C24" s="1">
        <v>0</v>
      </c>
      <c r="D24" s="1">
        <v>0</v>
      </c>
      <c r="E24" s="1">
        <v>0</v>
      </c>
      <c r="F24" s="1">
        <v>0</v>
      </c>
      <c r="G24" s="9">
        <f>SUM(LA_FINANCIAL)</f>
        <v>0</v>
      </c>
      <c r="I24" s="13" t="s">
        <v>43</v>
      </c>
      <c r="J24" s="16">
        <v>2596550.9999999995</v>
      </c>
      <c r="L24" s="6"/>
      <c r="V24" s="9"/>
    </row>
    <row r="25" spans="1:22">
      <c r="A25" s="1" t="s">
        <v>44</v>
      </c>
      <c r="B25" s="6">
        <v>0</v>
      </c>
      <c r="C25" s="1">
        <v>0</v>
      </c>
      <c r="D25" s="1">
        <v>0</v>
      </c>
      <c r="E25" s="1">
        <v>0</v>
      </c>
      <c r="F25" s="1">
        <v>0</v>
      </c>
      <c r="G25" s="9">
        <f>SUM(ME_FINANCIAL)</f>
        <v>0</v>
      </c>
      <c r="I25" s="13"/>
      <c r="J25" s="16"/>
      <c r="L25" s="6"/>
      <c r="V25" s="9"/>
    </row>
    <row r="26" spans="1:22">
      <c r="A26" s="1" t="s">
        <v>45</v>
      </c>
      <c r="B26" s="6">
        <v>0</v>
      </c>
      <c r="C26" s="1">
        <v>0</v>
      </c>
      <c r="D26" s="1">
        <v>0</v>
      </c>
      <c r="E26" s="1">
        <v>0</v>
      </c>
      <c r="F26" s="1">
        <v>0</v>
      </c>
      <c r="G26" s="9">
        <f>SUM(MD_FINANCIAL)</f>
        <v>0</v>
      </c>
      <c r="I26" s="13" t="s">
        <v>46</v>
      </c>
      <c r="J26" s="16">
        <f>SUM(ADD_FINANCIAL)-SUM(LESS_FINANCIAL)</f>
        <v>1474083.5690999962</v>
      </c>
      <c r="L26" s="6"/>
      <c r="V26" s="9"/>
    </row>
    <row r="27" spans="1:22">
      <c r="A27" s="1" t="s">
        <v>47</v>
      </c>
      <c r="B27" s="6">
        <v>0</v>
      </c>
      <c r="C27" s="1">
        <v>0</v>
      </c>
      <c r="D27" s="1">
        <v>0</v>
      </c>
      <c r="E27" s="1">
        <v>0</v>
      </c>
      <c r="F27" s="1">
        <v>0</v>
      </c>
      <c r="G27" s="9">
        <f>SUM(MA_FINANCIAL)</f>
        <v>0</v>
      </c>
      <c r="I27" s="13" t="s">
        <v>48</v>
      </c>
      <c r="J27" s="16">
        <f>SUM(ALL_BLOCKS)</f>
        <v>1474083.5691</v>
      </c>
      <c r="L27" s="6"/>
      <c r="V27" s="9"/>
    </row>
    <row r="28" spans="1:22">
      <c r="A28" s="1" t="s">
        <v>49</v>
      </c>
      <c r="B28" s="6">
        <v>0</v>
      </c>
      <c r="C28" s="1">
        <v>0</v>
      </c>
      <c r="D28" s="1">
        <v>0</v>
      </c>
      <c r="E28" s="1">
        <v>0</v>
      </c>
      <c r="F28" s="1">
        <v>0</v>
      </c>
      <c r="G28" s="9">
        <f>SUM(MI_FINANCIAL)</f>
        <v>0</v>
      </c>
      <c r="I28" s="14"/>
      <c r="J28" s="17"/>
      <c r="L28" s="6"/>
      <c r="V28" s="9"/>
    </row>
    <row r="29" spans="1:22">
      <c r="A29" s="1" t="s">
        <v>50</v>
      </c>
      <c r="B29" s="6">
        <v>0</v>
      </c>
      <c r="C29" s="1">
        <v>0</v>
      </c>
      <c r="D29" s="1">
        <v>0</v>
      </c>
      <c r="E29" s="1">
        <v>0</v>
      </c>
      <c r="F29" s="1">
        <v>0</v>
      </c>
      <c r="G29" s="9">
        <f>SUM(MN_FINANCIAL)</f>
        <v>0</v>
      </c>
      <c r="L29" s="6"/>
      <c r="V29" s="9"/>
    </row>
    <row r="30" spans="1:22">
      <c r="A30" s="1" t="s">
        <v>51</v>
      </c>
      <c r="B30" s="6">
        <v>0</v>
      </c>
      <c r="C30" s="1">
        <v>0</v>
      </c>
      <c r="D30" s="1">
        <v>0</v>
      </c>
      <c r="E30" s="1">
        <v>0</v>
      </c>
      <c r="F30" s="1">
        <v>0</v>
      </c>
      <c r="G30" s="9">
        <f>SUM(MS_FINANCIAL)</f>
        <v>0</v>
      </c>
      <c r="L30" s="6"/>
      <c r="V30" s="9"/>
    </row>
    <row r="31" spans="1:22">
      <c r="A31" s="1" t="s">
        <v>52</v>
      </c>
      <c r="B31" s="6">
        <v>0</v>
      </c>
      <c r="C31" s="1">
        <v>0</v>
      </c>
      <c r="D31" s="1">
        <v>0</v>
      </c>
      <c r="E31" s="1">
        <v>0</v>
      </c>
      <c r="F31" s="1">
        <v>0</v>
      </c>
      <c r="G31" s="9">
        <f>SUM(MO_FINANCIAL)</f>
        <v>0</v>
      </c>
      <c r="L31" s="6"/>
      <c r="V31" s="9"/>
    </row>
    <row r="32" spans="1:22">
      <c r="A32" s="1" t="s">
        <v>53</v>
      </c>
      <c r="B32" s="6">
        <v>12880.392288419818</v>
      </c>
      <c r="C32" s="1">
        <v>966.71801063343423</v>
      </c>
      <c r="D32" s="1">
        <v>465.8244653606049</v>
      </c>
      <c r="E32" s="1">
        <v>0</v>
      </c>
      <c r="F32" s="1">
        <v>0</v>
      </c>
      <c r="G32" s="9">
        <f>SUM(MT_FINANCIAL)</f>
        <v>14312.934764413858</v>
      </c>
      <c r="L32" s="6">
        <v>30000</v>
      </c>
      <c r="M32" s="1">
        <v>0</v>
      </c>
      <c r="O32" s="1">
        <v>0</v>
      </c>
      <c r="P32" s="1">
        <v>0</v>
      </c>
      <c r="R32" s="1">
        <v>0</v>
      </c>
      <c r="S32" s="1">
        <v>0</v>
      </c>
      <c r="U32" s="1">
        <v>0</v>
      </c>
      <c r="V32" s="9">
        <v>0</v>
      </c>
    </row>
    <row r="33" spans="1:22">
      <c r="A33" s="1" t="s">
        <v>54</v>
      </c>
      <c r="B33" s="6">
        <v>689.11759118365444</v>
      </c>
      <c r="C33" s="1">
        <v>3267.5807195329762</v>
      </c>
      <c r="D33" s="1">
        <v>22.165199321494697</v>
      </c>
      <c r="E33" s="1">
        <v>0</v>
      </c>
      <c r="F33" s="1">
        <v>0</v>
      </c>
      <c r="G33" s="9">
        <f>SUM(NE_FINANCIAL)</f>
        <v>3978.8635100381252</v>
      </c>
      <c r="L33" s="6">
        <v>28935</v>
      </c>
      <c r="M33" s="1">
        <v>0</v>
      </c>
      <c r="O33" s="1">
        <v>77694</v>
      </c>
      <c r="P33" s="1">
        <v>0</v>
      </c>
      <c r="R33" s="1">
        <v>0</v>
      </c>
      <c r="S33" s="1">
        <v>0</v>
      </c>
      <c r="U33" s="1">
        <v>0</v>
      </c>
      <c r="V33" s="9">
        <v>0</v>
      </c>
    </row>
    <row r="34" spans="1:22">
      <c r="A34" s="1" t="s">
        <v>55</v>
      </c>
      <c r="B34" s="6">
        <v>0</v>
      </c>
      <c r="C34" s="1">
        <v>0</v>
      </c>
      <c r="D34" s="1">
        <v>0</v>
      </c>
      <c r="E34" s="1">
        <v>0</v>
      </c>
      <c r="F34" s="1">
        <v>0</v>
      </c>
      <c r="G34" s="9">
        <f>SUM(NV_FINANCIAL)</f>
        <v>0</v>
      </c>
      <c r="L34" s="6"/>
      <c r="V34" s="9"/>
    </row>
    <row r="35" spans="1:22">
      <c r="A35" s="1" t="s">
        <v>56</v>
      </c>
      <c r="B35" s="6">
        <v>0</v>
      </c>
      <c r="C35" s="1">
        <v>0</v>
      </c>
      <c r="D35" s="1">
        <v>0</v>
      </c>
      <c r="E35" s="1">
        <v>0</v>
      </c>
      <c r="F35" s="1">
        <v>0</v>
      </c>
      <c r="G35" s="9">
        <f>SUM(NH_FINANCIAL)</f>
        <v>0</v>
      </c>
      <c r="L35" s="6"/>
      <c r="V35" s="9"/>
    </row>
    <row r="36" spans="1:22">
      <c r="A36" s="1" t="s">
        <v>57</v>
      </c>
      <c r="B36" s="6">
        <v>0</v>
      </c>
      <c r="C36" s="1">
        <v>0</v>
      </c>
      <c r="D36" s="1">
        <v>0</v>
      </c>
      <c r="E36" s="1">
        <v>0</v>
      </c>
      <c r="F36" s="1">
        <v>0</v>
      </c>
      <c r="G36" s="9">
        <f>SUM(NJ_FINANCIAL)</f>
        <v>0</v>
      </c>
      <c r="L36" s="6"/>
      <c r="V36" s="9"/>
    </row>
    <row r="37" spans="1:22">
      <c r="A37" s="1" t="s">
        <v>58</v>
      </c>
      <c r="B37" s="6">
        <v>47930.183782199696</v>
      </c>
      <c r="C37" s="1">
        <v>24758.064901972317</v>
      </c>
      <c r="D37" s="1">
        <v>3292.1362128114156</v>
      </c>
      <c r="E37" s="1">
        <v>0</v>
      </c>
      <c r="F37" s="1">
        <v>0</v>
      </c>
      <c r="G37" s="9">
        <f>SUM(NM_FINANCIAL)</f>
        <v>75980.384896983422</v>
      </c>
      <c r="L37" s="6"/>
      <c r="V37" s="9"/>
    </row>
    <row r="38" spans="1:22">
      <c r="A38" s="1" t="s">
        <v>59</v>
      </c>
      <c r="B38" s="6">
        <v>0</v>
      </c>
      <c r="C38" s="1">
        <v>0</v>
      </c>
      <c r="D38" s="1">
        <v>0</v>
      </c>
      <c r="E38" s="1">
        <v>0</v>
      </c>
      <c r="F38" s="1">
        <v>0</v>
      </c>
      <c r="G38" s="9">
        <f>SUM(NY_FINANCIAL)</f>
        <v>0</v>
      </c>
      <c r="L38" s="6"/>
      <c r="V38" s="9"/>
    </row>
    <row r="39" spans="1:22">
      <c r="A39" s="1" t="s">
        <v>60</v>
      </c>
      <c r="B39" s="6">
        <v>0</v>
      </c>
      <c r="C39" s="1">
        <v>0</v>
      </c>
      <c r="D39" s="1">
        <v>0</v>
      </c>
      <c r="E39" s="1">
        <v>0</v>
      </c>
      <c r="F39" s="1">
        <v>0</v>
      </c>
      <c r="G39" s="9">
        <f>SUM(NC_FINANCIAL)</f>
        <v>0</v>
      </c>
      <c r="L39" s="6"/>
      <c r="V39" s="9"/>
    </row>
    <row r="40" spans="1:22">
      <c r="A40" s="1" t="s">
        <v>61</v>
      </c>
      <c r="B40" s="6">
        <v>295.46804106394598</v>
      </c>
      <c r="C40" s="1">
        <v>574.23202422952534</v>
      </c>
      <c r="D40" s="1">
        <v>9.3908050118765516</v>
      </c>
      <c r="E40" s="1">
        <v>0</v>
      </c>
      <c r="F40" s="1">
        <v>0</v>
      </c>
      <c r="G40" s="9">
        <f>SUM(ND_FINANCIAL)</f>
        <v>879.09087030534783</v>
      </c>
      <c r="L40" s="6">
        <v>1000</v>
      </c>
      <c r="M40" s="1">
        <v>0</v>
      </c>
      <c r="O40" s="1">
        <v>1000</v>
      </c>
      <c r="P40" s="1">
        <v>0</v>
      </c>
      <c r="R40" s="1">
        <v>0</v>
      </c>
      <c r="S40" s="1">
        <v>0</v>
      </c>
      <c r="U40" s="1">
        <v>0</v>
      </c>
      <c r="V40" s="9">
        <v>0</v>
      </c>
    </row>
    <row r="41" spans="1:22">
      <c r="A41" s="1" t="s">
        <v>62</v>
      </c>
      <c r="B41" s="6">
        <v>0</v>
      </c>
      <c r="C41" s="1">
        <v>0</v>
      </c>
      <c r="D41" s="1">
        <v>0</v>
      </c>
      <c r="E41" s="1">
        <v>0</v>
      </c>
      <c r="F41" s="1">
        <v>0</v>
      </c>
      <c r="G41" s="9">
        <f>SUM(OH_FINANCIAL)</f>
        <v>0</v>
      </c>
      <c r="L41" s="6"/>
      <c r="V41" s="9"/>
    </row>
    <row r="42" spans="1:22">
      <c r="A42" s="1" t="s">
        <v>63</v>
      </c>
      <c r="B42" s="6">
        <v>0</v>
      </c>
      <c r="C42" s="1">
        <v>0</v>
      </c>
      <c r="D42" s="1">
        <v>0</v>
      </c>
      <c r="E42" s="1">
        <v>0</v>
      </c>
      <c r="F42" s="1">
        <v>0</v>
      </c>
      <c r="G42" s="9">
        <f>SUM(OK_FINANCIAL)</f>
        <v>0</v>
      </c>
      <c r="L42" s="6"/>
      <c r="V42" s="9"/>
    </row>
    <row r="43" spans="1:22">
      <c r="A43" s="1" t="s">
        <v>64</v>
      </c>
      <c r="B43" s="6">
        <v>0</v>
      </c>
      <c r="C43" s="1">
        <v>0</v>
      </c>
      <c r="D43" s="1">
        <v>0</v>
      </c>
      <c r="E43" s="1">
        <v>0</v>
      </c>
      <c r="F43" s="1">
        <v>0</v>
      </c>
      <c r="G43" s="9">
        <f>SUM(OR_FINANCIAL)</f>
        <v>0</v>
      </c>
      <c r="L43" s="6"/>
      <c r="V43" s="9"/>
    </row>
    <row r="44" spans="1:22">
      <c r="A44" s="1" t="s">
        <v>65</v>
      </c>
      <c r="B44" s="6">
        <v>0</v>
      </c>
      <c r="C44" s="1">
        <v>0</v>
      </c>
      <c r="D44" s="1">
        <v>0</v>
      </c>
      <c r="E44" s="1">
        <v>0</v>
      </c>
      <c r="F44" s="1">
        <v>0</v>
      </c>
      <c r="G44" s="9">
        <f>SUM(PA_FINANCIAL)</f>
        <v>0</v>
      </c>
      <c r="L44" s="6"/>
      <c r="V44" s="9"/>
    </row>
    <row r="45" spans="1:22">
      <c r="A45" s="1" t="s">
        <v>66</v>
      </c>
      <c r="B45" s="6">
        <v>0</v>
      </c>
      <c r="C45" s="1">
        <v>0</v>
      </c>
      <c r="D45" s="1">
        <v>0</v>
      </c>
      <c r="E45" s="1">
        <v>0</v>
      </c>
      <c r="F45" s="1">
        <v>0</v>
      </c>
      <c r="G45" s="9">
        <f>SUM(PR_FINANCIAL)</f>
        <v>0</v>
      </c>
      <c r="L45" s="6"/>
      <c r="V45" s="9"/>
    </row>
    <row r="46" spans="1:22">
      <c r="A46" s="1" t="s">
        <v>67</v>
      </c>
      <c r="B46" s="6">
        <v>0</v>
      </c>
      <c r="C46" s="1">
        <v>0</v>
      </c>
      <c r="D46" s="1">
        <v>0</v>
      </c>
      <c r="E46" s="1">
        <v>0</v>
      </c>
      <c r="F46" s="1">
        <v>0</v>
      </c>
      <c r="G46" s="9">
        <f>SUM(RI_FINANCIAL)</f>
        <v>0</v>
      </c>
      <c r="L46" s="6"/>
      <c r="V46" s="9"/>
    </row>
    <row r="47" spans="1:22">
      <c r="A47" s="1" t="s">
        <v>68</v>
      </c>
      <c r="B47" s="6">
        <v>0</v>
      </c>
      <c r="C47" s="1">
        <v>0</v>
      </c>
      <c r="D47" s="1">
        <v>0</v>
      </c>
      <c r="E47" s="1">
        <v>0</v>
      </c>
      <c r="F47" s="1">
        <v>0</v>
      </c>
      <c r="G47" s="9">
        <f>SUM(SC_FINANCIAL)</f>
        <v>0</v>
      </c>
      <c r="L47" s="6"/>
      <c r="V47" s="9"/>
    </row>
    <row r="48" spans="1:22">
      <c r="A48" s="1" t="s">
        <v>69</v>
      </c>
      <c r="B48" s="6">
        <v>6460.5250101997153</v>
      </c>
      <c r="C48" s="1">
        <v>5017.9099929657959</v>
      </c>
      <c r="D48" s="1">
        <v>1358.0113559783847</v>
      </c>
      <c r="E48" s="1">
        <v>0</v>
      </c>
      <c r="F48" s="1">
        <v>0</v>
      </c>
      <c r="G48" s="9">
        <f>SUM(SD_FINANCIAL)</f>
        <v>12836.446359143896</v>
      </c>
      <c r="L48" s="6">
        <v>24000</v>
      </c>
      <c r="M48" s="1">
        <v>0</v>
      </c>
      <c r="O48" s="1">
        <v>7228</v>
      </c>
      <c r="P48" s="1">
        <v>0</v>
      </c>
      <c r="R48" s="1">
        <v>0</v>
      </c>
      <c r="S48" s="1">
        <v>0</v>
      </c>
      <c r="U48" s="1">
        <v>0</v>
      </c>
      <c r="V48" s="9">
        <v>0</v>
      </c>
    </row>
    <row r="49" spans="1:22">
      <c r="A49" s="1" t="s">
        <v>70</v>
      </c>
      <c r="B49" s="6">
        <v>0</v>
      </c>
      <c r="C49" s="1">
        <v>0</v>
      </c>
      <c r="D49" s="1">
        <v>0</v>
      </c>
      <c r="E49" s="1">
        <v>0</v>
      </c>
      <c r="F49" s="1">
        <v>0</v>
      </c>
      <c r="G49" s="9">
        <f>SUM(TN_FINANCIAL)</f>
        <v>0</v>
      </c>
      <c r="L49" s="6"/>
      <c r="V49" s="9"/>
    </row>
    <row r="50" spans="1:22">
      <c r="A50" s="1" t="s">
        <v>71</v>
      </c>
      <c r="B50" s="6">
        <v>0</v>
      </c>
      <c r="C50" s="1">
        <v>0</v>
      </c>
      <c r="D50" s="1">
        <v>0</v>
      </c>
      <c r="E50" s="1">
        <v>0</v>
      </c>
      <c r="F50" s="1">
        <v>0</v>
      </c>
      <c r="G50" s="9">
        <f>SUM(TX_FINANCIAL)</f>
        <v>0</v>
      </c>
      <c r="L50" s="6"/>
      <c r="V50" s="9"/>
    </row>
    <row r="51" spans="1:22">
      <c r="A51" s="1" t="s">
        <v>72</v>
      </c>
      <c r="B51" s="6">
        <v>5726.8829651670922</v>
      </c>
      <c r="C51" s="1">
        <v>0</v>
      </c>
      <c r="D51" s="1">
        <v>239.05049554694821</v>
      </c>
      <c r="E51" s="1">
        <v>0</v>
      </c>
      <c r="F51" s="1">
        <v>0</v>
      </c>
      <c r="G51" s="9">
        <f>SUM(UT_FINANCIAL)</f>
        <v>5965.9334607140399</v>
      </c>
      <c r="L51" s="6">
        <v>18000</v>
      </c>
      <c r="M51" s="1">
        <v>0</v>
      </c>
      <c r="O51" s="1">
        <v>0</v>
      </c>
      <c r="P51" s="1">
        <v>0</v>
      </c>
      <c r="R51" s="1">
        <v>0</v>
      </c>
      <c r="S51" s="1">
        <v>0</v>
      </c>
      <c r="U51" s="1">
        <v>0</v>
      </c>
      <c r="V51" s="9">
        <v>0</v>
      </c>
    </row>
    <row r="52" spans="1:22">
      <c r="A52" s="1" t="s">
        <v>73</v>
      </c>
      <c r="B52" s="6">
        <v>0</v>
      </c>
      <c r="C52" s="1">
        <v>0</v>
      </c>
      <c r="D52" s="1">
        <v>0</v>
      </c>
      <c r="E52" s="1">
        <v>0</v>
      </c>
      <c r="F52" s="1">
        <v>0</v>
      </c>
      <c r="G52" s="9">
        <f>SUM(VT_FINANCIAL)</f>
        <v>0</v>
      </c>
      <c r="L52" s="6"/>
      <c r="V52" s="9"/>
    </row>
    <row r="53" spans="1:22">
      <c r="A53" s="1" t="s">
        <v>74</v>
      </c>
      <c r="B53" s="6">
        <v>0</v>
      </c>
      <c r="C53" s="1">
        <v>0</v>
      </c>
      <c r="D53" s="1">
        <v>0</v>
      </c>
      <c r="E53" s="1">
        <v>0</v>
      </c>
      <c r="F53" s="1">
        <v>0</v>
      </c>
      <c r="G53" s="9">
        <f>SUM(VA_FINANCIAL)</f>
        <v>0</v>
      </c>
      <c r="L53" s="6"/>
      <c r="V53" s="9"/>
    </row>
    <row r="54" spans="1:22">
      <c r="A54" s="1" t="s">
        <v>75</v>
      </c>
      <c r="B54" s="6">
        <v>10115.274184277332</v>
      </c>
      <c r="C54" s="1">
        <v>0</v>
      </c>
      <c r="D54" s="1">
        <v>1224.8459285210597</v>
      </c>
      <c r="E54" s="1">
        <v>0</v>
      </c>
      <c r="F54" s="1">
        <v>0</v>
      </c>
      <c r="G54" s="9">
        <f>SUM(WA_FINANCIAL)</f>
        <v>11340.120112798391</v>
      </c>
      <c r="L54" s="6"/>
      <c r="V54" s="9"/>
    </row>
    <row r="55" spans="1:22">
      <c r="A55" s="1" t="s">
        <v>76</v>
      </c>
      <c r="B55" s="6">
        <v>0</v>
      </c>
      <c r="C55" s="1">
        <v>0</v>
      </c>
      <c r="D55" s="1">
        <v>0</v>
      </c>
      <c r="E55" s="1">
        <v>0</v>
      </c>
      <c r="F55" s="1">
        <v>0</v>
      </c>
      <c r="G55" s="9">
        <f>SUM(WV_FINANCIAL)</f>
        <v>0</v>
      </c>
      <c r="L55" s="6"/>
      <c r="V55" s="9"/>
    </row>
    <row r="56" spans="1:22">
      <c r="A56" s="1" t="s">
        <v>77</v>
      </c>
      <c r="B56" s="6">
        <v>0</v>
      </c>
      <c r="C56" s="1">
        <v>0</v>
      </c>
      <c r="D56" s="1">
        <v>0</v>
      </c>
      <c r="E56" s="1">
        <v>0</v>
      </c>
      <c r="F56" s="1">
        <v>0</v>
      </c>
      <c r="G56" s="9">
        <f>SUM(WI_FINANCIAL)</f>
        <v>0</v>
      </c>
      <c r="L56" s="6"/>
      <c r="V56" s="9"/>
    </row>
    <row r="57" spans="1:22">
      <c r="A57" s="1" t="s">
        <v>78</v>
      </c>
      <c r="B57" s="6">
        <v>454042.12233999406</v>
      </c>
      <c r="C57" s="1">
        <v>632259.56460591336</v>
      </c>
      <c r="D57" s="1">
        <v>52509.79689739272</v>
      </c>
      <c r="E57" s="1">
        <v>0</v>
      </c>
      <c r="F57" s="1">
        <v>0</v>
      </c>
      <c r="G57" s="9">
        <f>SUM(WY_FINANCIAL)</f>
        <v>1138811.4838433</v>
      </c>
      <c r="L57" s="6">
        <v>1600148</v>
      </c>
      <c r="M57" s="1">
        <v>0</v>
      </c>
      <c r="O57" s="1">
        <v>2718848</v>
      </c>
      <c r="P57" s="1">
        <v>0</v>
      </c>
      <c r="R57" s="1">
        <v>30000</v>
      </c>
      <c r="S57" s="1">
        <v>0</v>
      </c>
      <c r="U57" s="1">
        <v>0</v>
      </c>
      <c r="V57" s="9">
        <v>0</v>
      </c>
    </row>
    <row r="58" spans="1:22">
      <c r="A58" s="1" t="s">
        <v>79</v>
      </c>
      <c r="B58" s="6">
        <v>0</v>
      </c>
      <c r="C58" s="1">
        <v>0</v>
      </c>
      <c r="D58" s="1">
        <v>0</v>
      </c>
      <c r="E58" s="1">
        <v>0</v>
      </c>
      <c r="F58" s="1">
        <v>0</v>
      </c>
      <c r="G58" s="9">
        <f>SUM(OT_FINANCIAL)</f>
        <v>0</v>
      </c>
      <c r="L58" s="6"/>
      <c r="V58" s="9"/>
    </row>
    <row r="59" spans="1:22">
      <c r="B59" s="6"/>
      <c r="G59" s="9"/>
      <c r="L59" s="6"/>
      <c r="V59" s="9"/>
    </row>
    <row r="60" spans="1:22">
      <c r="A60" s="1" t="s">
        <v>8</v>
      </c>
      <c r="B60" s="6">
        <f>SUM(LIFE)</f>
        <v>649599.83585779928</v>
      </c>
      <c r="C60" s="1">
        <f>SUM(ALLOCATED)</f>
        <v>760326.7090813081</v>
      </c>
      <c r="D60" s="1">
        <f>SUM(HEALTH)</f>
        <v>64157.024160892492</v>
      </c>
      <c r="E60" s="1">
        <f>SUM(UNALLOCATED)</f>
        <v>0</v>
      </c>
      <c r="F60" s="1">
        <f>SUM(LTC)</f>
        <v>0</v>
      </c>
      <c r="G60" s="9">
        <f>SUM(ALL_BLOCKS)</f>
        <v>1474083.5691</v>
      </c>
      <c r="L60" s="6">
        <f>SUM(LIFE_CALLED)</f>
        <v>1985301</v>
      </c>
      <c r="M60" s="1">
        <f>SUM(LIFE_REFUNDED)</f>
        <v>0</v>
      </c>
      <c r="O60" s="1">
        <f>SUM(ALLOC_CALLED)</f>
        <v>3071552</v>
      </c>
      <c r="P60" s="1">
        <f>SUM(ALLOC_REFUNDED)</f>
        <v>0</v>
      </c>
      <c r="R60" s="1">
        <f>SUM(HEALTH_CALLED)</f>
        <v>35000</v>
      </c>
      <c r="S60" s="1">
        <f>SUM(HEALTH_REFUNDED)</f>
        <v>0</v>
      </c>
      <c r="U60" s="1">
        <f>SUM(UNALLOC_CALLED)</f>
        <v>0</v>
      </c>
      <c r="V60" s="9">
        <f>SUM(UNALLOC_REFUNDED)</f>
        <v>0</v>
      </c>
    </row>
    <row r="61" spans="1:22" ht="5.0999999999999996" customHeight="1">
      <c r="B61" s="6"/>
      <c r="G61" s="9"/>
      <c r="L61" s="6"/>
      <c r="V61" s="9"/>
    </row>
    <row r="62" spans="1:22">
      <c r="B62" s="6"/>
      <c r="G62" s="9"/>
      <c r="L62" s="78" t="s">
        <v>80</v>
      </c>
      <c r="M62" s="79"/>
      <c r="N62" s="79"/>
      <c r="O62" s="79"/>
      <c r="P62" s="79"/>
      <c r="Q62" s="79"/>
      <c r="R62" s="79"/>
      <c r="S62" s="79"/>
      <c r="T62" s="79"/>
      <c r="U62" s="79"/>
      <c r="V62" s="80"/>
    </row>
    <row r="63" spans="1:22">
      <c r="B63" s="6"/>
      <c r="G63" s="9"/>
      <c r="L63" s="81"/>
      <c r="M63" s="79"/>
      <c r="N63" s="79"/>
      <c r="O63" s="79"/>
      <c r="P63" s="79"/>
      <c r="Q63" s="79"/>
      <c r="R63" s="79"/>
      <c r="S63" s="79"/>
      <c r="T63" s="79"/>
      <c r="U63" s="79"/>
      <c r="V63" s="80"/>
    </row>
    <row r="64" spans="1:22">
      <c r="B64" s="8"/>
      <c r="C64" s="5"/>
      <c r="D64" s="5"/>
      <c r="E64" s="5"/>
      <c r="F64" s="5"/>
      <c r="G64" s="11"/>
      <c r="L64" s="82"/>
      <c r="M64" s="83"/>
      <c r="N64" s="83"/>
      <c r="O64" s="83"/>
      <c r="P64" s="83"/>
      <c r="Q64" s="83"/>
      <c r="R64" s="83"/>
      <c r="S64" s="83"/>
      <c r="T64" s="83"/>
      <c r="U64" s="83"/>
      <c r="V64" s="84"/>
    </row>
  </sheetData>
  <mergeCells count="8">
    <mergeCell ref="L62:V64"/>
    <mergeCell ref="A1:G1"/>
    <mergeCell ref="B3:G3"/>
    <mergeCell ref="L3:V3"/>
    <mergeCell ref="L4:M4"/>
    <mergeCell ref="O4:P4"/>
    <mergeCell ref="R4:S4"/>
    <mergeCell ref="U4:V4"/>
  </mergeCells>
  <pageMargins left="0" right="0" top="0" bottom="0" header="0" footer="0"/>
  <pageSetup scale="48"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pageSetUpPr fitToPage="1"/>
  </sheetPr>
  <dimension ref="A1:V64"/>
  <sheetViews>
    <sheetView zoomScale="75" workbookViewId="0">
      <selection sqref="A1:G1"/>
    </sheetView>
  </sheetViews>
  <sheetFormatPr defaultColWidth="9.109375" defaultRowHeight="14.4"/>
  <cols>
    <col min="1" max="1" width="20" style="1" customWidth="1"/>
    <col min="2" max="7" width="15" style="1" customWidth="1"/>
    <col min="8" max="8" width="1" style="1" customWidth="1"/>
    <col min="9" max="9" width="30" style="1" customWidth="1"/>
    <col min="10" max="10" width="15" style="1" customWidth="1"/>
    <col min="11" max="11" width="1" style="1" customWidth="1"/>
    <col min="12" max="13" width="15" style="1" customWidth="1"/>
    <col min="14" max="14" width="1" style="1" customWidth="1"/>
    <col min="15" max="16" width="15" style="1" customWidth="1"/>
    <col min="17" max="17" width="1" style="1" customWidth="1"/>
    <col min="18" max="19" width="15" style="1" customWidth="1"/>
    <col min="20" max="20" width="1" style="1" customWidth="1"/>
    <col min="21" max="22" width="15" style="1" customWidth="1"/>
    <col min="23" max="23" width="9.109375" style="1" customWidth="1"/>
    <col min="24" max="16384" width="9.109375" style="1"/>
  </cols>
  <sheetData>
    <row r="1" spans="1:22">
      <c r="A1" s="85" t="s">
        <v>157</v>
      </c>
      <c r="B1" s="79"/>
      <c r="C1" s="79"/>
      <c r="D1" s="79"/>
      <c r="E1" s="79"/>
      <c r="F1" s="79"/>
      <c r="G1" s="79"/>
    </row>
    <row r="3" spans="1:22">
      <c r="B3" s="86" t="s">
        <v>1</v>
      </c>
      <c r="C3" s="87"/>
      <c r="D3" s="87"/>
      <c r="E3" s="87"/>
      <c r="F3" s="87"/>
      <c r="G3" s="88"/>
      <c r="L3" s="89" t="s">
        <v>2</v>
      </c>
      <c r="M3" s="90"/>
      <c r="N3" s="90"/>
      <c r="O3" s="90"/>
      <c r="P3" s="90"/>
      <c r="Q3" s="90"/>
      <c r="R3" s="90"/>
      <c r="S3" s="90"/>
      <c r="T3" s="90"/>
      <c r="U3" s="90"/>
      <c r="V3" s="91"/>
    </row>
    <row r="4" spans="1:22">
      <c r="B4" s="6"/>
      <c r="G4" s="9"/>
      <c r="L4" s="92" t="s">
        <v>3</v>
      </c>
      <c r="M4" s="93"/>
      <c r="N4" s="3"/>
      <c r="O4" s="94" t="s">
        <v>4</v>
      </c>
      <c r="P4" s="93"/>
      <c r="Q4" s="3"/>
      <c r="R4" s="94" t="s">
        <v>5</v>
      </c>
      <c r="S4" s="93"/>
      <c r="T4" s="3"/>
      <c r="U4" s="94" t="s">
        <v>6</v>
      </c>
      <c r="V4" s="95"/>
    </row>
    <row r="5" spans="1:22" ht="60" customHeight="1">
      <c r="B5" s="7" t="s">
        <v>3</v>
      </c>
      <c r="C5" s="4" t="s">
        <v>4</v>
      </c>
      <c r="D5" s="4" t="s">
        <v>5</v>
      </c>
      <c r="E5" s="4" t="s">
        <v>6</v>
      </c>
      <c r="F5" s="4" t="s">
        <v>7</v>
      </c>
      <c r="G5" s="10" t="s">
        <v>8</v>
      </c>
      <c r="L5" s="19" t="s">
        <v>9</v>
      </c>
      <c r="M5" s="18" t="s">
        <v>10</v>
      </c>
      <c r="N5" s="18"/>
      <c r="O5" s="18" t="s">
        <v>9</v>
      </c>
      <c r="P5" s="18" t="s">
        <v>10</v>
      </c>
      <c r="Q5" s="18"/>
      <c r="R5" s="18" t="s">
        <v>9</v>
      </c>
      <c r="S5" s="18" t="s">
        <v>10</v>
      </c>
      <c r="T5" s="18"/>
      <c r="U5" s="18" t="s">
        <v>9</v>
      </c>
      <c r="V5" s="20" t="s">
        <v>10</v>
      </c>
    </row>
    <row r="6" spans="1:22">
      <c r="A6" s="1" t="s">
        <v>11</v>
      </c>
      <c r="B6" s="6">
        <v>41016.598918888827</v>
      </c>
      <c r="C6" s="1">
        <v>18216.684281940252</v>
      </c>
      <c r="D6" s="1">
        <v>0</v>
      </c>
      <c r="E6" s="1">
        <v>0</v>
      </c>
      <c r="F6" s="1">
        <v>0</v>
      </c>
      <c r="G6" s="9">
        <f>SUM(AL_FINANCIAL)</f>
        <v>59233.283200829079</v>
      </c>
      <c r="L6" s="6">
        <v>52000</v>
      </c>
      <c r="M6" s="1">
        <v>0</v>
      </c>
      <c r="O6" s="1">
        <v>6439</v>
      </c>
      <c r="P6" s="1">
        <v>0</v>
      </c>
      <c r="R6" s="1">
        <v>0</v>
      </c>
      <c r="S6" s="1">
        <v>0</v>
      </c>
      <c r="U6" s="1">
        <v>0</v>
      </c>
      <c r="V6" s="9">
        <v>0</v>
      </c>
    </row>
    <row r="7" spans="1:22">
      <c r="A7" s="1" t="s">
        <v>12</v>
      </c>
      <c r="B7" s="6">
        <v>0</v>
      </c>
      <c r="C7" s="1">
        <v>0</v>
      </c>
      <c r="D7" s="1">
        <v>0</v>
      </c>
      <c r="E7" s="1">
        <v>0</v>
      </c>
      <c r="F7" s="1">
        <v>0</v>
      </c>
      <c r="G7" s="9">
        <f>SUM(AK_FINANCIAL)</f>
        <v>0</v>
      </c>
      <c r="I7" s="12"/>
      <c r="J7" s="15"/>
      <c r="L7" s="6">
        <v>110</v>
      </c>
      <c r="M7" s="1">
        <v>0</v>
      </c>
      <c r="O7" s="1">
        <v>0</v>
      </c>
      <c r="P7" s="1">
        <v>0</v>
      </c>
      <c r="R7" s="1">
        <v>0</v>
      </c>
      <c r="S7" s="1">
        <v>0</v>
      </c>
      <c r="U7" s="1">
        <v>0</v>
      </c>
      <c r="V7" s="9">
        <v>0</v>
      </c>
    </row>
    <row r="8" spans="1:22">
      <c r="A8" s="1" t="s">
        <v>13</v>
      </c>
      <c r="B8" s="6">
        <v>562873.04993936257</v>
      </c>
      <c r="C8" s="1">
        <v>953959.97063714778</v>
      </c>
      <c r="D8" s="1">
        <v>0</v>
      </c>
      <c r="E8" s="1">
        <v>0</v>
      </c>
      <c r="F8" s="1">
        <v>0</v>
      </c>
      <c r="G8" s="9">
        <f>SUM(AZ_FINANCIAL)</f>
        <v>1516833.0205765103</v>
      </c>
      <c r="I8" s="13" t="s">
        <v>14</v>
      </c>
      <c r="J8" s="16"/>
      <c r="L8" s="6">
        <v>689003</v>
      </c>
      <c r="M8" s="1">
        <v>0</v>
      </c>
      <c r="O8" s="1">
        <v>391573</v>
      </c>
      <c r="P8" s="1">
        <v>0</v>
      </c>
      <c r="R8" s="1">
        <v>0</v>
      </c>
      <c r="S8" s="1">
        <v>0</v>
      </c>
      <c r="U8" s="1">
        <v>0</v>
      </c>
      <c r="V8" s="9">
        <v>0</v>
      </c>
    </row>
    <row r="9" spans="1:22">
      <c r="A9" s="1" t="s">
        <v>15</v>
      </c>
      <c r="B9" s="6">
        <v>53504.016112616839</v>
      </c>
      <c r="C9" s="1">
        <v>99283.018669156489</v>
      </c>
      <c r="D9" s="1">
        <v>0</v>
      </c>
      <c r="E9" s="1">
        <v>0</v>
      </c>
      <c r="F9" s="1">
        <v>0</v>
      </c>
      <c r="G9" s="9">
        <f>SUM(AR_FINANCIAL)</f>
        <v>152787.03478177334</v>
      </c>
      <c r="I9" s="13"/>
      <c r="J9" s="16"/>
      <c r="L9" s="6">
        <v>190247</v>
      </c>
      <c r="M9" s="1">
        <v>0</v>
      </c>
      <c r="O9" s="1">
        <v>0</v>
      </c>
      <c r="P9" s="1">
        <v>0</v>
      </c>
      <c r="R9" s="1">
        <v>0</v>
      </c>
      <c r="S9" s="1">
        <v>0</v>
      </c>
      <c r="U9" s="1">
        <v>0</v>
      </c>
      <c r="V9" s="9">
        <v>0</v>
      </c>
    </row>
    <row r="10" spans="1:22">
      <c r="A10" s="1" t="s">
        <v>16</v>
      </c>
      <c r="B10" s="6">
        <v>0</v>
      </c>
      <c r="C10" s="1">
        <v>0</v>
      </c>
      <c r="D10" s="1">
        <v>0</v>
      </c>
      <c r="E10" s="1">
        <v>0</v>
      </c>
      <c r="F10" s="1">
        <v>0</v>
      </c>
      <c r="G10" s="9">
        <f>SUM(CA_FINANCIAL)</f>
        <v>0</v>
      </c>
      <c r="I10" s="13" t="s">
        <v>17</v>
      </c>
      <c r="J10" s="16">
        <v>286944298</v>
      </c>
      <c r="L10" s="6"/>
      <c r="V10" s="9"/>
    </row>
    <row r="11" spans="1:22">
      <c r="A11" s="1" t="s">
        <v>18</v>
      </c>
      <c r="B11" s="6">
        <v>0</v>
      </c>
      <c r="C11" s="1">
        <v>0</v>
      </c>
      <c r="D11" s="1">
        <v>0</v>
      </c>
      <c r="E11" s="1">
        <v>0</v>
      </c>
      <c r="F11" s="1">
        <v>0</v>
      </c>
      <c r="G11" s="9">
        <f>SUM(CO_FINANCIAL)</f>
        <v>0</v>
      </c>
      <c r="I11" s="13"/>
      <c r="J11" s="16"/>
      <c r="L11" s="6"/>
      <c r="V11" s="9"/>
    </row>
    <row r="12" spans="1:22">
      <c r="A12" s="1" t="s">
        <v>19</v>
      </c>
      <c r="B12" s="6">
        <v>0</v>
      </c>
      <c r="C12" s="1">
        <v>0</v>
      </c>
      <c r="D12" s="1">
        <v>0</v>
      </c>
      <c r="E12" s="1">
        <v>0</v>
      </c>
      <c r="F12" s="1">
        <v>0</v>
      </c>
      <c r="G12" s="9">
        <f>SUM(CT_FINANCIAL)</f>
        <v>0</v>
      </c>
      <c r="I12" s="13" t="s">
        <v>20</v>
      </c>
      <c r="J12" s="16"/>
      <c r="L12" s="6"/>
      <c r="V12" s="9"/>
    </row>
    <row r="13" spans="1:22">
      <c r="A13" s="1" t="s">
        <v>21</v>
      </c>
      <c r="B13" s="6">
        <v>13437.614711387589</v>
      </c>
      <c r="C13" s="1">
        <v>4719.14881419829</v>
      </c>
      <c r="D13" s="1">
        <v>0</v>
      </c>
      <c r="E13" s="1">
        <v>0</v>
      </c>
      <c r="F13" s="1">
        <v>0</v>
      </c>
      <c r="G13" s="9">
        <f>SUM(DE_FINANCIAL)</f>
        <v>18156.763525585877</v>
      </c>
      <c r="I13" s="13" t="s">
        <v>22</v>
      </c>
      <c r="J13" s="16">
        <v>37921.869999999995</v>
      </c>
      <c r="L13" s="6">
        <v>18000</v>
      </c>
      <c r="M13" s="1">
        <v>0</v>
      </c>
      <c r="O13" s="1">
        <v>27000</v>
      </c>
      <c r="P13" s="1">
        <v>0</v>
      </c>
      <c r="R13" s="1">
        <v>0</v>
      </c>
      <c r="S13" s="1">
        <v>0</v>
      </c>
      <c r="U13" s="1">
        <v>0</v>
      </c>
      <c r="V13" s="9">
        <v>0</v>
      </c>
    </row>
    <row r="14" spans="1:22">
      <c r="A14" s="1" t="s">
        <v>23</v>
      </c>
      <c r="B14" s="6">
        <v>0</v>
      </c>
      <c r="C14" s="1">
        <v>0</v>
      </c>
      <c r="D14" s="1">
        <v>0</v>
      </c>
      <c r="E14" s="1">
        <v>0</v>
      </c>
      <c r="F14" s="1">
        <v>0</v>
      </c>
      <c r="G14" s="9">
        <f>SUM(DC_FINANCIAL)</f>
        <v>0</v>
      </c>
      <c r="I14" s="13" t="s">
        <v>24</v>
      </c>
      <c r="J14" s="16">
        <v>0</v>
      </c>
      <c r="L14" s="6"/>
      <c r="V14" s="9"/>
    </row>
    <row r="15" spans="1:22">
      <c r="A15" s="1" t="s">
        <v>25</v>
      </c>
      <c r="B15" s="6">
        <v>833739.94934081787</v>
      </c>
      <c r="C15" s="1">
        <v>651194.01144719159</v>
      </c>
      <c r="D15" s="1">
        <v>0</v>
      </c>
      <c r="E15" s="1">
        <v>0</v>
      </c>
      <c r="F15" s="1">
        <v>0</v>
      </c>
      <c r="G15" s="9">
        <f>SUM(FL_FINANCIAL)</f>
        <v>1484933.9607880095</v>
      </c>
      <c r="I15" s="13" t="s">
        <v>26</v>
      </c>
      <c r="J15" s="16">
        <v>4234013.8900000006</v>
      </c>
      <c r="L15" s="6">
        <v>1050000</v>
      </c>
      <c r="M15" s="1">
        <v>0</v>
      </c>
      <c r="O15" s="1">
        <v>610000</v>
      </c>
      <c r="P15" s="1">
        <v>0</v>
      </c>
      <c r="R15" s="1">
        <v>0</v>
      </c>
      <c r="S15" s="1">
        <v>0</v>
      </c>
      <c r="U15" s="1">
        <v>0</v>
      </c>
      <c r="V15" s="9">
        <v>0</v>
      </c>
    </row>
    <row r="16" spans="1:22">
      <c r="A16" s="1" t="s">
        <v>27</v>
      </c>
      <c r="B16" s="6">
        <v>88528.730966546849</v>
      </c>
      <c r="C16" s="1">
        <v>66960.511673847635</v>
      </c>
      <c r="D16" s="1">
        <v>0</v>
      </c>
      <c r="E16" s="1">
        <v>0</v>
      </c>
      <c r="F16" s="1">
        <v>0</v>
      </c>
      <c r="G16" s="9">
        <f>SUM(GA_FINANCIAL)</f>
        <v>155489.24264039448</v>
      </c>
      <c r="I16" s="13" t="s">
        <v>28</v>
      </c>
      <c r="J16" s="16">
        <v>0</v>
      </c>
      <c r="L16" s="6">
        <v>700000</v>
      </c>
      <c r="M16" s="1">
        <v>0</v>
      </c>
      <c r="O16" s="1">
        <v>300000</v>
      </c>
      <c r="P16" s="1">
        <v>7626.91</v>
      </c>
      <c r="R16" s="1">
        <v>0</v>
      </c>
      <c r="S16" s="1">
        <v>0</v>
      </c>
      <c r="U16" s="1">
        <v>0</v>
      </c>
      <c r="V16" s="9">
        <v>0</v>
      </c>
    </row>
    <row r="17" spans="1:22">
      <c r="A17" s="1" t="s">
        <v>29</v>
      </c>
      <c r="B17" s="6">
        <v>1116713.0212970136</v>
      </c>
      <c r="C17" s="1">
        <v>271035.88320471195</v>
      </c>
      <c r="D17" s="1">
        <v>0</v>
      </c>
      <c r="E17" s="1">
        <v>0</v>
      </c>
      <c r="F17" s="1">
        <v>0</v>
      </c>
      <c r="G17" s="9">
        <f>SUM(HI_FINANCIAL)</f>
        <v>1387748.9045017255</v>
      </c>
      <c r="I17" s="13"/>
      <c r="J17" s="16"/>
      <c r="L17" s="6">
        <v>1498749</v>
      </c>
      <c r="M17" s="1">
        <v>0</v>
      </c>
      <c r="O17" s="1">
        <v>326850</v>
      </c>
      <c r="P17" s="1">
        <v>0</v>
      </c>
      <c r="R17" s="1">
        <v>1129</v>
      </c>
      <c r="S17" s="1">
        <v>0</v>
      </c>
      <c r="U17" s="1">
        <v>0</v>
      </c>
      <c r="V17" s="9">
        <v>0</v>
      </c>
    </row>
    <row r="18" spans="1:22">
      <c r="A18" s="1" t="s">
        <v>30</v>
      </c>
      <c r="B18" s="6">
        <v>337624.52893879544</v>
      </c>
      <c r="C18" s="1">
        <v>658539.71998381882</v>
      </c>
      <c r="D18" s="1">
        <v>0</v>
      </c>
      <c r="E18" s="1">
        <v>0</v>
      </c>
      <c r="F18" s="1">
        <v>0</v>
      </c>
      <c r="G18" s="9">
        <f>SUM(ID_FINANCIAL)</f>
        <v>996164.24892261426</v>
      </c>
      <c r="I18" s="13" t="s">
        <v>31</v>
      </c>
      <c r="J18" s="16"/>
      <c r="L18" s="6">
        <v>801000</v>
      </c>
      <c r="M18" s="1">
        <v>765495</v>
      </c>
      <c r="O18" s="1">
        <v>987000</v>
      </c>
      <c r="P18" s="1">
        <v>0</v>
      </c>
      <c r="R18" s="1">
        <v>12000</v>
      </c>
      <c r="S18" s="1">
        <v>0</v>
      </c>
      <c r="U18" s="1">
        <v>0</v>
      </c>
      <c r="V18" s="9">
        <v>0</v>
      </c>
    </row>
    <row r="19" spans="1:22">
      <c r="A19" s="1" t="s">
        <v>32</v>
      </c>
      <c r="B19" s="6">
        <v>575072.04567004193</v>
      </c>
      <c r="C19" s="1">
        <v>731599.17904769559</v>
      </c>
      <c r="D19" s="1">
        <v>0</v>
      </c>
      <c r="E19" s="1">
        <v>0</v>
      </c>
      <c r="F19" s="1">
        <v>0</v>
      </c>
      <c r="G19" s="9">
        <f>SUM(IL_FINANCIAL)</f>
        <v>1306671.2247177376</v>
      </c>
      <c r="I19" s="13" t="s">
        <v>33</v>
      </c>
      <c r="J19" s="16">
        <v>202443924.18881601</v>
      </c>
      <c r="L19" s="6">
        <v>940000</v>
      </c>
      <c r="M19" s="1">
        <v>302000</v>
      </c>
      <c r="O19" s="1">
        <v>810000</v>
      </c>
      <c r="P19" s="1">
        <v>194000</v>
      </c>
      <c r="R19" s="1">
        <v>0</v>
      </c>
      <c r="S19" s="1">
        <v>0</v>
      </c>
      <c r="U19" s="1">
        <v>0</v>
      </c>
      <c r="V19" s="9">
        <v>0</v>
      </c>
    </row>
    <row r="20" spans="1:22">
      <c r="A20" s="1" t="s">
        <v>34</v>
      </c>
      <c r="B20" s="6">
        <v>119633.93625063084</v>
      </c>
      <c r="C20" s="1">
        <v>193575.14855894167</v>
      </c>
      <c r="D20" s="1">
        <v>0</v>
      </c>
      <c r="E20" s="1">
        <v>0</v>
      </c>
      <c r="F20" s="1">
        <v>0</v>
      </c>
      <c r="G20" s="9">
        <f>SUM(IN_FINANCIAL)</f>
        <v>313209.08480957249</v>
      </c>
      <c r="I20" s="13" t="s">
        <v>35</v>
      </c>
      <c r="J20" s="16">
        <v>32137465.317571491</v>
      </c>
      <c r="L20" s="6"/>
      <c r="V20" s="9"/>
    </row>
    <row r="21" spans="1:22">
      <c r="A21" s="1" t="s">
        <v>36</v>
      </c>
      <c r="B21" s="6">
        <v>76345.387741026731</v>
      </c>
      <c r="C21" s="1">
        <v>157453.13393958157</v>
      </c>
      <c r="D21" s="1">
        <v>0</v>
      </c>
      <c r="E21" s="1">
        <v>0</v>
      </c>
      <c r="F21" s="1">
        <v>0</v>
      </c>
      <c r="G21" s="9">
        <f>SUM(IA_FINANCIAL)</f>
        <v>233798.5216806083</v>
      </c>
      <c r="I21" s="13" t="s">
        <v>37</v>
      </c>
      <c r="J21" s="16"/>
      <c r="L21" s="6">
        <v>200000</v>
      </c>
      <c r="M21" s="1">
        <v>0</v>
      </c>
      <c r="O21" s="1">
        <v>0</v>
      </c>
      <c r="P21" s="1">
        <v>0</v>
      </c>
      <c r="R21" s="1">
        <v>0</v>
      </c>
      <c r="S21" s="1">
        <v>0</v>
      </c>
      <c r="U21" s="1">
        <v>0</v>
      </c>
      <c r="V21" s="9">
        <v>0</v>
      </c>
    </row>
    <row r="22" spans="1:22">
      <c r="A22" s="1" t="s">
        <v>38</v>
      </c>
      <c r="B22" s="6">
        <v>0</v>
      </c>
      <c r="C22" s="1">
        <v>0</v>
      </c>
      <c r="D22" s="1">
        <v>0</v>
      </c>
      <c r="E22" s="1">
        <v>0</v>
      </c>
      <c r="F22" s="1">
        <v>0</v>
      </c>
      <c r="G22" s="9">
        <f>SUM(KS_FINANCIAL)</f>
        <v>0</v>
      </c>
      <c r="I22" s="13" t="s">
        <v>39</v>
      </c>
      <c r="J22" s="16">
        <v>27830305.493612494</v>
      </c>
      <c r="L22" s="6"/>
      <c r="V22" s="9"/>
    </row>
    <row r="23" spans="1:22">
      <c r="A23" s="1" t="s">
        <v>40</v>
      </c>
      <c r="B23" s="6">
        <v>110755.68997327801</v>
      </c>
      <c r="C23" s="1">
        <v>63241.22334880237</v>
      </c>
      <c r="D23" s="1">
        <v>0</v>
      </c>
      <c r="E23" s="1">
        <v>0</v>
      </c>
      <c r="F23" s="1">
        <v>0</v>
      </c>
      <c r="G23" s="9">
        <f>SUM(KY_FINANCIAL)</f>
        <v>173996.91332208039</v>
      </c>
      <c r="I23" s="13" t="s">
        <v>41</v>
      </c>
      <c r="J23" s="16"/>
      <c r="L23" s="6">
        <v>119576</v>
      </c>
      <c r="M23" s="1">
        <v>0</v>
      </c>
      <c r="O23" s="1">
        <v>56024</v>
      </c>
      <c r="P23" s="1">
        <v>0</v>
      </c>
      <c r="R23" s="1">
        <v>0</v>
      </c>
      <c r="S23" s="1">
        <v>0</v>
      </c>
      <c r="U23" s="1">
        <v>0</v>
      </c>
      <c r="V23" s="9">
        <v>0</v>
      </c>
    </row>
    <row r="24" spans="1:22">
      <c r="A24" s="1" t="s">
        <v>42</v>
      </c>
      <c r="B24" s="6">
        <v>0</v>
      </c>
      <c r="C24" s="1">
        <v>0</v>
      </c>
      <c r="D24" s="1">
        <v>0</v>
      </c>
      <c r="E24" s="1">
        <v>0</v>
      </c>
      <c r="F24" s="1">
        <v>0</v>
      </c>
      <c r="G24" s="9">
        <f>SUM(LA_FINANCIAL)</f>
        <v>0</v>
      </c>
      <c r="I24" s="13" t="s">
        <v>43</v>
      </c>
      <c r="J24" s="16">
        <v>381030.99999999994</v>
      </c>
      <c r="L24" s="6"/>
      <c r="V24" s="9"/>
    </row>
    <row r="25" spans="1:22">
      <c r="A25" s="1" t="s">
        <v>44</v>
      </c>
      <c r="B25" s="6">
        <v>140150.53701118837</v>
      </c>
      <c r="C25" s="1">
        <v>236492.11827458662</v>
      </c>
      <c r="D25" s="1">
        <v>0</v>
      </c>
      <c r="E25" s="1">
        <v>0</v>
      </c>
      <c r="F25" s="1">
        <v>0</v>
      </c>
      <c r="G25" s="9">
        <f>SUM(ME_FINANCIAL)</f>
        <v>376642.65528577496</v>
      </c>
      <c r="I25" s="13"/>
      <c r="J25" s="16"/>
      <c r="L25" s="6">
        <v>134289</v>
      </c>
      <c r="M25" s="1">
        <v>0</v>
      </c>
      <c r="O25" s="1">
        <v>290711</v>
      </c>
      <c r="P25" s="1">
        <v>0</v>
      </c>
      <c r="R25" s="1">
        <v>0</v>
      </c>
      <c r="S25" s="1">
        <v>0</v>
      </c>
      <c r="U25" s="1">
        <v>0</v>
      </c>
      <c r="V25" s="9">
        <v>0</v>
      </c>
    </row>
    <row r="26" spans="1:22">
      <c r="A26" s="1" t="s">
        <v>45</v>
      </c>
      <c r="B26" s="6">
        <v>0</v>
      </c>
      <c r="C26" s="1">
        <v>0</v>
      </c>
      <c r="D26" s="1">
        <v>0</v>
      </c>
      <c r="E26" s="1">
        <v>0</v>
      </c>
      <c r="F26" s="1">
        <v>0</v>
      </c>
      <c r="G26" s="9">
        <f>SUM(MD_FINANCIAL)</f>
        <v>0</v>
      </c>
      <c r="I26" s="13" t="s">
        <v>46</v>
      </c>
      <c r="J26" s="16">
        <f>SUM(ADD_FINANCIAL)-SUM(LESS_FINANCIAL)</f>
        <v>28423507.75999999</v>
      </c>
      <c r="L26" s="6"/>
      <c r="V26" s="9"/>
    </row>
    <row r="27" spans="1:22">
      <c r="A27" s="1" t="s">
        <v>47</v>
      </c>
      <c r="B27" s="6">
        <v>141776.91650821277</v>
      </c>
      <c r="C27" s="1">
        <v>150552.39187148516</v>
      </c>
      <c r="D27" s="1">
        <v>0</v>
      </c>
      <c r="E27" s="1">
        <v>0</v>
      </c>
      <c r="F27" s="1">
        <v>0</v>
      </c>
      <c r="G27" s="9">
        <f>SUM(MA_FINANCIAL)</f>
        <v>292329.30837969796</v>
      </c>
      <c r="I27" s="13" t="s">
        <v>48</v>
      </c>
      <c r="J27" s="16">
        <f>SUM(ALL_BLOCKS)</f>
        <v>28423507.760000005</v>
      </c>
      <c r="L27" s="6">
        <v>104000</v>
      </c>
      <c r="M27" s="1">
        <v>0</v>
      </c>
      <c r="O27" s="1">
        <v>121000</v>
      </c>
      <c r="P27" s="1">
        <v>0</v>
      </c>
      <c r="R27" s="1">
        <v>0</v>
      </c>
      <c r="S27" s="1">
        <v>0</v>
      </c>
      <c r="U27" s="1">
        <v>0</v>
      </c>
      <c r="V27" s="9">
        <v>0</v>
      </c>
    </row>
    <row r="28" spans="1:22">
      <c r="A28" s="1" t="s">
        <v>49</v>
      </c>
      <c r="B28" s="6">
        <v>0</v>
      </c>
      <c r="C28" s="1">
        <v>0</v>
      </c>
      <c r="D28" s="1">
        <v>0</v>
      </c>
      <c r="E28" s="1">
        <v>0</v>
      </c>
      <c r="F28" s="1">
        <v>0</v>
      </c>
      <c r="G28" s="9">
        <f>SUM(MI_FINANCIAL)</f>
        <v>0</v>
      </c>
      <c r="I28" s="14"/>
      <c r="J28" s="17"/>
      <c r="L28" s="6"/>
      <c r="V28" s="9"/>
    </row>
    <row r="29" spans="1:22">
      <c r="A29" s="1" t="s">
        <v>50</v>
      </c>
      <c r="B29" s="6">
        <v>1159108.0449305968</v>
      </c>
      <c r="C29" s="1">
        <v>3190010.5023428905</v>
      </c>
      <c r="D29" s="1">
        <v>0</v>
      </c>
      <c r="E29" s="1">
        <v>0</v>
      </c>
      <c r="F29" s="1">
        <v>0</v>
      </c>
      <c r="G29" s="9">
        <f>SUM(MN_FINANCIAL)</f>
        <v>4349118.5472734869</v>
      </c>
      <c r="L29" s="6">
        <v>1650000</v>
      </c>
      <c r="M29" s="1">
        <v>0</v>
      </c>
      <c r="O29" s="1">
        <v>2950000</v>
      </c>
      <c r="P29" s="1">
        <v>0</v>
      </c>
      <c r="R29" s="1">
        <v>0</v>
      </c>
      <c r="S29" s="1">
        <v>0</v>
      </c>
      <c r="U29" s="1">
        <v>0</v>
      </c>
      <c r="V29" s="9">
        <v>0</v>
      </c>
    </row>
    <row r="30" spans="1:22">
      <c r="A30" s="1" t="s">
        <v>51</v>
      </c>
      <c r="B30" s="6">
        <v>9169.2300442626911</v>
      </c>
      <c r="C30" s="1">
        <v>9556.4323305378384</v>
      </c>
      <c r="D30" s="1">
        <v>0</v>
      </c>
      <c r="E30" s="1">
        <v>0</v>
      </c>
      <c r="F30" s="1">
        <v>0</v>
      </c>
      <c r="G30" s="9">
        <f>SUM(MS_FINANCIAL)</f>
        <v>18725.66237480053</v>
      </c>
      <c r="L30" s="6"/>
      <c r="V30" s="9"/>
    </row>
    <row r="31" spans="1:22">
      <c r="A31" s="1" t="s">
        <v>52</v>
      </c>
      <c r="B31" s="6">
        <v>41864.468917701794</v>
      </c>
      <c r="C31" s="1">
        <v>45151.772748700445</v>
      </c>
      <c r="D31" s="1">
        <v>0</v>
      </c>
      <c r="E31" s="1">
        <v>0</v>
      </c>
      <c r="F31" s="1">
        <v>0</v>
      </c>
      <c r="G31" s="9">
        <f>SUM(MO_FINANCIAL)</f>
        <v>87016.241666402231</v>
      </c>
      <c r="L31" s="6"/>
      <c r="V31" s="9"/>
    </row>
    <row r="32" spans="1:22">
      <c r="A32" s="1" t="s">
        <v>53</v>
      </c>
      <c r="B32" s="6">
        <v>126200.41721112057</v>
      </c>
      <c r="C32" s="1">
        <v>167714.56873202312</v>
      </c>
      <c r="D32" s="1">
        <v>0</v>
      </c>
      <c r="E32" s="1">
        <v>0</v>
      </c>
      <c r="F32" s="1">
        <v>0</v>
      </c>
      <c r="G32" s="9">
        <f>SUM(MT_FINANCIAL)</f>
        <v>293914.98594314372</v>
      </c>
      <c r="L32" s="6">
        <v>181500</v>
      </c>
      <c r="M32" s="1">
        <v>0</v>
      </c>
      <c r="O32" s="1">
        <v>223500</v>
      </c>
      <c r="P32" s="1">
        <v>0</v>
      </c>
      <c r="R32" s="1">
        <v>0</v>
      </c>
      <c r="S32" s="1">
        <v>0</v>
      </c>
      <c r="U32" s="1">
        <v>0</v>
      </c>
      <c r="V32" s="9">
        <v>0</v>
      </c>
    </row>
    <row r="33" spans="1:22">
      <c r="A33" s="1" t="s">
        <v>54</v>
      </c>
      <c r="B33" s="6">
        <v>178599.32052406488</v>
      </c>
      <c r="C33" s="1">
        <v>286483.87922460376</v>
      </c>
      <c r="D33" s="1">
        <v>0</v>
      </c>
      <c r="E33" s="1">
        <v>0</v>
      </c>
      <c r="F33" s="1">
        <v>0</v>
      </c>
      <c r="G33" s="9">
        <f>SUM(NE_FINANCIAL)</f>
        <v>465083.19974866865</v>
      </c>
      <c r="L33" s="6">
        <v>160000</v>
      </c>
      <c r="M33" s="1">
        <v>0</v>
      </c>
      <c r="O33" s="1">
        <v>334162</v>
      </c>
      <c r="P33" s="1">
        <v>0</v>
      </c>
      <c r="R33" s="1">
        <v>0</v>
      </c>
      <c r="S33" s="1">
        <v>0</v>
      </c>
      <c r="U33" s="1">
        <v>0</v>
      </c>
      <c r="V33" s="9">
        <v>0</v>
      </c>
    </row>
    <row r="34" spans="1:22">
      <c r="A34" s="1" t="s">
        <v>55</v>
      </c>
      <c r="B34" s="6">
        <v>168746.61792786431</v>
      </c>
      <c r="C34" s="1">
        <v>255794.45334771089</v>
      </c>
      <c r="D34" s="1">
        <v>0</v>
      </c>
      <c r="E34" s="1">
        <v>0</v>
      </c>
      <c r="F34" s="1">
        <v>0</v>
      </c>
      <c r="G34" s="9">
        <f>SUM(NV_FINANCIAL)</f>
        <v>424541.0712755752</v>
      </c>
      <c r="L34" s="6">
        <v>544500</v>
      </c>
      <c r="M34" s="1">
        <v>0</v>
      </c>
      <c r="O34" s="1">
        <v>242200</v>
      </c>
      <c r="P34" s="1">
        <v>0</v>
      </c>
      <c r="R34" s="1">
        <v>0</v>
      </c>
      <c r="S34" s="1">
        <v>0</v>
      </c>
      <c r="U34" s="1">
        <v>0</v>
      </c>
      <c r="V34" s="9">
        <v>0</v>
      </c>
    </row>
    <row r="35" spans="1:22">
      <c r="A35" s="1" t="s">
        <v>56</v>
      </c>
      <c r="B35" s="6">
        <v>0</v>
      </c>
      <c r="C35" s="1">
        <v>0</v>
      </c>
      <c r="D35" s="1">
        <v>0</v>
      </c>
      <c r="E35" s="1">
        <v>0</v>
      </c>
      <c r="F35" s="1">
        <v>0</v>
      </c>
      <c r="G35" s="9">
        <f>SUM(NH_FINANCIAL)</f>
        <v>0</v>
      </c>
      <c r="L35" s="6"/>
      <c r="V35" s="9"/>
    </row>
    <row r="36" spans="1:22">
      <c r="A36" s="1" t="s">
        <v>57</v>
      </c>
      <c r="B36" s="6">
        <v>0</v>
      </c>
      <c r="C36" s="1">
        <v>0</v>
      </c>
      <c r="D36" s="1">
        <v>0</v>
      </c>
      <c r="E36" s="1">
        <v>0</v>
      </c>
      <c r="F36" s="1">
        <v>0</v>
      </c>
      <c r="G36" s="9">
        <f>SUM(NJ_FINANCIAL)</f>
        <v>0</v>
      </c>
      <c r="L36" s="6"/>
      <c r="V36" s="9"/>
    </row>
    <row r="37" spans="1:22">
      <c r="A37" s="1" t="s">
        <v>58</v>
      </c>
      <c r="B37" s="6">
        <v>163249.10227097981</v>
      </c>
      <c r="C37" s="1">
        <v>245552.02483974615</v>
      </c>
      <c r="D37" s="1">
        <v>0</v>
      </c>
      <c r="E37" s="1">
        <v>0</v>
      </c>
      <c r="F37" s="1">
        <v>0</v>
      </c>
      <c r="G37" s="9">
        <f>SUM(NM_FINANCIAL)</f>
        <v>408801.12711072597</v>
      </c>
      <c r="L37" s="6">
        <v>475000</v>
      </c>
      <c r="M37" s="1">
        <v>0</v>
      </c>
      <c r="O37" s="1">
        <v>300000</v>
      </c>
      <c r="P37" s="1">
        <v>0</v>
      </c>
      <c r="R37" s="1">
        <v>0</v>
      </c>
      <c r="S37" s="1">
        <v>0</v>
      </c>
      <c r="U37" s="1">
        <v>0</v>
      </c>
      <c r="V37" s="9">
        <v>0</v>
      </c>
    </row>
    <row r="38" spans="1:22">
      <c r="A38" s="1" t="s">
        <v>59</v>
      </c>
      <c r="B38" s="6">
        <v>0</v>
      </c>
      <c r="C38" s="1">
        <v>0</v>
      </c>
      <c r="D38" s="1">
        <v>0</v>
      </c>
      <c r="E38" s="1">
        <v>0</v>
      </c>
      <c r="F38" s="1">
        <v>0</v>
      </c>
      <c r="G38" s="9">
        <f>SUM(NY_FINANCIAL)</f>
        <v>0</v>
      </c>
      <c r="L38" s="6"/>
      <c r="V38" s="9"/>
    </row>
    <row r="39" spans="1:22">
      <c r="A39" s="1" t="s">
        <v>60</v>
      </c>
      <c r="B39" s="6">
        <v>352721.40908600512</v>
      </c>
      <c r="C39" s="1">
        <v>247141.90972070448</v>
      </c>
      <c r="D39" s="1">
        <v>0</v>
      </c>
      <c r="E39" s="1">
        <v>0</v>
      </c>
      <c r="F39" s="1">
        <v>0</v>
      </c>
      <c r="G39" s="9">
        <f>SUM(NC_FINANCIAL)</f>
        <v>599863.31880670961</v>
      </c>
      <c r="L39" s="6">
        <v>360000</v>
      </c>
      <c r="M39" s="1">
        <v>0</v>
      </c>
      <c r="O39" s="1">
        <v>240000</v>
      </c>
      <c r="P39" s="1">
        <v>0</v>
      </c>
      <c r="R39" s="1">
        <v>0</v>
      </c>
      <c r="S39" s="1">
        <v>0</v>
      </c>
      <c r="U39" s="1">
        <v>0</v>
      </c>
      <c r="V39" s="9">
        <v>0</v>
      </c>
    </row>
    <row r="40" spans="1:22">
      <c r="A40" s="1" t="s">
        <v>61</v>
      </c>
      <c r="B40" s="6">
        <v>134532.69635246971</v>
      </c>
      <c r="C40" s="1">
        <v>84886.748181397677</v>
      </c>
      <c r="D40" s="1">
        <v>0</v>
      </c>
      <c r="E40" s="1">
        <v>0</v>
      </c>
      <c r="F40" s="1">
        <v>0</v>
      </c>
      <c r="G40" s="9">
        <f>SUM(ND_FINANCIAL)</f>
        <v>219419.44453386738</v>
      </c>
      <c r="L40" s="6">
        <v>259900</v>
      </c>
      <c r="M40" s="1">
        <v>0</v>
      </c>
      <c r="O40" s="1">
        <v>21700</v>
      </c>
      <c r="P40" s="1">
        <v>0</v>
      </c>
      <c r="R40" s="1">
        <v>0</v>
      </c>
      <c r="S40" s="1">
        <v>0</v>
      </c>
      <c r="U40" s="1">
        <v>0</v>
      </c>
      <c r="V40" s="9">
        <v>0</v>
      </c>
    </row>
    <row r="41" spans="1:22">
      <c r="A41" s="1" t="s">
        <v>62</v>
      </c>
      <c r="B41" s="6">
        <v>1139683.0003453719</v>
      </c>
      <c r="C41" s="1">
        <v>604188.09435696446</v>
      </c>
      <c r="D41" s="1">
        <v>0</v>
      </c>
      <c r="E41" s="1">
        <v>0</v>
      </c>
      <c r="F41" s="1">
        <v>0</v>
      </c>
      <c r="G41" s="9">
        <f>SUM(OH_FINANCIAL)</f>
        <v>1743871.0947023365</v>
      </c>
      <c r="L41" s="6">
        <v>2600000</v>
      </c>
      <c r="M41" s="1">
        <v>0</v>
      </c>
      <c r="O41" s="1">
        <v>600000</v>
      </c>
      <c r="P41" s="1">
        <v>0</v>
      </c>
      <c r="R41" s="1">
        <v>0</v>
      </c>
      <c r="S41" s="1">
        <v>0</v>
      </c>
      <c r="U41" s="1">
        <v>0</v>
      </c>
      <c r="V41" s="9">
        <v>0</v>
      </c>
    </row>
    <row r="42" spans="1:22">
      <c r="A42" s="1" t="s">
        <v>63</v>
      </c>
      <c r="B42" s="6">
        <v>797768.4393092962</v>
      </c>
      <c r="C42" s="1">
        <v>809975.52325455612</v>
      </c>
      <c r="D42" s="1">
        <v>0</v>
      </c>
      <c r="E42" s="1">
        <v>0</v>
      </c>
      <c r="F42" s="1">
        <v>0</v>
      </c>
      <c r="G42" s="9">
        <f>SUM(OK_FINANCIAL)</f>
        <v>1607743.9625638523</v>
      </c>
      <c r="L42" s="6">
        <v>959500</v>
      </c>
      <c r="M42" s="1">
        <v>35700</v>
      </c>
      <c r="O42" s="1">
        <v>0</v>
      </c>
      <c r="P42" s="1">
        <v>34300</v>
      </c>
      <c r="R42" s="1">
        <v>0</v>
      </c>
      <c r="S42" s="1">
        <v>0</v>
      </c>
      <c r="U42" s="1">
        <v>0</v>
      </c>
      <c r="V42" s="9">
        <v>0</v>
      </c>
    </row>
    <row r="43" spans="1:22">
      <c r="A43" s="1" t="s">
        <v>64</v>
      </c>
      <c r="B43" s="6">
        <v>902918.44633946544</v>
      </c>
      <c r="C43" s="1">
        <v>958049.66294901969</v>
      </c>
      <c r="D43" s="1">
        <v>0</v>
      </c>
      <c r="E43" s="1">
        <v>0</v>
      </c>
      <c r="F43" s="1">
        <v>0</v>
      </c>
      <c r="G43" s="9">
        <f>SUM(OR_FINANCIAL)</f>
        <v>1860968.1092884853</v>
      </c>
      <c r="L43" s="6">
        <v>1117921</v>
      </c>
      <c r="M43" s="1">
        <v>0</v>
      </c>
      <c r="O43" s="1">
        <v>1237317</v>
      </c>
      <c r="P43" s="1">
        <v>0</v>
      </c>
      <c r="R43" s="1">
        <v>0</v>
      </c>
      <c r="S43" s="1">
        <v>0</v>
      </c>
      <c r="U43" s="1">
        <v>0</v>
      </c>
      <c r="V43" s="9">
        <v>0</v>
      </c>
    </row>
    <row r="44" spans="1:22">
      <c r="A44" s="1" t="s">
        <v>65</v>
      </c>
      <c r="B44" s="6">
        <v>0</v>
      </c>
      <c r="C44" s="1">
        <v>0</v>
      </c>
      <c r="D44" s="1">
        <v>0</v>
      </c>
      <c r="E44" s="1">
        <v>0</v>
      </c>
      <c r="F44" s="1">
        <v>0</v>
      </c>
      <c r="G44" s="9">
        <f>SUM(PA_FINANCIAL)</f>
        <v>0</v>
      </c>
      <c r="L44" s="6"/>
      <c r="V44" s="9"/>
    </row>
    <row r="45" spans="1:22">
      <c r="A45" s="1" t="s">
        <v>66</v>
      </c>
      <c r="B45" s="6">
        <v>0</v>
      </c>
      <c r="C45" s="1">
        <v>0</v>
      </c>
      <c r="D45" s="1">
        <v>0</v>
      </c>
      <c r="E45" s="1">
        <v>0</v>
      </c>
      <c r="F45" s="1">
        <v>0</v>
      </c>
      <c r="G45" s="9">
        <f>SUM(PR_FINANCIAL)</f>
        <v>0</v>
      </c>
      <c r="L45" s="6"/>
      <c r="V45" s="9"/>
    </row>
    <row r="46" spans="1:22">
      <c r="A46" s="1" t="s">
        <v>67</v>
      </c>
      <c r="B46" s="6">
        <v>7034.933784503758</v>
      </c>
      <c r="C46" s="1">
        <v>17266.329515515503</v>
      </c>
      <c r="D46" s="1">
        <v>0</v>
      </c>
      <c r="E46" s="1">
        <v>0</v>
      </c>
      <c r="F46" s="1">
        <v>0</v>
      </c>
      <c r="G46" s="9">
        <f>SUM(RI_FINANCIAL)</f>
        <v>24301.263300019262</v>
      </c>
      <c r="L46" s="6"/>
      <c r="V46" s="9"/>
    </row>
    <row r="47" spans="1:22">
      <c r="A47" s="1" t="s">
        <v>68</v>
      </c>
      <c r="B47" s="6">
        <v>75966.502372452029</v>
      </c>
      <c r="C47" s="1">
        <v>25115.213653558778</v>
      </c>
      <c r="D47" s="1">
        <v>0</v>
      </c>
      <c r="E47" s="1">
        <v>0</v>
      </c>
      <c r="F47" s="1">
        <v>0</v>
      </c>
      <c r="G47" s="9">
        <f>SUM(SC_FINANCIAL)</f>
        <v>101081.71602601081</v>
      </c>
      <c r="L47" s="6">
        <v>275000</v>
      </c>
      <c r="M47" s="1">
        <v>0</v>
      </c>
      <c r="O47" s="1">
        <v>87000</v>
      </c>
      <c r="P47" s="1">
        <v>0</v>
      </c>
      <c r="R47" s="1">
        <v>0</v>
      </c>
      <c r="S47" s="1">
        <v>0</v>
      </c>
      <c r="U47" s="1">
        <v>0</v>
      </c>
      <c r="V47" s="9">
        <v>0</v>
      </c>
    </row>
    <row r="48" spans="1:22">
      <c r="A48" s="1" t="s">
        <v>69</v>
      </c>
      <c r="B48" s="6">
        <v>197753.89087142725</v>
      </c>
      <c r="C48" s="1">
        <v>42331.543071198255</v>
      </c>
      <c r="D48" s="1">
        <v>0</v>
      </c>
      <c r="E48" s="1">
        <v>0</v>
      </c>
      <c r="F48" s="1">
        <v>0</v>
      </c>
      <c r="G48" s="9">
        <f>SUM(SD_FINANCIAL)</f>
        <v>240085.4339426255</v>
      </c>
      <c r="L48" s="6">
        <v>214000</v>
      </c>
      <c r="M48" s="1">
        <v>0</v>
      </c>
      <c r="O48" s="1">
        <v>0</v>
      </c>
      <c r="P48" s="1">
        <v>0</v>
      </c>
      <c r="R48" s="1">
        <v>0</v>
      </c>
      <c r="S48" s="1">
        <v>0</v>
      </c>
      <c r="U48" s="1">
        <v>0</v>
      </c>
      <c r="V48" s="9">
        <v>0</v>
      </c>
    </row>
    <row r="49" spans="1:22">
      <c r="A49" s="1" t="s">
        <v>70</v>
      </c>
      <c r="B49" s="6">
        <v>47619.005146322699</v>
      </c>
      <c r="C49" s="1">
        <v>78301.801453576729</v>
      </c>
      <c r="D49" s="1">
        <v>0</v>
      </c>
      <c r="E49" s="1">
        <v>0</v>
      </c>
      <c r="F49" s="1">
        <v>0</v>
      </c>
      <c r="G49" s="9">
        <f>SUM(TN_FINANCIAL)</f>
        <v>125920.80659989943</v>
      </c>
      <c r="L49" s="6">
        <v>53000</v>
      </c>
      <c r="M49" s="1">
        <v>0</v>
      </c>
      <c r="O49" s="1">
        <v>47000</v>
      </c>
      <c r="P49" s="1">
        <v>0</v>
      </c>
      <c r="R49" s="1">
        <v>0</v>
      </c>
      <c r="S49" s="1">
        <v>0</v>
      </c>
      <c r="U49" s="1">
        <v>0</v>
      </c>
      <c r="V49" s="9">
        <v>0</v>
      </c>
    </row>
    <row r="50" spans="1:22">
      <c r="A50" s="1" t="s">
        <v>71</v>
      </c>
      <c r="B50" s="6">
        <v>405951.60862088914</v>
      </c>
      <c r="C50" s="1">
        <v>241595.69688777911</v>
      </c>
      <c r="D50" s="1">
        <v>0</v>
      </c>
      <c r="E50" s="1">
        <v>0</v>
      </c>
      <c r="F50" s="1">
        <v>0</v>
      </c>
      <c r="G50" s="9">
        <f>SUM(TX_FINANCIAL)</f>
        <v>647547.3055086683</v>
      </c>
      <c r="L50" s="6">
        <v>820656</v>
      </c>
      <c r="M50" s="1">
        <v>145354.19570000001</v>
      </c>
      <c r="O50" s="1">
        <v>50605</v>
      </c>
      <c r="P50" s="1">
        <v>8957.7101000000002</v>
      </c>
      <c r="R50" s="1">
        <v>17530</v>
      </c>
      <c r="S50" s="1">
        <v>3117.0942000000005</v>
      </c>
      <c r="U50" s="1">
        <v>0</v>
      </c>
      <c r="V50" s="9">
        <v>0</v>
      </c>
    </row>
    <row r="51" spans="1:22">
      <c r="A51" s="1" t="s">
        <v>72</v>
      </c>
      <c r="B51" s="6">
        <v>133726.42889979633</v>
      </c>
      <c r="C51" s="1">
        <v>143785.12678942521</v>
      </c>
      <c r="D51" s="1">
        <v>0</v>
      </c>
      <c r="E51" s="1">
        <v>0</v>
      </c>
      <c r="F51" s="1">
        <v>0</v>
      </c>
      <c r="G51" s="9">
        <f>SUM(UT_FINANCIAL)</f>
        <v>277511.55568922154</v>
      </c>
      <c r="L51" s="6">
        <v>502653</v>
      </c>
      <c r="M51" s="1">
        <v>238038</v>
      </c>
      <c r="O51" s="1">
        <v>127347</v>
      </c>
      <c r="P51" s="1">
        <v>59510</v>
      </c>
      <c r="R51" s="1">
        <v>0</v>
      </c>
      <c r="S51" s="1">
        <v>0</v>
      </c>
      <c r="U51" s="1">
        <v>0</v>
      </c>
      <c r="V51" s="9">
        <v>0</v>
      </c>
    </row>
    <row r="52" spans="1:22">
      <c r="A52" s="1" t="s">
        <v>73</v>
      </c>
      <c r="B52" s="6">
        <v>25579.914686980312</v>
      </c>
      <c r="C52" s="1">
        <v>14565.171754983348</v>
      </c>
      <c r="D52" s="1">
        <v>0</v>
      </c>
      <c r="E52" s="1">
        <v>0</v>
      </c>
      <c r="F52" s="1">
        <v>0</v>
      </c>
      <c r="G52" s="9">
        <f>SUM(VT_FINANCIAL)</f>
        <v>40145.086441963664</v>
      </c>
      <c r="L52" s="6">
        <v>23664</v>
      </c>
      <c r="M52" s="1">
        <v>0</v>
      </c>
      <c r="O52" s="1">
        <v>26356</v>
      </c>
      <c r="P52" s="1">
        <v>0</v>
      </c>
      <c r="R52" s="1">
        <v>0</v>
      </c>
      <c r="S52" s="1">
        <v>0</v>
      </c>
      <c r="U52" s="1">
        <v>0</v>
      </c>
      <c r="V52" s="9">
        <v>0</v>
      </c>
    </row>
    <row r="53" spans="1:22">
      <c r="A53" s="1" t="s">
        <v>74</v>
      </c>
      <c r="B53" s="6">
        <v>129312.22231847604</v>
      </c>
      <c r="C53" s="1">
        <v>74725.170526510745</v>
      </c>
      <c r="D53" s="1">
        <v>0</v>
      </c>
      <c r="E53" s="1">
        <v>0</v>
      </c>
      <c r="F53" s="1">
        <v>0</v>
      </c>
      <c r="G53" s="9">
        <f>SUM(VA_FINANCIAL)</f>
        <v>204037.39284498678</v>
      </c>
      <c r="L53" s="6">
        <v>161684</v>
      </c>
      <c r="M53" s="1">
        <v>0</v>
      </c>
      <c r="O53" s="1">
        <v>80556</v>
      </c>
      <c r="P53" s="1">
        <v>0</v>
      </c>
      <c r="R53" s="1">
        <v>0</v>
      </c>
      <c r="S53" s="1">
        <v>0</v>
      </c>
      <c r="U53" s="1">
        <v>0</v>
      </c>
      <c r="V53" s="9">
        <v>0</v>
      </c>
    </row>
    <row r="54" spans="1:22">
      <c r="A54" s="1" t="s">
        <v>75</v>
      </c>
      <c r="B54" s="6">
        <v>1858492.707977108</v>
      </c>
      <c r="C54" s="1">
        <v>4231923.9706330122</v>
      </c>
      <c r="D54" s="1">
        <v>0</v>
      </c>
      <c r="E54" s="1">
        <v>0</v>
      </c>
      <c r="F54" s="1">
        <v>0</v>
      </c>
      <c r="G54" s="9">
        <f>SUM(WA_FINANCIAL)</f>
        <v>6090416.67861012</v>
      </c>
      <c r="L54" s="6">
        <v>2100000</v>
      </c>
      <c r="M54" s="1">
        <v>132392</v>
      </c>
      <c r="O54" s="1">
        <v>4231613</v>
      </c>
      <c r="P54" s="1">
        <v>0</v>
      </c>
      <c r="R54" s="1">
        <v>0</v>
      </c>
      <c r="S54" s="1">
        <v>0</v>
      </c>
      <c r="U54" s="1">
        <v>0</v>
      </c>
      <c r="V54" s="9">
        <v>0</v>
      </c>
    </row>
    <row r="55" spans="1:22">
      <c r="A55" s="1" t="s">
        <v>76</v>
      </c>
      <c r="B55" s="6">
        <v>5606.4784992657133</v>
      </c>
      <c r="C55" s="1">
        <v>1363.5321350116342</v>
      </c>
      <c r="D55" s="1">
        <v>0</v>
      </c>
      <c r="E55" s="1">
        <v>0</v>
      </c>
      <c r="F55" s="1">
        <v>0</v>
      </c>
      <c r="G55" s="9">
        <f>SUM(WV_FINANCIAL)</f>
        <v>6970.010634277347</v>
      </c>
      <c r="L55" s="6">
        <v>85455</v>
      </c>
      <c r="M55" s="1">
        <v>105938</v>
      </c>
      <c r="O55" s="1">
        <v>14545</v>
      </c>
      <c r="P55" s="1">
        <v>18617</v>
      </c>
      <c r="R55" s="1">
        <v>0</v>
      </c>
      <c r="S55" s="1">
        <v>0</v>
      </c>
      <c r="U55" s="1">
        <v>0</v>
      </c>
      <c r="V55" s="9">
        <v>0</v>
      </c>
    </row>
    <row r="56" spans="1:22">
      <c r="A56" s="1" t="s">
        <v>77</v>
      </c>
      <c r="B56" s="6">
        <v>0</v>
      </c>
      <c r="C56" s="1">
        <v>0</v>
      </c>
      <c r="D56" s="1">
        <v>0</v>
      </c>
      <c r="E56" s="1">
        <v>0</v>
      </c>
      <c r="F56" s="1">
        <v>0</v>
      </c>
      <c r="G56" s="9">
        <f>SUM(WI_FINANCIAL)</f>
        <v>0</v>
      </c>
      <c r="L56" s="6"/>
      <c r="V56" s="9"/>
    </row>
    <row r="57" spans="1:22">
      <c r="A57" s="1" t="s">
        <v>78</v>
      </c>
      <c r="B57" s="6">
        <v>61989.996300651219</v>
      </c>
      <c r="C57" s="1">
        <v>56439.581680586212</v>
      </c>
      <c r="D57" s="1">
        <v>0</v>
      </c>
      <c r="E57" s="1">
        <v>0</v>
      </c>
      <c r="F57" s="1">
        <v>0</v>
      </c>
      <c r="G57" s="9">
        <f>SUM(WY_FINANCIAL)</f>
        <v>118429.57798123744</v>
      </c>
      <c r="L57" s="6">
        <v>84175</v>
      </c>
      <c r="M57" s="1">
        <v>0</v>
      </c>
      <c r="O57" s="1">
        <v>60825</v>
      </c>
      <c r="P57" s="1">
        <v>0</v>
      </c>
      <c r="R57" s="1">
        <v>0</v>
      </c>
      <c r="S57" s="1">
        <v>0</v>
      </c>
      <c r="U57" s="1">
        <v>0</v>
      </c>
      <c r="V57" s="9">
        <v>0</v>
      </c>
    </row>
    <row r="58" spans="1:22">
      <c r="A58" s="1" t="s">
        <v>79</v>
      </c>
      <c r="B58" s="6">
        <v>0</v>
      </c>
      <c r="C58" s="1">
        <v>0</v>
      </c>
      <c r="D58" s="1">
        <v>0</v>
      </c>
      <c r="E58" s="1">
        <v>0</v>
      </c>
      <c r="F58" s="1">
        <v>0</v>
      </c>
      <c r="G58" s="9">
        <f>SUM(OT_FINANCIAL)</f>
        <v>0</v>
      </c>
      <c r="L58" s="6"/>
      <c r="V58" s="9"/>
    </row>
    <row r="59" spans="1:22">
      <c r="B59" s="6"/>
      <c r="G59" s="9"/>
      <c r="L59" s="6"/>
      <c r="V59" s="9"/>
    </row>
    <row r="60" spans="1:22">
      <c r="A60" s="1" t="s">
        <v>8</v>
      </c>
      <c r="B60" s="6">
        <f>SUM(LIFE)</f>
        <v>12334766.906116879</v>
      </c>
      <c r="C60" s="1">
        <f>SUM(ALLOCATED)</f>
        <v>16088740.853883121</v>
      </c>
      <c r="D60" s="1">
        <f>SUM(HEALTH)</f>
        <v>0</v>
      </c>
      <c r="E60" s="1">
        <f>SUM(UNALLOCATED)</f>
        <v>0</v>
      </c>
      <c r="F60" s="1">
        <f>SUM(LTC)</f>
        <v>0</v>
      </c>
      <c r="G60" s="9">
        <f>SUM(ALL_BLOCKS)</f>
        <v>28423507.760000005</v>
      </c>
      <c r="L60" s="6">
        <f>SUM(LIFE_CALLED)</f>
        <v>19125582</v>
      </c>
      <c r="M60" s="1">
        <f>SUM(LIFE_REFUNDED)</f>
        <v>1724917.1957</v>
      </c>
      <c r="O60" s="1">
        <f>SUM(ALLOC_CALLED)</f>
        <v>14801323</v>
      </c>
      <c r="P60" s="1">
        <f>SUM(ALLOC_REFUNDED)</f>
        <v>323011.6201</v>
      </c>
      <c r="R60" s="1">
        <f>SUM(HEALTH_CALLED)</f>
        <v>30659</v>
      </c>
      <c r="S60" s="1">
        <f>SUM(HEALTH_REFUNDED)</f>
        <v>3117.0942000000005</v>
      </c>
      <c r="U60" s="1">
        <f>SUM(UNALLOC_CALLED)</f>
        <v>0</v>
      </c>
      <c r="V60" s="9">
        <f>SUM(UNALLOC_REFUNDED)</f>
        <v>0</v>
      </c>
    </row>
    <row r="61" spans="1:22" ht="5.0999999999999996" customHeight="1">
      <c r="B61" s="6"/>
      <c r="G61" s="9"/>
      <c r="L61" s="6"/>
      <c r="V61" s="9"/>
    </row>
    <row r="62" spans="1:22">
      <c r="B62" s="6"/>
      <c r="G62" s="9"/>
      <c r="L62" s="78" t="s">
        <v>80</v>
      </c>
      <c r="M62" s="79"/>
      <c r="N62" s="79"/>
      <c r="O62" s="79"/>
      <c r="P62" s="79"/>
      <c r="Q62" s="79"/>
      <c r="R62" s="79"/>
      <c r="S62" s="79"/>
      <c r="T62" s="79"/>
      <c r="U62" s="79"/>
      <c r="V62" s="80"/>
    </row>
    <row r="63" spans="1:22">
      <c r="B63" s="6"/>
      <c r="G63" s="9"/>
      <c r="L63" s="81"/>
      <c r="M63" s="79"/>
      <c r="N63" s="79"/>
      <c r="O63" s="79"/>
      <c r="P63" s="79"/>
      <c r="Q63" s="79"/>
      <c r="R63" s="79"/>
      <c r="S63" s="79"/>
      <c r="T63" s="79"/>
      <c r="U63" s="79"/>
      <c r="V63" s="80"/>
    </row>
    <row r="64" spans="1:22">
      <c r="B64" s="8"/>
      <c r="C64" s="5"/>
      <c r="D64" s="5"/>
      <c r="E64" s="5"/>
      <c r="F64" s="5"/>
      <c r="G64" s="11"/>
      <c r="L64" s="82"/>
      <c r="M64" s="83"/>
      <c r="N64" s="83"/>
      <c r="O64" s="83"/>
      <c r="P64" s="83"/>
      <c r="Q64" s="83"/>
      <c r="R64" s="83"/>
      <c r="S64" s="83"/>
      <c r="T64" s="83"/>
      <c r="U64" s="83"/>
      <c r="V64" s="84"/>
    </row>
  </sheetData>
  <mergeCells count="8">
    <mergeCell ref="L62:V64"/>
    <mergeCell ref="A1:G1"/>
    <mergeCell ref="B3:G3"/>
    <mergeCell ref="L3:V3"/>
    <mergeCell ref="L4:M4"/>
    <mergeCell ref="O4:P4"/>
    <mergeCell ref="R4:S4"/>
    <mergeCell ref="U4:V4"/>
  </mergeCells>
  <pageMargins left="0" right="0" top="0" bottom="0" header="0" footer="0"/>
  <pageSetup scale="48"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pageSetUpPr fitToPage="1"/>
  </sheetPr>
  <dimension ref="A1:V64"/>
  <sheetViews>
    <sheetView zoomScale="75" workbookViewId="0">
      <selection sqref="A1:G1"/>
    </sheetView>
  </sheetViews>
  <sheetFormatPr defaultColWidth="9.109375" defaultRowHeight="14.4"/>
  <cols>
    <col min="1" max="1" width="20" style="1" customWidth="1"/>
    <col min="2" max="7" width="15" style="1" customWidth="1"/>
    <col min="8" max="8" width="1" style="1" customWidth="1"/>
    <col min="9" max="9" width="30" style="1" customWidth="1"/>
    <col min="10" max="10" width="15" style="1" customWidth="1"/>
    <col min="11" max="11" width="1" style="1" customWidth="1"/>
    <col min="12" max="13" width="15" style="1" customWidth="1"/>
    <col min="14" max="14" width="1" style="1" customWidth="1"/>
    <col min="15" max="16" width="15" style="1" customWidth="1"/>
    <col min="17" max="17" width="1" style="1" customWidth="1"/>
    <col min="18" max="19" width="15" style="1" customWidth="1"/>
    <col min="20" max="20" width="1" style="1" customWidth="1"/>
    <col min="21" max="22" width="15" style="1" customWidth="1"/>
    <col min="23" max="23" width="9.109375" style="1" customWidth="1"/>
    <col min="24" max="16384" width="9.109375" style="1"/>
  </cols>
  <sheetData>
    <row r="1" spans="1:22">
      <c r="A1" s="85" t="s">
        <v>158</v>
      </c>
      <c r="B1" s="79"/>
      <c r="C1" s="79"/>
      <c r="D1" s="79"/>
      <c r="E1" s="79"/>
      <c r="F1" s="79"/>
      <c r="G1" s="79"/>
    </row>
    <row r="3" spans="1:22">
      <c r="B3" s="86" t="s">
        <v>1</v>
      </c>
      <c r="C3" s="87"/>
      <c r="D3" s="87"/>
      <c r="E3" s="87"/>
      <c r="F3" s="87"/>
      <c r="G3" s="88"/>
      <c r="L3" s="89" t="s">
        <v>2</v>
      </c>
      <c r="M3" s="90"/>
      <c r="N3" s="90"/>
      <c r="O3" s="90"/>
      <c r="P3" s="90"/>
      <c r="Q3" s="90"/>
      <c r="R3" s="90"/>
      <c r="S3" s="90"/>
      <c r="T3" s="90"/>
      <c r="U3" s="90"/>
      <c r="V3" s="91"/>
    </row>
    <row r="4" spans="1:22">
      <c r="B4" s="6"/>
      <c r="G4" s="9"/>
      <c r="L4" s="92" t="s">
        <v>3</v>
      </c>
      <c r="M4" s="93"/>
      <c r="N4" s="3"/>
      <c r="O4" s="94" t="s">
        <v>4</v>
      </c>
      <c r="P4" s="93"/>
      <c r="Q4" s="3"/>
      <c r="R4" s="94" t="s">
        <v>5</v>
      </c>
      <c r="S4" s="93"/>
      <c r="T4" s="3"/>
      <c r="U4" s="94" t="s">
        <v>6</v>
      </c>
      <c r="V4" s="95"/>
    </row>
    <row r="5" spans="1:22" ht="60" customHeight="1">
      <c r="B5" s="7" t="s">
        <v>3</v>
      </c>
      <c r="C5" s="4" t="s">
        <v>4</v>
      </c>
      <c r="D5" s="4" t="s">
        <v>5</v>
      </c>
      <c r="E5" s="4" t="s">
        <v>6</v>
      </c>
      <c r="F5" s="4" t="s">
        <v>7</v>
      </c>
      <c r="G5" s="10" t="s">
        <v>8</v>
      </c>
      <c r="L5" s="19" t="s">
        <v>9</v>
      </c>
      <c r="M5" s="18" t="s">
        <v>10</v>
      </c>
      <c r="N5" s="18"/>
      <c r="O5" s="18" t="s">
        <v>9</v>
      </c>
      <c r="P5" s="18" t="s">
        <v>10</v>
      </c>
      <c r="Q5" s="18"/>
      <c r="R5" s="18" t="s">
        <v>9</v>
      </c>
      <c r="S5" s="18" t="s">
        <v>10</v>
      </c>
      <c r="T5" s="18"/>
      <c r="U5" s="18" t="s">
        <v>9</v>
      </c>
      <c r="V5" s="20" t="s">
        <v>10</v>
      </c>
    </row>
    <row r="6" spans="1:22">
      <c r="A6" s="1" t="s">
        <v>11</v>
      </c>
      <c r="B6" s="6">
        <v>1746561.1684463371</v>
      </c>
      <c r="C6" s="1">
        <v>0</v>
      </c>
      <c r="D6" s="1">
        <v>22182.125047548456</v>
      </c>
      <c r="E6" s="1">
        <v>0</v>
      </c>
      <c r="F6" s="1">
        <v>0</v>
      </c>
      <c r="G6" s="9">
        <f>SUM(AL_FINANCIAL)</f>
        <v>1768743.2934938855</v>
      </c>
      <c r="L6" s="6"/>
      <c r="V6" s="9"/>
    </row>
    <row r="7" spans="1:22">
      <c r="A7" s="1" t="s">
        <v>12</v>
      </c>
      <c r="B7" s="6">
        <v>153672.85520467584</v>
      </c>
      <c r="C7" s="1">
        <v>0</v>
      </c>
      <c r="D7" s="1">
        <v>0</v>
      </c>
      <c r="E7" s="1">
        <v>0</v>
      </c>
      <c r="F7" s="1">
        <v>0</v>
      </c>
      <c r="G7" s="9">
        <f>SUM(AK_FINANCIAL)</f>
        <v>153672.85520467584</v>
      </c>
      <c r="I7" s="12"/>
      <c r="J7" s="15"/>
      <c r="L7" s="6"/>
      <c r="V7" s="9"/>
    </row>
    <row r="8" spans="1:22">
      <c r="A8" s="1" t="s">
        <v>13</v>
      </c>
      <c r="B8" s="6">
        <v>2030684.0911390025</v>
      </c>
      <c r="C8" s="1">
        <v>0</v>
      </c>
      <c r="D8" s="1">
        <v>27810.709195530231</v>
      </c>
      <c r="E8" s="1">
        <v>0</v>
      </c>
      <c r="F8" s="1">
        <v>0</v>
      </c>
      <c r="G8" s="9">
        <f>SUM(AZ_FINANCIAL)</f>
        <v>2058494.8003345327</v>
      </c>
      <c r="I8" s="13" t="s">
        <v>14</v>
      </c>
      <c r="J8" s="16"/>
      <c r="L8" s="6"/>
      <c r="V8" s="9"/>
    </row>
    <row r="9" spans="1:22">
      <c r="A9" s="1" t="s">
        <v>15</v>
      </c>
      <c r="B9" s="6">
        <v>991644.45551002061</v>
      </c>
      <c r="C9" s="1">
        <v>0</v>
      </c>
      <c r="D9" s="1">
        <v>0</v>
      </c>
      <c r="E9" s="1">
        <v>0</v>
      </c>
      <c r="F9" s="1">
        <v>0</v>
      </c>
      <c r="G9" s="9">
        <f>SUM(AR_FINANCIAL)</f>
        <v>991644.45551002061</v>
      </c>
      <c r="I9" s="13"/>
      <c r="J9" s="16"/>
      <c r="L9" s="6"/>
      <c r="V9" s="9"/>
    </row>
    <row r="10" spans="1:22">
      <c r="A10" s="1" t="s">
        <v>16</v>
      </c>
      <c r="B10" s="6">
        <v>11026376.333152667</v>
      </c>
      <c r="C10" s="1">
        <v>0</v>
      </c>
      <c r="D10" s="1">
        <v>73168.59201221753</v>
      </c>
      <c r="E10" s="1">
        <v>0</v>
      </c>
      <c r="F10" s="1">
        <v>0</v>
      </c>
      <c r="G10" s="9">
        <f>SUM(CA_FINANCIAL)</f>
        <v>11099544.925164884</v>
      </c>
      <c r="I10" s="13" t="s">
        <v>17</v>
      </c>
      <c r="J10" s="16">
        <v>97703597</v>
      </c>
      <c r="L10" s="6"/>
      <c r="V10" s="9"/>
    </row>
    <row r="11" spans="1:22">
      <c r="A11" s="1" t="s">
        <v>18</v>
      </c>
      <c r="B11" s="6">
        <v>1616952.636828295</v>
      </c>
      <c r="C11" s="1">
        <v>0</v>
      </c>
      <c r="D11" s="1">
        <v>35094.347242314121</v>
      </c>
      <c r="E11" s="1">
        <v>0</v>
      </c>
      <c r="F11" s="1">
        <v>0</v>
      </c>
      <c r="G11" s="9">
        <f>SUM(CO_FINANCIAL)</f>
        <v>1652046.9840706091</v>
      </c>
      <c r="I11" s="13"/>
      <c r="J11" s="16"/>
      <c r="L11" s="6"/>
      <c r="V11" s="9"/>
    </row>
    <row r="12" spans="1:22">
      <c r="A12" s="1" t="s">
        <v>19</v>
      </c>
      <c r="B12" s="6">
        <v>1547854.6368718978</v>
      </c>
      <c r="C12" s="1">
        <v>0</v>
      </c>
      <c r="D12" s="1">
        <v>20195.860241549552</v>
      </c>
      <c r="E12" s="1">
        <v>0</v>
      </c>
      <c r="F12" s="1">
        <v>0</v>
      </c>
      <c r="G12" s="9">
        <f>SUM(CT_FINANCIAL)</f>
        <v>1568050.4971134474</v>
      </c>
      <c r="I12" s="13" t="s">
        <v>20</v>
      </c>
      <c r="J12" s="16"/>
      <c r="L12" s="6"/>
      <c r="V12" s="9"/>
    </row>
    <row r="13" spans="1:22">
      <c r="A13" s="1" t="s">
        <v>21</v>
      </c>
      <c r="B13" s="6">
        <v>383518.21524152317</v>
      </c>
      <c r="C13" s="1">
        <v>0</v>
      </c>
      <c r="D13" s="1">
        <v>5628.5841479817782</v>
      </c>
      <c r="E13" s="1">
        <v>0</v>
      </c>
      <c r="F13" s="1">
        <v>0</v>
      </c>
      <c r="G13" s="9">
        <f>SUM(DE_FINANCIAL)</f>
        <v>389146.79938950494</v>
      </c>
      <c r="I13" s="13" t="s">
        <v>22</v>
      </c>
      <c r="J13" s="16">
        <v>0</v>
      </c>
      <c r="L13" s="6"/>
      <c r="V13" s="9"/>
    </row>
    <row r="14" spans="1:22">
      <c r="A14" s="1" t="s">
        <v>23</v>
      </c>
      <c r="B14" s="6">
        <v>144845.23398627667</v>
      </c>
      <c r="C14" s="1">
        <v>0</v>
      </c>
      <c r="D14" s="1">
        <v>0</v>
      </c>
      <c r="E14" s="1">
        <v>0</v>
      </c>
      <c r="F14" s="1">
        <v>0</v>
      </c>
      <c r="G14" s="9">
        <f>SUM(DC_FINANCIAL)</f>
        <v>144845.23398627667</v>
      </c>
      <c r="I14" s="13" t="s">
        <v>24</v>
      </c>
      <c r="J14" s="16">
        <v>0</v>
      </c>
      <c r="L14" s="6"/>
      <c r="V14" s="9"/>
    </row>
    <row r="15" spans="1:22">
      <c r="A15" s="1" t="s">
        <v>25</v>
      </c>
      <c r="B15" s="6">
        <v>8644243.4478136804</v>
      </c>
      <c r="C15" s="1">
        <v>0</v>
      </c>
      <c r="D15" s="1">
        <v>106276.67444853274</v>
      </c>
      <c r="E15" s="1">
        <v>0</v>
      </c>
      <c r="F15" s="1">
        <v>0</v>
      </c>
      <c r="G15" s="9">
        <f>SUM(FL_FINANCIAL)</f>
        <v>8750520.1222622134</v>
      </c>
      <c r="I15" s="13" t="s">
        <v>26</v>
      </c>
      <c r="J15" s="16">
        <v>62254.95999999997</v>
      </c>
      <c r="L15" s="6"/>
      <c r="V15" s="9"/>
    </row>
    <row r="16" spans="1:22">
      <c r="A16" s="1" t="s">
        <v>27</v>
      </c>
      <c r="B16" s="6">
        <v>3777059.1410695128</v>
      </c>
      <c r="C16" s="1">
        <v>0</v>
      </c>
      <c r="D16" s="1">
        <v>26817.076473939847</v>
      </c>
      <c r="E16" s="1">
        <v>0</v>
      </c>
      <c r="F16" s="1">
        <v>0</v>
      </c>
      <c r="G16" s="9">
        <f>SUM(GA_FINANCIAL)</f>
        <v>3803876.2175434525</v>
      </c>
      <c r="I16" s="13" t="s">
        <v>28</v>
      </c>
      <c r="J16" s="16">
        <v>0</v>
      </c>
      <c r="L16" s="6"/>
      <c r="V16" s="9"/>
    </row>
    <row r="17" spans="1:22">
      <c r="A17" s="1" t="s">
        <v>29</v>
      </c>
      <c r="B17" s="6">
        <v>320847.30790423491</v>
      </c>
      <c r="C17" s="1">
        <v>0</v>
      </c>
      <c r="D17" s="1">
        <v>0</v>
      </c>
      <c r="E17" s="1">
        <v>0</v>
      </c>
      <c r="F17" s="1">
        <v>0</v>
      </c>
      <c r="G17" s="9">
        <f>SUM(HI_FINANCIAL)</f>
        <v>320847.30790423491</v>
      </c>
      <c r="I17" s="13"/>
      <c r="J17" s="16"/>
      <c r="L17" s="6"/>
      <c r="V17" s="9"/>
    </row>
    <row r="18" spans="1:22">
      <c r="A18" s="1" t="s">
        <v>30</v>
      </c>
      <c r="B18" s="6">
        <v>175039.46094900559</v>
      </c>
      <c r="C18" s="1">
        <v>0</v>
      </c>
      <c r="D18" s="1">
        <v>7946.0598611774758</v>
      </c>
      <c r="E18" s="1">
        <v>0</v>
      </c>
      <c r="F18" s="1">
        <v>0</v>
      </c>
      <c r="G18" s="9">
        <f>SUM(ID_FINANCIAL)</f>
        <v>182985.52081018305</v>
      </c>
      <c r="I18" s="13" t="s">
        <v>31</v>
      </c>
      <c r="J18" s="16"/>
      <c r="L18" s="6"/>
      <c r="V18" s="9"/>
    </row>
    <row r="19" spans="1:22">
      <c r="A19" s="1" t="s">
        <v>32</v>
      </c>
      <c r="B19" s="6">
        <v>4578476.4644842045</v>
      </c>
      <c r="C19" s="1">
        <v>0</v>
      </c>
      <c r="D19" s="1">
        <v>78797.176160199306</v>
      </c>
      <c r="E19" s="1">
        <v>0</v>
      </c>
      <c r="F19" s="1">
        <v>0</v>
      </c>
      <c r="G19" s="9">
        <f>SUM(IL_FINANCIAL)</f>
        <v>4657273.6406444041</v>
      </c>
      <c r="I19" s="13" t="s">
        <v>33</v>
      </c>
      <c r="J19" s="16">
        <v>0</v>
      </c>
      <c r="L19" s="6"/>
      <c r="V19" s="9"/>
    </row>
    <row r="20" spans="1:22">
      <c r="A20" s="1" t="s">
        <v>34</v>
      </c>
      <c r="B20" s="6">
        <v>2046300.0349991631</v>
      </c>
      <c r="C20" s="1">
        <v>0</v>
      </c>
      <c r="D20" s="1">
        <v>62905.056437844352</v>
      </c>
      <c r="E20" s="1">
        <v>0</v>
      </c>
      <c r="F20" s="1">
        <v>0</v>
      </c>
      <c r="G20" s="9">
        <f>SUM(IN_FINANCIAL)</f>
        <v>2109205.0914370073</v>
      </c>
      <c r="I20" s="13" t="s">
        <v>35</v>
      </c>
      <c r="J20" s="16">
        <v>0</v>
      </c>
      <c r="L20" s="6"/>
      <c r="V20" s="9"/>
    </row>
    <row r="21" spans="1:22">
      <c r="A21" s="1" t="s">
        <v>36</v>
      </c>
      <c r="B21" s="6">
        <v>474387.07836372289</v>
      </c>
      <c r="C21" s="1">
        <v>0</v>
      </c>
      <c r="D21" s="1">
        <v>21189.492963139935</v>
      </c>
      <c r="E21" s="1">
        <v>0</v>
      </c>
      <c r="F21" s="1">
        <v>0</v>
      </c>
      <c r="G21" s="9">
        <f>SUM(IA_FINANCIAL)</f>
        <v>495576.57132686285</v>
      </c>
      <c r="I21" s="13" t="s">
        <v>37</v>
      </c>
      <c r="J21" s="16"/>
      <c r="L21" s="6"/>
      <c r="V21" s="9"/>
    </row>
    <row r="22" spans="1:22">
      <c r="A22" s="1" t="s">
        <v>38</v>
      </c>
      <c r="B22" s="6">
        <v>616558.60980006051</v>
      </c>
      <c r="C22" s="1">
        <v>0</v>
      </c>
      <c r="D22" s="1">
        <v>22182.125047548456</v>
      </c>
      <c r="E22" s="1">
        <v>0</v>
      </c>
      <c r="F22" s="1">
        <v>0</v>
      </c>
      <c r="G22" s="9">
        <f>SUM(KS_FINANCIAL)</f>
        <v>638740.73484760895</v>
      </c>
      <c r="I22" s="13" t="s">
        <v>39</v>
      </c>
      <c r="J22" s="16">
        <v>0</v>
      </c>
      <c r="L22" s="6"/>
      <c r="V22" s="9"/>
    </row>
    <row r="23" spans="1:22">
      <c r="A23" s="1" t="s">
        <v>40</v>
      </c>
      <c r="B23" s="6">
        <v>852111.60432225687</v>
      </c>
      <c r="C23" s="1">
        <v>0</v>
      </c>
      <c r="D23" s="1">
        <v>993.6327215903832</v>
      </c>
      <c r="E23" s="1">
        <v>0</v>
      </c>
      <c r="F23" s="1">
        <v>0</v>
      </c>
      <c r="G23" s="9">
        <f>SUM(KY_FINANCIAL)</f>
        <v>853105.23704384721</v>
      </c>
      <c r="I23" s="13" t="s">
        <v>41</v>
      </c>
      <c r="J23" s="16"/>
      <c r="L23" s="6"/>
      <c r="V23" s="9"/>
    </row>
    <row r="24" spans="1:22">
      <c r="A24" s="1" t="s">
        <v>42</v>
      </c>
      <c r="B24" s="6">
        <v>2089406.4841566577</v>
      </c>
      <c r="C24" s="1">
        <v>0</v>
      </c>
      <c r="D24" s="1">
        <v>13574.644009159254</v>
      </c>
      <c r="E24" s="1">
        <v>0</v>
      </c>
      <c r="F24" s="1">
        <v>0</v>
      </c>
      <c r="G24" s="9">
        <f>SUM(LA_FINANCIAL)</f>
        <v>2102981.1281658169</v>
      </c>
      <c r="I24" s="13" t="s">
        <v>43</v>
      </c>
      <c r="J24" s="16">
        <v>0</v>
      </c>
      <c r="L24" s="6"/>
      <c r="V24" s="9"/>
    </row>
    <row r="25" spans="1:22">
      <c r="A25" s="1" t="s">
        <v>44</v>
      </c>
      <c r="B25" s="6">
        <v>364127.86793137371</v>
      </c>
      <c r="C25" s="1">
        <v>0</v>
      </c>
      <c r="D25" s="1">
        <v>662.42181439358876</v>
      </c>
      <c r="E25" s="1">
        <v>0</v>
      </c>
      <c r="F25" s="1">
        <v>0</v>
      </c>
      <c r="G25" s="9">
        <f>SUM(ME_FINANCIAL)</f>
        <v>364790.28974576731</v>
      </c>
      <c r="I25" s="13"/>
      <c r="J25" s="16"/>
      <c r="L25" s="6"/>
      <c r="V25" s="9"/>
    </row>
    <row r="26" spans="1:22">
      <c r="A26" s="1" t="s">
        <v>45</v>
      </c>
      <c r="B26" s="6">
        <v>2931159.4923722642</v>
      </c>
      <c r="C26" s="1">
        <v>0</v>
      </c>
      <c r="D26" s="1">
        <v>85749.603299786395</v>
      </c>
      <c r="E26" s="1">
        <v>0</v>
      </c>
      <c r="F26" s="1">
        <v>0</v>
      </c>
      <c r="G26" s="9">
        <f>SUM(MD_FINANCIAL)</f>
        <v>3016909.0956720505</v>
      </c>
      <c r="I26" s="13" t="s">
        <v>46</v>
      </c>
      <c r="J26" s="16">
        <f>SUM(ADD_FINANCIAL)-SUM(LESS_FINANCIAL)</f>
        <v>97765851.959999993</v>
      </c>
      <c r="L26" s="6"/>
      <c r="V26" s="9"/>
    </row>
    <row r="27" spans="1:22">
      <c r="A27" s="1" t="s">
        <v>47</v>
      </c>
      <c r="B27" s="6">
        <v>2061329.6054707516</v>
      </c>
      <c r="C27" s="1">
        <v>0</v>
      </c>
      <c r="D27" s="1">
        <v>91378.18744776817</v>
      </c>
      <c r="E27" s="1">
        <v>0</v>
      </c>
      <c r="F27" s="1">
        <v>0</v>
      </c>
      <c r="G27" s="9">
        <f>SUM(MA_FINANCIAL)</f>
        <v>2152707.79291852</v>
      </c>
      <c r="I27" s="13" t="s">
        <v>48</v>
      </c>
      <c r="J27" s="16">
        <f>SUM(ALL_BLOCKS)</f>
        <v>97765851.959999993</v>
      </c>
      <c r="L27" s="6"/>
      <c r="V27" s="9"/>
    </row>
    <row r="28" spans="1:22">
      <c r="A28" s="1" t="s">
        <v>49</v>
      </c>
      <c r="B28" s="6">
        <v>2046201.9725553405</v>
      </c>
      <c r="C28" s="1">
        <v>0</v>
      </c>
      <c r="D28" s="1">
        <v>36419.190871101295</v>
      </c>
      <c r="E28" s="1">
        <v>0</v>
      </c>
      <c r="F28" s="1">
        <v>0</v>
      </c>
      <c r="G28" s="9">
        <f>SUM(MI_FINANCIAL)</f>
        <v>2082621.1634264418</v>
      </c>
      <c r="I28" s="14"/>
      <c r="J28" s="17"/>
      <c r="L28" s="6"/>
      <c r="V28" s="9"/>
    </row>
    <row r="29" spans="1:22">
      <c r="A29" s="1" t="s">
        <v>50</v>
      </c>
      <c r="B29" s="6">
        <v>973478.88811047189</v>
      </c>
      <c r="C29" s="1">
        <v>0</v>
      </c>
      <c r="D29" s="1">
        <v>29796.974001529135</v>
      </c>
      <c r="E29" s="1">
        <v>0</v>
      </c>
      <c r="F29" s="1">
        <v>0</v>
      </c>
      <c r="G29" s="9">
        <f>SUM(MN_FINANCIAL)</f>
        <v>1003275.8621120011</v>
      </c>
      <c r="L29" s="6"/>
      <c r="V29" s="9"/>
    </row>
    <row r="30" spans="1:22">
      <c r="A30" s="1" t="s">
        <v>51</v>
      </c>
      <c r="B30" s="6">
        <v>758882.23808804131</v>
      </c>
      <c r="C30" s="1">
        <v>0</v>
      </c>
      <c r="D30" s="1">
        <v>662.42181439358876</v>
      </c>
      <c r="E30" s="1">
        <v>0</v>
      </c>
      <c r="F30" s="1">
        <v>0</v>
      </c>
      <c r="G30" s="9">
        <f>SUM(MS_FINANCIAL)</f>
        <v>759544.65990243491</v>
      </c>
      <c r="L30" s="6"/>
      <c r="V30" s="9"/>
    </row>
    <row r="31" spans="1:22">
      <c r="A31" s="1" t="s">
        <v>52</v>
      </c>
      <c r="B31" s="6">
        <v>1246226.5673197138</v>
      </c>
      <c r="C31" s="1">
        <v>0</v>
      </c>
      <c r="D31" s="1">
        <v>17215.962713960263</v>
      </c>
      <c r="E31" s="1">
        <v>0</v>
      </c>
      <c r="F31" s="1">
        <v>0</v>
      </c>
      <c r="G31" s="9">
        <f>SUM(MO_FINANCIAL)</f>
        <v>1263442.5300336741</v>
      </c>
      <c r="L31" s="6"/>
      <c r="V31" s="9"/>
    </row>
    <row r="32" spans="1:22">
      <c r="A32" s="1" t="s">
        <v>53</v>
      </c>
      <c r="B32" s="6">
        <v>210671.15035798037</v>
      </c>
      <c r="C32" s="1">
        <v>0</v>
      </c>
      <c r="D32" s="1">
        <v>331.21090719679438</v>
      </c>
      <c r="E32" s="1">
        <v>0</v>
      </c>
      <c r="F32" s="1">
        <v>0</v>
      </c>
      <c r="G32" s="9">
        <f>SUM(MT_FINANCIAL)</f>
        <v>211002.36126517717</v>
      </c>
      <c r="L32" s="6"/>
      <c r="V32" s="9"/>
    </row>
    <row r="33" spans="1:22">
      <c r="A33" s="1" t="s">
        <v>54</v>
      </c>
      <c r="B33" s="6">
        <v>357308.52553697443</v>
      </c>
      <c r="C33" s="1">
        <v>0</v>
      </c>
      <c r="D33" s="1">
        <v>11257.168295963556</v>
      </c>
      <c r="E33" s="1">
        <v>0</v>
      </c>
      <c r="F33" s="1">
        <v>0</v>
      </c>
      <c r="G33" s="9">
        <f>SUM(NE_FINANCIAL)</f>
        <v>368565.69383293798</v>
      </c>
      <c r="L33" s="6"/>
      <c r="V33" s="9"/>
    </row>
    <row r="34" spans="1:22">
      <c r="A34" s="1" t="s">
        <v>55</v>
      </c>
      <c r="B34" s="6">
        <v>1080619.1124469528</v>
      </c>
      <c r="C34" s="1">
        <v>0</v>
      </c>
      <c r="D34" s="1">
        <v>6952.4271395870919</v>
      </c>
      <c r="E34" s="1">
        <v>0</v>
      </c>
      <c r="F34" s="1">
        <v>0</v>
      </c>
      <c r="G34" s="9">
        <f>SUM(NV_FINANCIAL)</f>
        <v>1087571.5395865398</v>
      </c>
      <c r="L34" s="6"/>
      <c r="V34" s="9"/>
    </row>
    <row r="35" spans="1:22">
      <c r="A35" s="1" t="s">
        <v>56</v>
      </c>
      <c r="B35" s="6">
        <v>366687.49784258037</v>
      </c>
      <c r="C35" s="1">
        <v>0</v>
      </c>
      <c r="D35" s="1">
        <v>0</v>
      </c>
      <c r="E35" s="1">
        <v>0</v>
      </c>
      <c r="F35" s="1">
        <v>0</v>
      </c>
      <c r="G35" s="9">
        <f>SUM(NH_FINANCIAL)</f>
        <v>366687.49784258037</v>
      </c>
      <c r="L35" s="6"/>
      <c r="V35" s="9"/>
    </row>
    <row r="36" spans="1:22">
      <c r="A36" s="1" t="s">
        <v>57</v>
      </c>
      <c r="B36" s="6">
        <v>5606495.0821921425</v>
      </c>
      <c r="C36" s="1">
        <v>0</v>
      </c>
      <c r="D36" s="1">
        <v>24499.60076074415</v>
      </c>
      <c r="E36" s="1">
        <v>0</v>
      </c>
      <c r="F36" s="1">
        <v>0</v>
      </c>
      <c r="G36" s="9">
        <f>SUM(NJ_FINANCIAL)</f>
        <v>5630994.6829528864</v>
      </c>
      <c r="L36" s="6"/>
      <c r="V36" s="9"/>
    </row>
    <row r="37" spans="1:22">
      <c r="A37" s="1" t="s">
        <v>58</v>
      </c>
      <c r="B37" s="6">
        <v>516217.71511434158</v>
      </c>
      <c r="C37" s="1">
        <v>0</v>
      </c>
      <c r="D37" s="1">
        <v>20527.071148746345</v>
      </c>
      <c r="E37" s="1">
        <v>0</v>
      </c>
      <c r="F37" s="1">
        <v>0</v>
      </c>
      <c r="G37" s="9">
        <f>SUM(NM_FINANCIAL)</f>
        <v>536744.78626308788</v>
      </c>
      <c r="L37" s="6"/>
      <c r="V37" s="9"/>
    </row>
    <row r="38" spans="1:22">
      <c r="A38" s="1" t="s">
        <v>59</v>
      </c>
      <c r="B38" s="6">
        <v>0</v>
      </c>
      <c r="C38" s="1">
        <v>0</v>
      </c>
      <c r="D38" s="1">
        <v>0</v>
      </c>
      <c r="E38" s="1">
        <v>0</v>
      </c>
      <c r="F38" s="1">
        <v>0</v>
      </c>
      <c r="G38" s="9">
        <f>SUM(NY_FINANCIAL)</f>
        <v>0</v>
      </c>
      <c r="L38" s="6"/>
      <c r="V38" s="9"/>
    </row>
    <row r="39" spans="1:22">
      <c r="A39" s="1" t="s">
        <v>60</v>
      </c>
      <c r="B39" s="6">
        <v>3841353.0819157837</v>
      </c>
      <c r="C39" s="1">
        <v>0</v>
      </c>
      <c r="D39" s="1">
        <v>210898.29499826336</v>
      </c>
      <c r="E39" s="1">
        <v>0</v>
      </c>
      <c r="F39" s="1">
        <v>0</v>
      </c>
      <c r="G39" s="9">
        <f>SUM(NC_FINANCIAL)</f>
        <v>4052251.3769140472</v>
      </c>
      <c r="L39" s="6"/>
      <c r="V39" s="9"/>
    </row>
    <row r="40" spans="1:22">
      <c r="A40" s="1" t="s">
        <v>61</v>
      </c>
      <c r="B40" s="6">
        <v>189609.73895411895</v>
      </c>
      <c r="C40" s="1">
        <v>0</v>
      </c>
      <c r="D40" s="1">
        <v>0</v>
      </c>
      <c r="E40" s="1">
        <v>0</v>
      </c>
      <c r="F40" s="1">
        <v>0</v>
      </c>
      <c r="G40" s="9">
        <f>SUM(ND_FINANCIAL)</f>
        <v>189609.73895411895</v>
      </c>
      <c r="L40" s="6"/>
      <c r="V40" s="9"/>
    </row>
    <row r="41" spans="1:22">
      <c r="A41" s="1" t="s">
        <v>62</v>
      </c>
      <c r="B41" s="6">
        <v>2503502.1704015634</v>
      </c>
      <c r="C41" s="1">
        <v>0</v>
      </c>
      <c r="D41" s="1">
        <v>94026.874068160658</v>
      </c>
      <c r="E41" s="1">
        <v>0</v>
      </c>
      <c r="F41" s="1">
        <v>0</v>
      </c>
      <c r="G41" s="9">
        <f>SUM(OH_FINANCIAL)</f>
        <v>2597529.0444697239</v>
      </c>
      <c r="L41" s="6"/>
      <c r="V41" s="9"/>
    </row>
    <row r="42" spans="1:22">
      <c r="A42" s="1" t="s">
        <v>63</v>
      </c>
      <c r="B42" s="6">
        <v>1115493.3195092569</v>
      </c>
      <c r="C42" s="1">
        <v>0</v>
      </c>
      <c r="D42" s="1">
        <v>23175.757769138836</v>
      </c>
      <c r="E42" s="1">
        <v>0</v>
      </c>
      <c r="F42" s="1">
        <v>0</v>
      </c>
      <c r="G42" s="9">
        <f>SUM(OK_FINANCIAL)</f>
        <v>1138669.0772783956</v>
      </c>
      <c r="L42" s="6"/>
      <c r="V42" s="9"/>
    </row>
    <row r="43" spans="1:22">
      <c r="A43" s="1" t="s">
        <v>64</v>
      </c>
      <c r="B43" s="6">
        <v>931899.41129250091</v>
      </c>
      <c r="C43" s="1">
        <v>0</v>
      </c>
      <c r="D43" s="1">
        <v>9932.3246671763791</v>
      </c>
      <c r="E43" s="1">
        <v>0</v>
      </c>
      <c r="F43" s="1">
        <v>0</v>
      </c>
      <c r="G43" s="9">
        <f>SUM(OR_FINANCIAL)</f>
        <v>941831.73595967726</v>
      </c>
      <c r="L43" s="6"/>
      <c r="V43" s="9"/>
    </row>
    <row r="44" spans="1:22">
      <c r="A44" s="1" t="s">
        <v>65</v>
      </c>
      <c r="B44" s="6">
        <v>3871348.1820793217</v>
      </c>
      <c r="C44" s="1">
        <v>0</v>
      </c>
      <c r="D44" s="1">
        <v>0</v>
      </c>
      <c r="E44" s="1">
        <v>0</v>
      </c>
      <c r="F44" s="1">
        <v>0</v>
      </c>
      <c r="G44" s="9">
        <f>SUM(PA_FINANCIAL)</f>
        <v>3871348.1820793217</v>
      </c>
      <c r="L44" s="6"/>
      <c r="V44" s="9"/>
    </row>
    <row r="45" spans="1:22">
      <c r="A45" s="1" t="s">
        <v>66</v>
      </c>
      <c r="B45" s="6">
        <v>0</v>
      </c>
      <c r="C45" s="1">
        <v>0</v>
      </c>
      <c r="D45" s="1">
        <v>0</v>
      </c>
      <c r="E45" s="1">
        <v>0</v>
      </c>
      <c r="F45" s="1">
        <v>0</v>
      </c>
      <c r="G45" s="9">
        <f>SUM(PR_FINANCIAL)</f>
        <v>0</v>
      </c>
      <c r="L45" s="6"/>
      <c r="V45" s="9"/>
    </row>
    <row r="46" spans="1:22">
      <c r="A46" s="1" t="s">
        <v>67</v>
      </c>
      <c r="B46" s="6">
        <v>245119.08598081072</v>
      </c>
      <c r="C46" s="1">
        <v>0</v>
      </c>
      <c r="D46" s="1">
        <v>6952.4271395870919</v>
      </c>
      <c r="E46" s="1">
        <v>0</v>
      </c>
      <c r="F46" s="1">
        <v>0</v>
      </c>
      <c r="G46" s="9">
        <f>SUM(RI_FINANCIAL)</f>
        <v>252071.51312039781</v>
      </c>
      <c r="L46" s="6"/>
      <c r="V46" s="9"/>
    </row>
    <row r="47" spans="1:22">
      <c r="A47" s="1" t="s">
        <v>68</v>
      </c>
      <c r="B47" s="6">
        <v>1632242.372967168</v>
      </c>
      <c r="C47" s="1">
        <v>0</v>
      </c>
      <c r="D47" s="1">
        <v>24499.60076074415</v>
      </c>
      <c r="E47" s="1">
        <v>0</v>
      </c>
      <c r="F47" s="1">
        <v>0</v>
      </c>
      <c r="G47" s="9">
        <f>SUM(SC_FINANCIAL)</f>
        <v>1656741.9737279122</v>
      </c>
      <c r="L47" s="6"/>
      <c r="V47" s="9"/>
    </row>
    <row r="48" spans="1:22">
      <c r="A48" s="1" t="s">
        <v>69</v>
      </c>
      <c r="B48" s="6">
        <v>148934.83814855252</v>
      </c>
      <c r="C48" s="1">
        <v>0</v>
      </c>
      <c r="D48" s="1">
        <v>2979.8975275892863</v>
      </c>
      <c r="E48" s="1">
        <v>0</v>
      </c>
      <c r="F48" s="1">
        <v>0</v>
      </c>
      <c r="G48" s="9">
        <f>SUM(SD_FINANCIAL)</f>
        <v>151914.73567614181</v>
      </c>
      <c r="L48" s="6"/>
      <c r="V48" s="9"/>
    </row>
    <row r="49" spans="1:22">
      <c r="A49" s="1" t="s">
        <v>70</v>
      </c>
      <c r="B49" s="6">
        <v>1715273.2450438314</v>
      </c>
      <c r="C49" s="1">
        <v>0</v>
      </c>
      <c r="D49" s="1">
        <v>42709.196196294797</v>
      </c>
      <c r="E49" s="1">
        <v>0</v>
      </c>
      <c r="F49" s="1">
        <v>0</v>
      </c>
      <c r="G49" s="9">
        <f>SUM(TN_FINANCIAL)</f>
        <v>1757982.4412401263</v>
      </c>
      <c r="L49" s="6"/>
      <c r="V49" s="9"/>
    </row>
    <row r="50" spans="1:22">
      <c r="A50" s="1" t="s">
        <v>71</v>
      </c>
      <c r="B50" s="6">
        <v>10943043.26864708</v>
      </c>
      <c r="C50" s="1">
        <v>0</v>
      </c>
      <c r="D50" s="1">
        <v>46682.726445474465</v>
      </c>
      <c r="E50" s="1">
        <v>0</v>
      </c>
      <c r="F50" s="1">
        <v>0</v>
      </c>
      <c r="G50" s="9">
        <f>SUM(TX_FINANCIAL)</f>
        <v>10989725.995092554</v>
      </c>
      <c r="L50" s="6"/>
      <c r="V50" s="9"/>
    </row>
    <row r="51" spans="1:22">
      <c r="A51" s="1" t="s">
        <v>72</v>
      </c>
      <c r="B51" s="6">
        <v>592252.13201541593</v>
      </c>
      <c r="C51" s="1">
        <v>0</v>
      </c>
      <c r="D51" s="1">
        <v>7283.6380467838862</v>
      </c>
      <c r="E51" s="1">
        <v>0</v>
      </c>
      <c r="F51" s="1">
        <v>0</v>
      </c>
      <c r="G51" s="9">
        <f>SUM(UT_FINANCIAL)</f>
        <v>599535.77006219979</v>
      </c>
      <c r="L51" s="6"/>
      <c r="V51" s="9"/>
    </row>
    <row r="52" spans="1:22">
      <c r="A52" s="1" t="s">
        <v>73</v>
      </c>
      <c r="B52" s="6">
        <v>169535.95644875674</v>
      </c>
      <c r="C52" s="1">
        <v>0</v>
      </c>
      <c r="D52" s="1">
        <v>0</v>
      </c>
      <c r="E52" s="1">
        <v>0</v>
      </c>
      <c r="F52" s="1">
        <v>0</v>
      </c>
      <c r="G52" s="9">
        <f>SUM(VT_FINANCIAL)</f>
        <v>169535.95644875674</v>
      </c>
      <c r="L52" s="6"/>
      <c r="V52" s="9"/>
    </row>
    <row r="53" spans="1:22">
      <c r="A53" s="1" t="s">
        <v>74</v>
      </c>
      <c r="B53" s="6">
        <v>2300669.0110891191</v>
      </c>
      <c r="C53" s="1">
        <v>0</v>
      </c>
      <c r="D53" s="1">
        <v>64229.900066631526</v>
      </c>
      <c r="E53" s="1">
        <v>0</v>
      </c>
      <c r="F53" s="1">
        <v>0</v>
      </c>
      <c r="G53" s="9">
        <f>SUM(VA_FINANCIAL)</f>
        <v>2364898.9111557505</v>
      </c>
      <c r="L53" s="6"/>
      <c r="V53" s="9"/>
    </row>
    <row r="54" spans="1:22">
      <c r="A54" s="1" t="s">
        <v>75</v>
      </c>
      <c r="B54" s="6">
        <v>2159729.2640236556</v>
      </c>
      <c r="C54" s="1">
        <v>0</v>
      </c>
      <c r="D54" s="1">
        <v>45357.882816687292</v>
      </c>
      <c r="E54" s="1">
        <v>0</v>
      </c>
      <c r="F54" s="1">
        <v>0</v>
      </c>
      <c r="G54" s="9">
        <f>SUM(WA_FINANCIAL)</f>
        <v>2205087.1468403428</v>
      </c>
      <c r="L54" s="6"/>
      <c r="V54" s="9"/>
    </row>
    <row r="55" spans="1:22">
      <c r="A55" s="1" t="s">
        <v>76</v>
      </c>
      <c r="B55" s="6">
        <v>378746.17652121652</v>
      </c>
      <c r="C55" s="1">
        <v>0</v>
      </c>
      <c r="D55" s="1">
        <v>5959.7950551785725</v>
      </c>
      <c r="E55" s="1">
        <v>0</v>
      </c>
      <c r="F55" s="1">
        <v>0</v>
      </c>
      <c r="G55" s="9">
        <f>SUM(WV_FINANCIAL)</f>
        <v>384705.9715763951</v>
      </c>
      <c r="L55" s="6"/>
      <c r="V55" s="9"/>
    </row>
    <row r="56" spans="1:22">
      <c r="A56" s="1" t="s">
        <v>77</v>
      </c>
      <c r="B56" s="6">
        <v>1546196.5810615502</v>
      </c>
      <c r="C56" s="1">
        <v>0</v>
      </c>
      <c r="D56" s="1">
        <v>25493.233482334534</v>
      </c>
      <c r="E56" s="1">
        <v>0</v>
      </c>
      <c r="F56" s="1">
        <v>0</v>
      </c>
      <c r="G56" s="9">
        <f>SUM(WI_FINANCIAL)</f>
        <v>1571689.8145438847</v>
      </c>
      <c r="L56" s="6"/>
      <c r="V56" s="9"/>
    </row>
    <row r="57" spans="1:22">
      <c r="A57" s="1" t="s">
        <v>78</v>
      </c>
      <c r="B57" s="6">
        <v>279597.04071909696</v>
      </c>
      <c r="C57" s="1">
        <v>0</v>
      </c>
      <c r="D57" s="1">
        <v>4966.1623335881895</v>
      </c>
      <c r="E57" s="1">
        <v>0</v>
      </c>
      <c r="F57" s="1">
        <v>0</v>
      </c>
      <c r="G57" s="9">
        <f>SUM(WY_FINANCIAL)</f>
        <v>284563.20305268513</v>
      </c>
      <c r="L57" s="6"/>
      <c r="V57" s="9"/>
    </row>
    <row r="58" spans="1:22">
      <c r="A58" s="1" t="s">
        <v>79</v>
      </c>
      <c r="B58" s="6">
        <v>0</v>
      </c>
      <c r="C58" s="1">
        <v>0</v>
      </c>
      <c r="D58" s="1">
        <v>0</v>
      </c>
      <c r="E58" s="1">
        <v>0</v>
      </c>
      <c r="F58" s="1">
        <v>0</v>
      </c>
      <c r="G58" s="9">
        <f>SUM(OT_FINANCIAL)</f>
        <v>0</v>
      </c>
      <c r="L58" s="6"/>
      <c r="V58" s="9"/>
    </row>
    <row r="59" spans="1:22">
      <c r="B59" s="6"/>
      <c r="G59" s="9"/>
      <c r="L59" s="6"/>
      <c r="V59" s="9"/>
    </row>
    <row r="60" spans="1:22">
      <c r="A60" s="1" t="s">
        <v>8</v>
      </c>
      <c r="B60" s="6">
        <f>SUM(LIFE)</f>
        <v>96300489.852400944</v>
      </c>
      <c r="C60" s="1">
        <f>SUM(ALLOCATED)</f>
        <v>0</v>
      </c>
      <c r="D60" s="1">
        <f>SUM(HEALTH)</f>
        <v>1465362.1075990763</v>
      </c>
      <c r="E60" s="1">
        <f>SUM(UNALLOCATED)</f>
        <v>0</v>
      </c>
      <c r="F60" s="1">
        <f>SUM(LTC)</f>
        <v>0</v>
      </c>
      <c r="G60" s="9">
        <f>SUM(ALL_BLOCKS)</f>
        <v>97765851.959999993</v>
      </c>
      <c r="L60" s="6">
        <f>SUM(LIFE_CALLED)</f>
        <v>0</v>
      </c>
      <c r="M60" s="1">
        <f>SUM(LIFE_REFUNDED)</f>
        <v>0</v>
      </c>
      <c r="O60" s="1">
        <f>SUM(ALLOC_CALLED)</f>
        <v>0</v>
      </c>
      <c r="P60" s="1">
        <f>SUM(ALLOC_REFUNDED)</f>
        <v>0</v>
      </c>
      <c r="R60" s="1">
        <f>SUM(HEALTH_CALLED)</f>
        <v>0</v>
      </c>
      <c r="S60" s="1">
        <f>SUM(HEALTH_REFUNDED)</f>
        <v>0</v>
      </c>
      <c r="U60" s="1">
        <f>SUM(UNALLOC_CALLED)</f>
        <v>0</v>
      </c>
      <c r="V60" s="9">
        <f>SUM(UNALLOC_REFUNDED)</f>
        <v>0</v>
      </c>
    </row>
    <row r="61" spans="1:22" ht="5.0999999999999996" customHeight="1">
      <c r="B61" s="6"/>
      <c r="G61" s="9"/>
      <c r="L61" s="6"/>
      <c r="V61" s="9"/>
    </row>
    <row r="62" spans="1:22">
      <c r="B62" s="6"/>
      <c r="G62" s="9"/>
      <c r="L62" s="78" t="s">
        <v>80</v>
      </c>
      <c r="M62" s="79"/>
      <c r="N62" s="79"/>
      <c r="O62" s="79"/>
      <c r="P62" s="79"/>
      <c r="Q62" s="79"/>
      <c r="R62" s="79"/>
      <c r="S62" s="79"/>
      <c r="T62" s="79"/>
      <c r="U62" s="79"/>
      <c r="V62" s="80"/>
    </row>
    <row r="63" spans="1:22">
      <c r="B63" s="6"/>
      <c r="G63" s="9"/>
      <c r="L63" s="81"/>
      <c r="M63" s="79"/>
      <c r="N63" s="79"/>
      <c r="O63" s="79"/>
      <c r="P63" s="79"/>
      <c r="Q63" s="79"/>
      <c r="R63" s="79"/>
      <c r="S63" s="79"/>
      <c r="T63" s="79"/>
      <c r="U63" s="79"/>
      <c r="V63" s="80"/>
    </row>
    <row r="64" spans="1:22">
      <c r="B64" s="8"/>
      <c r="C64" s="5"/>
      <c r="D64" s="5"/>
      <c r="E64" s="5"/>
      <c r="F64" s="5"/>
      <c r="G64" s="11"/>
      <c r="L64" s="82"/>
      <c r="M64" s="83"/>
      <c r="N64" s="83"/>
      <c r="O64" s="83"/>
      <c r="P64" s="83"/>
      <c r="Q64" s="83"/>
      <c r="R64" s="83"/>
      <c r="S64" s="83"/>
      <c r="T64" s="83"/>
      <c r="U64" s="83"/>
      <c r="V64" s="84"/>
    </row>
  </sheetData>
  <mergeCells count="8">
    <mergeCell ref="L62:V64"/>
    <mergeCell ref="A1:G1"/>
    <mergeCell ref="B3:G3"/>
    <mergeCell ref="L3:V3"/>
    <mergeCell ref="L4:M4"/>
    <mergeCell ref="O4:P4"/>
    <mergeCell ref="R4:S4"/>
    <mergeCell ref="U4:V4"/>
  </mergeCells>
  <pageMargins left="0" right="0" top="0" bottom="0" header="0" footer="0"/>
  <pageSetup scale="4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V64"/>
  <sheetViews>
    <sheetView zoomScale="75" workbookViewId="0">
      <selection sqref="A1:G1"/>
    </sheetView>
  </sheetViews>
  <sheetFormatPr defaultColWidth="9.109375" defaultRowHeight="14.4"/>
  <cols>
    <col min="1" max="1" width="20" style="1" customWidth="1"/>
    <col min="2" max="7" width="15" style="1" customWidth="1"/>
    <col min="8" max="8" width="1" style="1" customWidth="1"/>
    <col min="9" max="9" width="30" style="1" customWidth="1"/>
    <col min="10" max="10" width="15" style="1" customWidth="1"/>
    <col min="11" max="11" width="1" style="1" customWidth="1"/>
    <col min="12" max="13" width="15" style="1" customWidth="1"/>
    <col min="14" max="14" width="1" style="1" customWidth="1"/>
    <col min="15" max="16" width="15" style="1" customWidth="1"/>
    <col min="17" max="17" width="1" style="1" customWidth="1"/>
    <col min="18" max="19" width="15" style="1" customWidth="1"/>
    <col min="20" max="20" width="1" style="1" customWidth="1"/>
    <col min="21" max="22" width="15" style="1" customWidth="1"/>
    <col min="23" max="23" width="9.109375" style="1" customWidth="1"/>
    <col min="24" max="16384" width="9.109375" style="1"/>
  </cols>
  <sheetData>
    <row r="1" spans="1:22">
      <c r="A1" s="85" t="s">
        <v>87</v>
      </c>
      <c r="B1" s="79"/>
      <c r="C1" s="79"/>
      <c r="D1" s="79"/>
      <c r="E1" s="79"/>
      <c r="F1" s="79"/>
      <c r="G1" s="79"/>
    </row>
    <row r="3" spans="1:22">
      <c r="B3" s="86" t="s">
        <v>1</v>
      </c>
      <c r="C3" s="87"/>
      <c r="D3" s="87"/>
      <c r="E3" s="87"/>
      <c r="F3" s="87"/>
      <c r="G3" s="88"/>
      <c r="L3" s="89" t="s">
        <v>2</v>
      </c>
      <c r="M3" s="90"/>
      <c r="N3" s="90"/>
      <c r="O3" s="90"/>
      <c r="P3" s="90"/>
      <c r="Q3" s="90"/>
      <c r="R3" s="90"/>
      <c r="S3" s="90"/>
      <c r="T3" s="90"/>
      <c r="U3" s="90"/>
      <c r="V3" s="91"/>
    </row>
    <row r="4" spans="1:22">
      <c r="B4" s="6"/>
      <c r="G4" s="9"/>
      <c r="L4" s="92" t="s">
        <v>3</v>
      </c>
      <c r="M4" s="93"/>
      <c r="N4" s="3"/>
      <c r="O4" s="94" t="s">
        <v>4</v>
      </c>
      <c r="P4" s="93"/>
      <c r="Q4" s="3"/>
      <c r="R4" s="94" t="s">
        <v>5</v>
      </c>
      <c r="S4" s="93"/>
      <c r="T4" s="3"/>
      <c r="U4" s="94" t="s">
        <v>6</v>
      </c>
      <c r="V4" s="95"/>
    </row>
    <row r="5" spans="1:22" ht="60" customHeight="1">
      <c r="B5" s="7" t="s">
        <v>3</v>
      </c>
      <c r="C5" s="4" t="s">
        <v>4</v>
      </c>
      <c r="D5" s="4" t="s">
        <v>5</v>
      </c>
      <c r="E5" s="4" t="s">
        <v>6</v>
      </c>
      <c r="F5" s="4" t="s">
        <v>7</v>
      </c>
      <c r="G5" s="10" t="s">
        <v>8</v>
      </c>
      <c r="L5" s="19" t="s">
        <v>9</v>
      </c>
      <c r="M5" s="18" t="s">
        <v>10</v>
      </c>
      <c r="N5" s="18"/>
      <c r="O5" s="18" t="s">
        <v>9</v>
      </c>
      <c r="P5" s="18" t="s">
        <v>10</v>
      </c>
      <c r="Q5" s="18"/>
      <c r="R5" s="18" t="s">
        <v>9</v>
      </c>
      <c r="S5" s="18" t="s">
        <v>10</v>
      </c>
      <c r="T5" s="18"/>
      <c r="U5" s="18" t="s">
        <v>9</v>
      </c>
      <c r="V5" s="20" t="s">
        <v>10</v>
      </c>
    </row>
    <row r="6" spans="1:22">
      <c r="A6" s="1" t="s">
        <v>11</v>
      </c>
      <c r="B6" s="6">
        <v>0</v>
      </c>
      <c r="C6" s="1">
        <v>0</v>
      </c>
      <c r="D6" s="1">
        <v>7624.7560838067975</v>
      </c>
      <c r="E6" s="1">
        <v>0</v>
      </c>
      <c r="F6" s="1">
        <v>0</v>
      </c>
      <c r="G6" s="9">
        <f>SUM(AL_FINANCIAL)</f>
        <v>7624.7560838067975</v>
      </c>
      <c r="L6" s="6"/>
      <c r="V6" s="9"/>
    </row>
    <row r="7" spans="1:22">
      <c r="A7" s="1" t="s">
        <v>12</v>
      </c>
      <c r="B7" s="6">
        <v>0</v>
      </c>
      <c r="C7" s="1">
        <v>0</v>
      </c>
      <c r="D7" s="1">
        <v>0</v>
      </c>
      <c r="E7" s="1">
        <v>0</v>
      </c>
      <c r="F7" s="1">
        <v>0</v>
      </c>
      <c r="G7" s="9">
        <f>SUM(AK_FINANCIAL)</f>
        <v>0</v>
      </c>
      <c r="I7" s="12"/>
      <c r="J7" s="15"/>
      <c r="L7" s="6"/>
      <c r="V7" s="9"/>
    </row>
    <row r="8" spans="1:22">
      <c r="A8" s="1" t="s">
        <v>13</v>
      </c>
      <c r="B8" s="6">
        <v>0</v>
      </c>
      <c r="C8" s="1">
        <v>0</v>
      </c>
      <c r="D8" s="1">
        <v>11638.414390048956</v>
      </c>
      <c r="E8" s="1">
        <v>0</v>
      </c>
      <c r="F8" s="1">
        <v>0</v>
      </c>
      <c r="G8" s="9">
        <f>SUM(AZ_FINANCIAL)</f>
        <v>11638.414390048956</v>
      </c>
      <c r="I8" s="13" t="s">
        <v>14</v>
      </c>
      <c r="J8" s="16"/>
      <c r="L8" s="6"/>
      <c r="V8" s="9"/>
    </row>
    <row r="9" spans="1:22">
      <c r="A9" s="1" t="s">
        <v>15</v>
      </c>
      <c r="B9" s="6">
        <v>0</v>
      </c>
      <c r="C9" s="1">
        <v>0</v>
      </c>
      <c r="D9" s="1">
        <v>4704.3069419988005</v>
      </c>
      <c r="E9" s="1">
        <v>0</v>
      </c>
      <c r="F9" s="1">
        <v>0</v>
      </c>
      <c r="G9" s="9">
        <f>SUM(AR_FINANCIAL)</f>
        <v>4704.3069419988005</v>
      </c>
      <c r="I9" s="13"/>
      <c r="J9" s="16"/>
      <c r="L9" s="6"/>
      <c r="V9" s="9"/>
    </row>
    <row r="10" spans="1:22">
      <c r="A10" s="1" t="s">
        <v>16</v>
      </c>
      <c r="B10" s="6">
        <v>0</v>
      </c>
      <c r="C10" s="1">
        <v>0</v>
      </c>
      <c r="D10" s="1">
        <v>0</v>
      </c>
      <c r="E10" s="1">
        <v>0</v>
      </c>
      <c r="F10" s="1">
        <v>0</v>
      </c>
      <c r="G10" s="9">
        <f>SUM(CA_FINANCIAL)</f>
        <v>0</v>
      </c>
      <c r="I10" s="13" t="s">
        <v>17</v>
      </c>
      <c r="J10" s="16">
        <v>0</v>
      </c>
      <c r="L10" s="6"/>
      <c r="V10" s="9"/>
    </row>
    <row r="11" spans="1:22">
      <c r="A11" s="1" t="s">
        <v>18</v>
      </c>
      <c r="B11" s="6">
        <v>0</v>
      </c>
      <c r="C11" s="1">
        <v>0</v>
      </c>
      <c r="D11" s="1">
        <v>0</v>
      </c>
      <c r="E11" s="1">
        <v>0</v>
      </c>
      <c r="F11" s="1">
        <v>0</v>
      </c>
      <c r="G11" s="9">
        <f>SUM(CO_FINANCIAL)</f>
        <v>0</v>
      </c>
      <c r="I11" s="13"/>
      <c r="J11" s="16"/>
      <c r="L11" s="6"/>
      <c r="V11" s="9"/>
    </row>
    <row r="12" spans="1:22">
      <c r="A12" s="1" t="s">
        <v>19</v>
      </c>
      <c r="B12" s="6">
        <v>0</v>
      </c>
      <c r="C12" s="1">
        <v>0</v>
      </c>
      <c r="D12" s="1">
        <v>216.27307303776743</v>
      </c>
      <c r="E12" s="1">
        <v>0</v>
      </c>
      <c r="F12" s="1">
        <v>0</v>
      </c>
      <c r="G12" s="9">
        <f>SUM(CT_FINANCIAL)</f>
        <v>216.27307303776743</v>
      </c>
      <c r="I12" s="13" t="s">
        <v>20</v>
      </c>
      <c r="J12" s="16"/>
      <c r="L12" s="6"/>
      <c r="V12" s="9"/>
    </row>
    <row r="13" spans="1:22">
      <c r="A13" s="1" t="s">
        <v>21</v>
      </c>
      <c r="B13" s="6">
        <v>0</v>
      </c>
      <c r="C13" s="1">
        <v>0</v>
      </c>
      <c r="D13" s="1">
        <v>2100.4974907706141</v>
      </c>
      <c r="E13" s="1">
        <v>0</v>
      </c>
      <c r="F13" s="1">
        <v>0</v>
      </c>
      <c r="G13" s="9">
        <f>SUM(DE_FINANCIAL)</f>
        <v>2100.4974907706141</v>
      </c>
      <c r="I13" s="13" t="s">
        <v>22</v>
      </c>
      <c r="J13" s="16">
        <v>0</v>
      </c>
      <c r="L13" s="6"/>
      <c r="V13" s="9"/>
    </row>
    <row r="14" spans="1:22">
      <c r="A14" s="1" t="s">
        <v>23</v>
      </c>
      <c r="B14" s="6">
        <v>0</v>
      </c>
      <c r="C14" s="1">
        <v>0</v>
      </c>
      <c r="D14" s="1">
        <v>246.94417421105692</v>
      </c>
      <c r="E14" s="1">
        <v>0</v>
      </c>
      <c r="F14" s="1">
        <v>0</v>
      </c>
      <c r="G14" s="9">
        <f>SUM(DC_FINANCIAL)</f>
        <v>246.94417421105692</v>
      </c>
      <c r="I14" s="13" t="s">
        <v>24</v>
      </c>
      <c r="J14" s="16">
        <v>0</v>
      </c>
      <c r="L14" s="6"/>
      <c r="V14" s="9"/>
    </row>
    <row r="15" spans="1:22">
      <c r="A15" s="1" t="s">
        <v>25</v>
      </c>
      <c r="B15" s="6">
        <v>0</v>
      </c>
      <c r="C15" s="1">
        <v>0</v>
      </c>
      <c r="D15" s="1">
        <v>42381.650520609473</v>
      </c>
      <c r="E15" s="1">
        <v>0</v>
      </c>
      <c r="F15" s="1">
        <v>0</v>
      </c>
      <c r="G15" s="9">
        <f>SUM(FL_FINANCIAL)</f>
        <v>42381.650520609473</v>
      </c>
      <c r="I15" s="13" t="s">
        <v>26</v>
      </c>
      <c r="J15" s="16">
        <v>472897.00922114402</v>
      </c>
      <c r="L15" s="6"/>
      <c r="V15" s="9"/>
    </row>
    <row r="16" spans="1:22">
      <c r="A16" s="1" t="s">
        <v>27</v>
      </c>
      <c r="B16" s="6">
        <v>0</v>
      </c>
      <c r="C16" s="1">
        <v>0</v>
      </c>
      <c r="D16" s="1">
        <v>16424.597003578889</v>
      </c>
      <c r="E16" s="1">
        <v>0</v>
      </c>
      <c r="F16" s="1">
        <v>0</v>
      </c>
      <c r="G16" s="9">
        <f>SUM(GA_FINANCIAL)</f>
        <v>16424.597003578889</v>
      </c>
      <c r="I16" s="13" t="s">
        <v>28</v>
      </c>
      <c r="J16" s="16">
        <v>0</v>
      </c>
      <c r="L16" s="6"/>
      <c r="V16" s="9"/>
    </row>
    <row r="17" spans="1:22">
      <c r="A17" s="1" t="s">
        <v>29</v>
      </c>
      <c r="B17" s="6">
        <v>0</v>
      </c>
      <c r="C17" s="1">
        <v>0</v>
      </c>
      <c r="D17" s="1">
        <v>199.21928791317052</v>
      </c>
      <c r="E17" s="1">
        <v>0</v>
      </c>
      <c r="F17" s="1">
        <v>0</v>
      </c>
      <c r="G17" s="9">
        <f>SUM(HI_FINANCIAL)</f>
        <v>199.21928791317052</v>
      </c>
      <c r="I17" s="13"/>
      <c r="J17" s="16"/>
      <c r="L17" s="6"/>
      <c r="V17" s="9"/>
    </row>
    <row r="18" spans="1:22">
      <c r="A18" s="1" t="s">
        <v>30</v>
      </c>
      <c r="B18" s="6">
        <v>0</v>
      </c>
      <c r="C18" s="1">
        <v>0</v>
      </c>
      <c r="D18" s="1">
        <v>0</v>
      </c>
      <c r="E18" s="1">
        <v>0</v>
      </c>
      <c r="F18" s="1">
        <v>0</v>
      </c>
      <c r="G18" s="9">
        <f>SUM(ID_FINANCIAL)</f>
        <v>0</v>
      </c>
      <c r="I18" s="13" t="s">
        <v>31</v>
      </c>
      <c r="J18" s="16"/>
      <c r="L18" s="6"/>
      <c r="V18" s="9"/>
    </row>
    <row r="19" spans="1:22">
      <c r="A19" s="1" t="s">
        <v>32</v>
      </c>
      <c r="B19" s="6">
        <v>0</v>
      </c>
      <c r="C19" s="1">
        <v>0</v>
      </c>
      <c r="D19" s="1">
        <v>20181.672136299974</v>
      </c>
      <c r="E19" s="1">
        <v>0</v>
      </c>
      <c r="F19" s="1">
        <v>0</v>
      </c>
      <c r="G19" s="9">
        <f>SUM(IL_FINANCIAL)</f>
        <v>20181.672136299974</v>
      </c>
      <c r="I19" s="13" t="s">
        <v>33</v>
      </c>
      <c r="J19" s="16">
        <v>0</v>
      </c>
      <c r="L19" s="6"/>
      <c r="V19" s="9"/>
    </row>
    <row r="20" spans="1:22">
      <c r="A20" s="1" t="s">
        <v>34</v>
      </c>
      <c r="B20" s="6">
        <v>0</v>
      </c>
      <c r="C20" s="1">
        <v>0</v>
      </c>
      <c r="D20" s="1">
        <v>8334.2736068012346</v>
      </c>
      <c r="E20" s="1">
        <v>0</v>
      </c>
      <c r="F20" s="1">
        <v>0</v>
      </c>
      <c r="G20" s="9">
        <f>SUM(IN_FINANCIAL)</f>
        <v>8334.2736068012346</v>
      </c>
      <c r="I20" s="13" t="s">
        <v>35</v>
      </c>
      <c r="J20" s="16">
        <v>0</v>
      </c>
      <c r="L20" s="6"/>
      <c r="V20" s="9"/>
    </row>
    <row r="21" spans="1:22">
      <c r="A21" s="1" t="s">
        <v>36</v>
      </c>
      <c r="B21" s="6">
        <v>0</v>
      </c>
      <c r="C21" s="1">
        <v>0</v>
      </c>
      <c r="D21" s="1">
        <v>0</v>
      </c>
      <c r="E21" s="1">
        <v>0</v>
      </c>
      <c r="F21" s="1">
        <v>0</v>
      </c>
      <c r="G21" s="9">
        <f>SUM(IA_FINANCIAL)</f>
        <v>0</v>
      </c>
      <c r="I21" s="13" t="s">
        <v>37</v>
      </c>
      <c r="J21" s="16"/>
      <c r="L21" s="6"/>
      <c r="V21" s="9"/>
    </row>
    <row r="22" spans="1:22">
      <c r="A22" s="1" t="s">
        <v>38</v>
      </c>
      <c r="B22" s="6">
        <v>0</v>
      </c>
      <c r="C22" s="1">
        <v>0</v>
      </c>
      <c r="D22" s="1">
        <v>33.791495328856904</v>
      </c>
      <c r="E22" s="1">
        <v>0</v>
      </c>
      <c r="F22" s="1">
        <v>0</v>
      </c>
      <c r="G22" s="9">
        <f>SUM(KS_FINANCIAL)</f>
        <v>33.791495328856904</v>
      </c>
      <c r="I22" s="13" t="s">
        <v>39</v>
      </c>
      <c r="J22" s="16">
        <v>0</v>
      </c>
      <c r="L22" s="6"/>
      <c r="V22" s="9"/>
    </row>
    <row r="23" spans="1:22">
      <c r="A23" s="1" t="s">
        <v>40</v>
      </c>
      <c r="B23" s="6">
        <v>0</v>
      </c>
      <c r="C23" s="1">
        <v>0</v>
      </c>
      <c r="D23" s="1">
        <v>4460.5060218795788</v>
      </c>
      <c r="E23" s="1">
        <v>0</v>
      </c>
      <c r="F23" s="1">
        <v>0</v>
      </c>
      <c r="G23" s="9">
        <f>SUM(KY_FINANCIAL)</f>
        <v>4460.5060218795788</v>
      </c>
      <c r="I23" s="13" t="s">
        <v>41</v>
      </c>
      <c r="J23" s="16"/>
      <c r="L23" s="6"/>
      <c r="V23" s="9"/>
    </row>
    <row r="24" spans="1:22">
      <c r="A24" s="1" t="s">
        <v>42</v>
      </c>
      <c r="B24" s="6">
        <v>0</v>
      </c>
      <c r="C24" s="1">
        <v>0</v>
      </c>
      <c r="D24" s="1">
        <v>7991.103085366196</v>
      </c>
      <c r="E24" s="1">
        <v>0</v>
      </c>
      <c r="F24" s="1">
        <v>0</v>
      </c>
      <c r="G24" s="9">
        <f>SUM(LA_FINANCIAL)</f>
        <v>7991.103085366196</v>
      </c>
      <c r="I24" s="13" t="s">
        <v>43</v>
      </c>
      <c r="J24" s="16">
        <v>59999.999999999993</v>
      </c>
      <c r="L24" s="6"/>
      <c r="V24" s="9"/>
    </row>
    <row r="25" spans="1:22">
      <c r="A25" s="1" t="s">
        <v>44</v>
      </c>
      <c r="B25" s="6">
        <v>0</v>
      </c>
      <c r="C25" s="1">
        <v>0</v>
      </c>
      <c r="D25" s="1">
        <v>0</v>
      </c>
      <c r="E25" s="1">
        <v>0</v>
      </c>
      <c r="F25" s="1">
        <v>0</v>
      </c>
      <c r="G25" s="9">
        <f>SUM(ME_FINANCIAL)</f>
        <v>0</v>
      </c>
      <c r="I25" s="13"/>
      <c r="J25" s="16"/>
      <c r="L25" s="6"/>
      <c r="V25" s="9"/>
    </row>
    <row r="26" spans="1:22">
      <c r="A26" s="1" t="s">
        <v>45</v>
      </c>
      <c r="B26" s="6">
        <v>0</v>
      </c>
      <c r="C26" s="1">
        <v>0</v>
      </c>
      <c r="D26" s="1">
        <v>8415.6306985235897</v>
      </c>
      <c r="E26" s="1">
        <v>0</v>
      </c>
      <c r="F26" s="1">
        <v>0</v>
      </c>
      <c r="G26" s="9">
        <f>SUM(MD_FINANCIAL)</f>
        <v>8415.6306985235897</v>
      </c>
      <c r="I26" s="13" t="s">
        <v>46</v>
      </c>
      <c r="J26" s="16">
        <f>SUM(ADD_FINANCIAL)-SUM(LESS_FINANCIAL)</f>
        <v>412897.00922114402</v>
      </c>
      <c r="L26" s="6"/>
      <c r="V26" s="9"/>
    </row>
    <row r="27" spans="1:22">
      <c r="A27" s="1" t="s">
        <v>47</v>
      </c>
      <c r="B27" s="6">
        <v>0</v>
      </c>
      <c r="C27" s="1">
        <v>0</v>
      </c>
      <c r="D27" s="1">
        <v>0</v>
      </c>
      <c r="E27" s="1">
        <v>0</v>
      </c>
      <c r="F27" s="1">
        <v>0</v>
      </c>
      <c r="G27" s="9">
        <f>SUM(MA_FINANCIAL)</f>
        <v>0</v>
      </c>
      <c r="I27" s="13" t="s">
        <v>48</v>
      </c>
      <c r="J27" s="16">
        <f>SUM(ALL_BLOCKS)</f>
        <v>412897.00922114402</v>
      </c>
      <c r="L27" s="6"/>
      <c r="V27" s="9"/>
    </row>
    <row r="28" spans="1:22">
      <c r="A28" s="1" t="s">
        <v>49</v>
      </c>
      <c r="B28" s="6">
        <v>0</v>
      </c>
      <c r="C28" s="1">
        <v>0</v>
      </c>
      <c r="D28" s="1">
        <v>8033.3151559047274</v>
      </c>
      <c r="E28" s="1">
        <v>0</v>
      </c>
      <c r="F28" s="1">
        <v>0</v>
      </c>
      <c r="G28" s="9">
        <f>SUM(MI_FINANCIAL)</f>
        <v>8033.3151559047274</v>
      </c>
      <c r="I28" s="14"/>
      <c r="J28" s="17"/>
      <c r="L28" s="6"/>
      <c r="V28" s="9"/>
    </row>
    <row r="29" spans="1:22">
      <c r="A29" s="1" t="s">
        <v>50</v>
      </c>
      <c r="B29" s="6">
        <v>0</v>
      </c>
      <c r="C29" s="1">
        <v>0</v>
      </c>
      <c r="D29" s="1">
        <v>0</v>
      </c>
      <c r="E29" s="1">
        <v>0</v>
      </c>
      <c r="F29" s="1">
        <v>0</v>
      </c>
      <c r="G29" s="9">
        <f>SUM(MN_FINANCIAL)</f>
        <v>0</v>
      </c>
      <c r="L29" s="6"/>
      <c r="V29" s="9"/>
    </row>
    <row r="30" spans="1:22">
      <c r="A30" s="1" t="s">
        <v>51</v>
      </c>
      <c r="B30" s="6">
        <v>0</v>
      </c>
      <c r="C30" s="1">
        <v>0</v>
      </c>
      <c r="D30" s="1">
        <v>9420.4686756039391</v>
      </c>
      <c r="E30" s="1">
        <v>0</v>
      </c>
      <c r="F30" s="1">
        <v>0</v>
      </c>
      <c r="G30" s="9">
        <f>SUM(MS_FINANCIAL)</f>
        <v>9420.4686756039391</v>
      </c>
      <c r="L30" s="6"/>
      <c r="V30" s="9"/>
    </row>
    <row r="31" spans="1:22">
      <c r="A31" s="1" t="s">
        <v>52</v>
      </c>
      <c r="B31" s="6">
        <v>0</v>
      </c>
      <c r="C31" s="1">
        <v>0</v>
      </c>
      <c r="D31" s="1">
        <v>14185.189950236072</v>
      </c>
      <c r="E31" s="1">
        <v>0</v>
      </c>
      <c r="F31" s="1">
        <v>0</v>
      </c>
      <c r="G31" s="9">
        <f>SUM(MO_FINANCIAL)</f>
        <v>14185.189950236072</v>
      </c>
      <c r="L31" s="6"/>
      <c r="V31" s="9"/>
    </row>
    <row r="32" spans="1:22">
      <c r="A32" s="1" t="s">
        <v>53</v>
      </c>
      <c r="B32" s="6">
        <v>0</v>
      </c>
      <c r="C32" s="1">
        <v>0</v>
      </c>
      <c r="D32" s="1">
        <v>-90.685740331015893</v>
      </c>
      <c r="E32" s="1">
        <v>0</v>
      </c>
      <c r="F32" s="1">
        <v>0</v>
      </c>
      <c r="G32" s="9">
        <f>SUM(MT_FINANCIAL)</f>
        <v>-90.685740331015893</v>
      </c>
      <c r="L32" s="6"/>
      <c r="V32" s="9"/>
    </row>
    <row r="33" spans="1:22">
      <c r="A33" s="1" t="s">
        <v>54</v>
      </c>
      <c r="B33" s="6">
        <v>0</v>
      </c>
      <c r="C33" s="1">
        <v>0</v>
      </c>
      <c r="D33" s="1">
        <v>3101.6014562267301</v>
      </c>
      <c r="E33" s="1">
        <v>0</v>
      </c>
      <c r="F33" s="1">
        <v>0</v>
      </c>
      <c r="G33" s="9">
        <f>SUM(NE_FINANCIAL)</f>
        <v>3101.6014562267301</v>
      </c>
      <c r="L33" s="6"/>
      <c r="V33" s="9"/>
    </row>
    <row r="34" spans="1:22">
      <c r="A34" s="1" t="s">
        <v>55</v>
      </c>
      <c r="B34" s="6">
        <v>0</v>
      </c>
      <c r="C34" s="1">
        <v>0</v>
      </c>
      <c r="D34" s="1">
        <v>3571.3452116592298</v>
      </c>
      <c r="E34" s="1">
        <v>0</v>
      </c>
      <c r="F34" s="1">
        <v>0</v>
      </c>
      <c r="G34" s="9">
        <f>SUM(NV_FINANCIAL)</f>
        <v>3571.3452116592298</v>
      </c>
      <c r="L34" s="6"/>
      <c r="V34" s="9"/>
    </row>
    <row r="35" spans="1:22">
      <c r="A35" s="1" t="s">
        <v>56</v>
      </c>
      <c r="B35" s="6">
        <v>0</v>
      </c>
      <c r="C35" s="1">
        <v>0</v>
      </c>
      <c r="D35" s="1">
        <v>0</v>
      </c>
      <c r="E35" s="1">
        <v>0</v>
      </c>
      <c r="F35" s="1">
        <v>0</v>
      </c>
      <c r="G35" s="9">
        <f>SUM(NH_FINANCIAL)</f>
        <v>0</v>
      </c>
      <c r="L35" s="6"/>
      <c r="V35" s="9"/>
    </row>
    <row r="36" spans="1:22">
      <c r="A36" s="1" t="s">
        <v>57</v>
      </c>
      <c r="B36" s="6">
        <v>0</v>
      </c>
      <c r="C36" s="1">
        <v>0</v>
      </c>
      <c r="D36" s="1">
        <v>5629.1382019584889</v>
      </c>
      <c r="E36" s="1">
        <v>0</v>
      </c>
      <c r="F36" s="1">
        <v>0</v>
      </c>
      <c r="G36" s="9">
        <f>SUM(NJ_FINANCIAL)</f>
        <v>5629.1382019584889</v>
      </c>
      <c r="L36" s="6"/>
      <c r="V36" s="9"/>
    </row>
    <row r="37" spans="1:22">
      <c r="A37" s="1" t="s">
        <v>58</v>
      </c>
      <c r="B37" s="6">
        <v>0</v>
      </c>
      <c r="C37" s="1">
        <v>0</v>
      </c>
      <c r="D37" s="1">
        <v>1853.2886339474958</v>
      </c>
      <c r="E37" s="1">
        <v>0</v>
      </c>
      <c r="F37" s="1">
        <v>0</v>
      </c>
      <c r="G37" s="9">
        <f>SUM(NM_FINANCIAL)</f>
        <v>1853.2886339474958</v>
      </c>
      <c r="L37" s="6"/>
      <c r="V37" s="9"/>
    </row>
    <row r="38" spans="1:22">
      <c r="A38" s="1" t="s">
        <v>59</v>
      </c>
      <c r="B38" s="6">
        <v>0</v>
      </c>
      <c r="C38" s="1">
        <v>0</v>
      </c>
      <c r="D38" s="1">
        <v>66026.702140185094</v>
      </c>
      <c r="E38" s="1">
        <v>0</v>
      </c>
      <c r="F38" s="1">
        <v>0</v>
      </c>
      <c r="G38" s="9">
        <f>SUM(NY_FINANCIAL)</f>
        <v>66026.702140185094</v>
      </c>
      <c r="L38" s="6"/>
      <c r="V38" s="9"/>
    </row>
    <row r="39" spans="1:22">
      <c r="A39" s="1" t="s">
        <v>60</v>
      </c>
      <c r="B39" s="6">
        <v>0</v>
      </c>
      <c r="C39" s="1">
        <v>0</v>
      </c>
      <c r="D39" s="1">
        <v>10041.034327763195</v>
      </c>
      <c r="E39" s="1">
        <v>0</v>
      </c>
      <c r="F39" s="1">
        <v>0</v>
      </c>
      <c r="G39" s="9">
        <f>SUM(NC_FINANCIAL)</f>
        <v>10041.034327763195</v>
      </c>
      <c r="L39" s="6"/>
      <c r="V39" s="9"/>
    </row>
    <row r="40" spans="1:22">
      <c r="A40" s="1" t="s">
        <v>61</v>
      </c>
      <c r="B40" s="6">
        <v>0</v>
      </c>
      <c r="C40" s="1">
        <v>0</v>
      </c>
      <c r="D40" s="1">
        <v>656.56848638594602</v>
      </c>
      <c r="E40" s="1">
        <v>0</v>
      </c>
      <c r="F40" s="1">
        <v>0</v>
      </c>
      <c r="G40" s="9">
        <f>SUM(ND_FINANCIAL)</f>
        <v>656.56848638594602</v>
      </c>
      <c r="L40" s="6"/>
      <c r="V40" s="9"/>
    </row>
    <row r="41" spans="1:22">
      <c r="A41" s="1" t="s">
        <v>62</v>
      </c>
      <c r="B41" s="6">
        <v>0</v>
      </c>
      <c r="C41" s="1">
        <v>0</v>
      </c>
      <c r="D41" s="1">
        <v>19161.867454228468</v>
      </c>
      <c r="E41" s="1">
        <v>0</v>
      </c>
      <c r="F41" s="1">
        <v>0</v>
      </c>
      <c r="G41" s="9">
        <f>SUM(OH_FINANCIAL)</f>
        <v>19161.867454228468</v>
      </c>
      <c r="L41" s="6"/>
      <c r="V41" s="9"/>
    </row>
    <row r="42" spans="1:22">
      <c r="A42" s="1" t="s">
        <v>63</v>
      </c>
      <c r="B42" s="6">
        <v>0</v>
      </c>
      <c r="C42" s="1">
        <v>0</v>
      </c>
      <c r="D42" s="1">
        <v>7420.6117736231408</v>
      </c>
      <c r="E42" s="1">
        <v>0</v>
      </c>
      <c r="F42" s="1">
        <v>0</v>
      </c>
      <c r="G42" s="9">
        <f>SUM(OK_FINANCIAL)</f>
        <v>7420.6117736231408</v>
      </c>
      <c r="L42" s="6"/>
      <c r="V42" s="9"/>
    </row>
    <row r="43" spans="1:22">
      <c r="A43" s="1" t="s">
        <v>64</v>
      </c>
      <c r="B43" s="6">
        <v>0</v>
      </c>
      <c r="C43" s="1">
        <v>0</v>
      </c>
      <c r="D43" s="1">
        <v>-330.65825246187609</v>
      </c>
      <c r="E43" s="1">
        <v>0</v>
      </c>
      <c r="F43" s="1">
        <v>0</v>
      </c>
      <c r="G43" s="9">
        <f>SUM(OR_FINANCIAL)</f>
        <v>-330.65825246187609</v>
      </c>
      <c r="L43" s="6"/>
      <c r="V43" s="9"/>
    </row>
    <row r="44" spans="1:22">
      <c r="A44" s="1" t="s">
        <v>65</v>
      </c>
      <c r="B44" s="6">
        <v>0</v>
      </c>
      <c r="C44" s="1">
        <v>0</v>
      </c>
      <c r="D44" s="1">
        <v>29030.821051255531</v>
      </c>
      <c r="E44" s="1">
        <v>0</v>
      </c>
      <c r="F44" s="1">
        <v>0</v>
      </c>
      <c r="G44" s="9">
        <f>SUM(PA_FINANCIAL)</f>
        <v>29030.821051255531</v>
      </c>
      <c r="L44" s="6"/>
      <c r="V44" s="9"/>
    </row>
    <row r="45" spans="1:22">
      <c r="A45" s="1" t="s">
        <v>66</v>
      </c>
      <c r="B45" s="6">
        <v>0</v>
      </c>
      <c r="C45" s="1">
        <v>0</v>
      </c>
      <c r="D45" s="1">
        <v>0</v>
      </c>
      <c r="E45" s="1">
        <v>0</v>
      </c>
      <c r="F45" s="1">
        <v>0</v>
      </c>
      <c r="G45" s="9">
        <f>SUM(PR_FINANCIAL)</f>
        <v>0</v>
      </c>
      <c r="L45" s="6"/>
      <c r="V45" s="9"/>
    </row>
    <row r="46" spans="1:22">
      <c r="A46" s="1" t="s">
        <v>67</v>
      </c>
      <c r="B46" s="6">
        <v>0</v>
      </c>
      <c r="C46" s="1">
        <v>0</v>
      </c>
      <c r="D46" s="1">
        <v>3717.1548998837161</v>
      </c>
      <c r="E46" s="1">
        <v>0</v>
      </c>
      <c r="F46" s="1">
        <v>0</v>
      </c>
      <c r="G46" s="9">
        <f>SUM(RI_FINANCIAL)</f>
        <v>3717.1548998837161</v>
      </c>
      <c r="L46" s="6"/>
      <c r="V46" s="9"/>
    </row>
    <row r="47" spans="1:22">
      <c r="A47" s="1" t="s">
        <v>68</v>
      </c>
      <c r="B47" s="6">
        <v>0</v>
      </c>
      <c r="C47" s="1">
        <v>0</v>
      </c>
      <c r="D47" s="1">
        <v>15539.444168441994</v>
      </c>
      <c r="E47" s="1">
        <v>0</v>
      </c>
      <c r="F47" s="1">
        <v>0</v>
      </c>
      <c r="G47" s="9">
        <f>SUM(SC_FINANCIAL)</f>
        <v>15539.444168441994</v>
      </c>
      <c r="L47" s="6"/>
      <c r="V47" s="9"/>
    </row>
    <row r="48" spans="1:22">
      <c r="A48" s="1" t="s">
        <v>69</v>
      </c>
      <c r="B48" s="6">
        <v>0</v>
      </c>
      <c r="C48" s="1">
        <v>0</v>
      </c>
      <c r="D48" s="1">
        <v>179.72761352147739</v>
      </c>
      <c r="E48" s="1">
        <v>0</v>
      </c>
      <c r="F48" s="1">
        <v>0</v>
      </c>
      <c r="G48" s="9">
        <f>SUM(SD_FINANCIAL)</f>
        <v>179.72761352147739</v>
      </c>
      <c r="L48" s="6"/>
      <c r="V48" s="9"/>
    </row>
    <row r="49" spans="1:22">
      <c r="A49" s="1" t="s">
        <v>70</v>
      </c>
      <c r="B49" s="6">
        <v>0</v>
      </c>
      <c r="C49" s="1">
        <v>0</v>
      </c>
      <c r="D49" s="1">
        <v>12085.652506902257</v>
      </c>
      <c r="E49" s="1">
        <v>0</v>
      </c>
      <c r="F49" s="1">
        <v>0</v>
      </c>
      <c r="G49" s="9">
        <f>SUM(TN_FINANCIAL)</f>
        <v>12085.652506902257</v>
      </c>
      <c r="L49" s="6"/>
      <c r="V49" s="9"/>
    </row>
    <row r="50" spans="1:22">
      <c r="A50" s="1" t="s">
        <v>71</v>
      </c>
      <c r="B50" s="6">
        <v>0</v>
      </c>
      <c r="C50" s="1">
        <v>0</v>
      </c>
      <c r="D50" s="1">
        <v>47776.015414883543</v>
      </c>
      <c r="E50" s="1">
        <v>0</v>
      </c>
      <c r="F50" s="1">
        <v>0</v>
      </c>
      <c r="G50" s="9">
        <f>SUM(TX_FINANCIAL)</f>
        <v>47776.015414883543</v>
      </c>
      <c r="L50" s="6"/>
      <c r="V50" s="9"/>
    </row>
    <row r="51" spans="1:22">
      <c r="A51" s="1" t="s">
        <v>72</v>
      </c>
      <c r="B51" s="6">
        <v>0</v>
      </c>
      <c r="C51" s="1">
        <v>0</v>
      </c>
      <c r="D51" s="1">
        <v>1983.0788367287319</v>
      </c>
      <c r="E51" s="1">
        <v>0</v>
      </c>
      <c r="F51" s="1">
        <v>0</v>
      </c>
      <c r="G51" s="9">
        <f>SUM(UT_FINANCIAL)</f>
        <v>1983.0788367287319</v>
      </c>
      <c r="L51" s="6"/>
      <c r="V51" s="9"/>
    </row>
    <row r="52" spans="1:22">
      <c r="A52" s="1" t="s">
        <v>73</v>
      </c>
      <c r="B52" s="6">
        <v>0</v>
      </c>
      <c r="C52" s="1">
        <v>0</v>
      </c>
      <c r="D52" s="1">
        <v>0</v>
      </c>
      <c r="E52" s="1">
        <v>0</v>
      </c>
      <c r="F52" s="1">
        <v>0</v>
      </c>
      <c r="G52" s="9">
        <f>SUM(VT_FINANCIAL)</f>
        <v>0</v>
      </c>
      <c r="L52" s="6"/>
      <c r="V52" s="9"/>
    </row>
    <row r="53" spans="1:22">
      <c r="A53" s="1" t="s">
        <v>74</v>
      </c>
      <c r="B53" s="6">
        <v>0</v>
      </c>
      <c r="C53" s="1">
        <v>0</v>
      </c>
      <c r="D53" s="1">
        <v>0</v>
      </c>
      <c r="E53" s="1">
        <v>0</v>
      </c>
      <c r="F53" s="1">
        <v>0</v>
      </c>
      <c r="G53" s="9">
        <f>SUM(VA_FINANCIAL)</f>
        <v>0</v>
      </c>
      <c r="L53" s="6"/>
      <c r="V53" s="9"/>
    </row>
    <row r="54" spans="1:22">
      <c r="A54" s="1" t="s">
        <v>75</v>
      </c>
      <c r="B54" s="6">
        <v>0</v>
      </c>
      <c r="C54" s="1">
        <v>0</v>
      </c>
      <c r="D54" s="1">
        <v>136.33957090117767</v>
      </c>
      <c r="E54" s="1">
        <v>0</v>
      </c>
      <c r="F54" s="1">
        <v>0</v>
      </c>
      <c r="G54" s="9">
        <f>SUM(WA_FINANCIAL)</f>
        <v>136.33957090117767</v>
      </c>
      <c r="L54" s="6"/>
      <c r="V54" s="9"/>
    </row>
    <row r="55" spans="1:22">
      <c r="A55" s="1" t="s">
        <v>76</v>
      </c>
      <c r="B55" s="6">
        <v>0</v>
      </c>
      <c r="C55" s="1">
        <v>0</v>
      </c>
      <c r="D55" s="1">
        <v>5013.3090384289699</v>
      </c>
      <c r="E55" s="1">
        <v>0</v>
      </c>
      <c r="F55" s="1">
        <v>0</v>
      </c>
      <c r="G55" s="9">
        <f>SUM(WV_FINANCIAL)</f>
        <v>5013.3090384289699</v>
      </c>
      <c r="L55" s="6"/>
      <c r="V55" s="9"/>
    </row>
    <row r="56" spans="1:22">
      <c r="A56" s="1" t="s">
        <v>77</v>
      </c>
      <c r="B56" s="6">
        <v>0</v>
      </c>
      <c r="C56" s="1">
        <v>0</v>
      </c>
      <c r="D56" s="1">
        <v>12398.440007264977</v>
      </c>
      <c r="E56" s="1">
        <v>0</v>
      </c>
      <c r="F56" s="1">
        <v>0</v>
      </c>
      <c r="G56" s="9">
        <f>SUM(WI_FINANCIAL)</f>
        <v>12398.440007264977</v>
      </c>
      <c r="L56" s="6"/>
      <c r="V56" s="9"/>
    </row>
    <row r="57" spans="1:22">
      <c r="A57" s="1" t="s">
        <v>78</v>
      </c>
      <c r="B57" s="6">
        <v>0</v>
      </c>
      <c r="C57" s="1">
        <v>0</v>
      </c>
      <c r="D57" s="1">
        <v>1403.6026278270303</v>
      </c>
      <c r="E57" s="1">
        <v>0</v>
      </c>
      <c r="F57" s="1">
        <v>0</v>
      </c>
      <c r="G57" s="9">
        <f>SUM(WY_FINANCIAL)</f>
        <v>1403.6026278270303</v>
      </c>
      <c r="L57" s="6"/>
      <c r="V57" s="9"/>
    </row>
    <row r="58" spans="1:22">
      <c r="A58" s="1" t="s">
        <v>79</v>
      </c>
      <c r="B58" s="6">
        <v>0</v>
      </c>
      <c r="C58" s="1">
        <v>0</v>
      </c>
      <c r="D58" s="1">
        <v>0</v>
      </c>
      <c r="E58" s="1">
        <v>0</v>
      </c>
      <c r="F58" s="1">
        <v>0</v>
      </c>
      <c r="G58" s="9">
        <f>SUM(OT_FINANCIAL)</f>
        <v>0</v>
      </c>
      <c r="L58" s="6"/>
      <c r="V58" s="9"/>
    </row>
    <row r="59" spans="1:22">
      <c r="B59" s="6"/>
      <c r="G59" s="9"/>
      <c r="L59" s="6"/>
      <c r="V59" s="9"/>
    </row>
    <row r="60" spans="1:22">
      <c r="A60" s="1" t="s">
        <v>8</v>
      </c>
      <c r="B60" s="6">
        <f>SUM(LIFE)</f>
        <v>0</v>
      </c>
      <c r="C60" s="1">
        <f>SUM(ALLOCATED)</f>
        <v>0</v>
      </c>
      <c r="D60" s="1">
        <f>SUM(HEALTH)</f>
        <v>412897.00922114402</v>
      </c>
      <c r="E60" s="1">
        <f>SUM(UNALLOCATED)</f>
        <v>0</v>
      </c>
      <c r="F60" s="1">
        <f>SUM(LTC)</f>
        <v>0</v>
      </c>
      <c r="G60" s="9">
        <f>SUM(ALL_BLOCKS)</f>
        <v>412897.00922114402</v>
      </c>
      <c r="L60" s="6">
        <f>SUM(LIFE_CALLED)</f>
        <v>0</v>
      </c>
      <c r="M60" s="1">
        <f>SUM(LIFE_REFUNDED)</f>
        <v>0</v>
      </c>
      <c r="O60" s="1">
        <f>SUM(ALLOC_CALLED)</f>
        <v>0</v>
      </c>
      <c r="P60" s="1">
        <f>SUM(ALLOC_REFUNDED)</f>
        <v>0</v>
      </c>
      <c r="R60" s="1">
        <f>SUM(HEALTH_CALLED)</f>
        <v>0</v>
      </c>
      <c r="S60" s="1">
        <f>SUM(HEALTH_REFUNDED)</f>
        <v>0</v>
      </c>
      <c r="U60" s="1">
        <f>SUM(UNALLOC_CALLED)</f>
        <v>0</v>
      </c>
      <c r="V60" s="9">
        <f>SUM(UNALLOC_REFUNDED)</f>
        <v>0</v>
      </c>
    </row>
    <row r="61" spans="1:22" ht="5.0999999999999996" customHeight="1">
      <c r="B61" s="6"/>
      <c r="G61" s="9"/>
      <c r="L61" s="6"/>
      <c r="V61" s="9"/>
    </row>
    <row r="62" spans="1:22">
      <c r="B62" s="6"/>
      <c r="G62" s="9"/>
      <c r="L62" s="78" t="s">
        <v>80</v>
      </c>
      <c r="M62" s="79"/>
      <c r="N62" s="79"/>
      <c r="O62" s="79"/>
      <c r="P62" s="79"/>
      <c r="Q62" s="79"/>
      <c r="R62" s="79"/>
      <c r="S62" s="79"/>
      <c r="T62" s="79"/>
      <c r="U62" s="79"/>
      <c r="V62" s="80"/>
    </row>
    <row r="63" spans="1:22">
      <c r="B63" s="6"/>
      <c r="G63" s="9"/>
      <c r="L63" s="81"/>
      <c r="M63" s="79"/>
      <c r="N63" s="79"/>
      <c r="O63" s="79"/>
      <c r="P63" s="79"/>
      <c r="Q63" s="79"/>
      <c r="R63" s="79"/>
      <c r="S63" s="79"/>
      <c r="T63" s="79"/>
      <c r="U63" s="79"/>
      <c r="V63" s="80"/>
    </row>
    <row r="64" spans="1:22">
      <c r="B64" s="8"/>
      <c r="C64" s="5"/>
      <c r="D64" s="5"/>
      <c r="E64" s="5"/>
      <c r="F64" s="5"/>
      <c r="G64" s="11"/>
      <c r="L64" s="82"/>
      <c r="M64" s="83"/>
      <c r="N64" s="83"/>
      <c r="O64" s="83"/>
      <c r="P64" s="83"/>
      <c r="Q64" s="83"/>
      <c r="R64" s="83"/>
      <c r="S64" s="83"/>
      <c r="T64" s="83"/>
      <c r="U64" s="83"/>
      <c r="V64" s="84"/>
    </row>
  </sheetData>
  <mergeCells count="8">
    <mergeCell ref="L62:V64"/>
    <mergeCell ref="A1:G1"/>
    <mergeCell ref="B3:G3"/>
    <mergeCell ref="L3:V3"/>
    <mergeCell ref="L4:M4"/>
    <mergeCell ref="O4:P4"/>
    <mergeCell ref="R4:S4"/>
    <mergeCell ref="U4:V4"/>
  </mergeCells>
  <pageMargins left="0" right="0" top="0" bottom="0" header="0" footer="0"/>
  <pageSetup scale="48" orientation="landscape"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pageSetUpPr fitToPage="1"/>
  </sheetPr>
  <dimension ref="A1:V64"/>
  <sheetViews>
    <sheetView zoomScale="75" workbookViewId="0">
      <selection sqref="A1:G1"/>
    </sheetView>
  </sheetViews>
  <sheetFormatPr defaultColWidth="9.109375" defaultRowHeight="14.4"/>
  <cols>
    <col min="1" max="1" width="20" style="1" customWidth="1"/>
    <col min="2" max="7" width="15" style="1" customWidth="1"/>
    <col min="8" max="8" width="1" style="1" customWidth="1"/>
    <col min="9" max="9" width="30" style="1" customWidth="1"/>
    <col min="10" max="10" width="15" style="1" customWidth="1"/>
    <col min="11" max="11" width="1" style="1" customWidth="1"/>
    <col min="12" max="13" width="15" style="1" customWidth="1"/>
    <col min="14" max="14" width="1" style="1" customWidth="1"/>
    <col min="15" max="16" width="15" style="1" customWidth="1"/>
    <col min="17" max="17" width="1" style="1" customWidth="1"/>
    <col min="18" max="19" width="15" style="1" customWidth="1"/>
    <col min="20" max="20" width="1" style="1" customWidth="1"/>
    <col min="21" max="22" width="15" style="1" customWidth="1"/>
    <col min="23" max="23" width="9.109375" style="1" customWidth="1"/>
    <col min="24" max="16384" width="9.109375" style="1"/>
  </cols>
  <sheetData>
    <row r="1" spans="1:22">
      <c r="A1" s="85" t="s">
        <v>159</v>
      </c>
      <c r="B1" s="79"/>
      <c r="C1" s="79"/>
      <c r="D1" s="79"/>
      <c r="E1" s="79"/>
      <c r="F1" s="79"/>
      <c r="G1" s="79"/>
    </row>
    <row r="3" spans="1:22">
      <c r="B3" s="86" t="s">
        <v>1</v>
      </c>
      <c r="C3" s="87"/>
      <c r="D3" s="87"/>
      <c r="E3" s="87"/>
      <c r="F3" s="87"/>
      <c r="G3" s="88"/>
      <c r="L3" s="89" t="s">
        <v>2</v>
      </c>
      <c r="M3" s="90"/>
      <c r="N3" s="90"/>
      <c r="O3" s="90"/>
      <c r="P3" s="90"/>
      <c r="Q3" s="90"/>
      <c r="R3" s="90"/>
      <c r="S3" s="90"/>
      <c r="T3" s="90"/>
      <c r="U3" s="90"/>
      <c r="V3" s="91"/>
    </row>
    <row r="4" spans="1:22">
      <c r="B4" s="6"/>
      <c r="G4" s="9"/>
      <c r="L4" s="92" t="s">
        <v>3</v>
      </c>
      <c r="M4" s="93"/>
      <c r="N4" s="3"/>
      <c r="O4" s="94" t="s">
        <v>4</v>
      </c>
      <c r="P4" s="93"/>
      <c r="Q4" s="3"/>
      <c r="R4" s="94" t="s">
        <v>5</v>
      </c>
      <c r="S4" s="93"/>
      <c r="T4" s="3"/>
      <c r="U4" s="94" t="s">
        <v>6</v>
      </c>
      <c r="V4" s="95"/>
    </row>
    <row r="5" spans="1:22" ht="60" customHeight="1">
      <c r="B5" s="7" t="s">
        <v>3</v>
      </c>
      <c r="C5" s="4" t="s">
        <v>4</v>
      </c>
      <c r="D5" s="4" t="s">
        <v>5</v>
      </c>
      <c r="E5" s="4" t="s">
        <v>6</v>
      </c>
      <c r="F5" s="4" t="s">
        <v>7</v>
      </c>
      <c r="G5" s="10" t="s">
        <v>8</v>
      </c>
      <c r="L5" s="19" t="s">
        <v>9</v>
      </c>
      <c r="M5" s="18" t="s">
        <v>10</v>
      </c>
      <c r="N5" s="18"/>
      <c r="O5" s="18" t="s">
        <v>9</v>
      </c>
      <c r="P5" s="18" t="s">
        <v>10</v>
      </c>
      <c r="Q5" s="18"/>
      <c r="R5" s="18" t="s">
        <v>9</v>
      </c>
      <c r="S5" s="18" t="s">
        <v>10</v>
      </c>
      <c r="T5" s="18"/>
      <c r="U5" s="18" t="s">
        <v>9</v>
      </c>
      <c r="V5" s="20" t="s">
        <v>10</v>
      </c>
    </row>
    <row r="6" spans="1:22">
      <c r="A6" s="1" t="s">
        <v>11</v>
      </c>
      <c r="B6" s="6">
        <v>0</v>
      </c>
      <c r="C6" s="1">
        <v>0</v>
      </c>
      <c r="D6" s="1">
        <v>7779300.8731013006</v>
      </c>
      <c r="E6" s="1">
        <v>0</v>
      </c>
      <c r="F6" s="1">
        <v>0</v>
      </c>
      <c r="G6" s="9">
        <f>SUM(AL_FINANCIAL)</f>
        <v>7779300.8731013006</v>
      </c>
      <c r="L6" s="6"/>
      <c r="V6" s="9"/>
    </row>
    <row r="7" spans="1:22">
      <c r="A7" s="1" t="s">
        <v>12</v>
      </c>
      <c r="B7" s="6">
        <v>0</v>
      </c>
      <c r="C7" s="1">
        <v>0</v>
      </c>
      <c r="D7" s="1">
        <v>1218631.2961579782</v>
      </c>
      <c r="E7" s="1">
        <v>0</v>
      </c>
      <c r="F7" s="1">
        <v>0</v>
      </c>
      <c r="G7" s="9">
        <f>SUM(AK_FINANCIAL)</f>
        <v>1218631.2961579782</v>
      </c>
      <c r="I7" s="12"/>
      <c r="J7" s="15"/>
      <c r="L7" s="6">
        <v>0</v>
      </c>
      <c r="M7" s="1">
        <v>0</v>
      </c>
      <c r="O7" s="1">
        <v>0</v>
      </c>
      <c r="P7" s="1">
        <v>0</v>
      </c>
      <c r="R7" s="1">
        <v>1050000</v>
      </c>
      <c r="S7" s="1">
        <v>0</v>
      </c>
      <c r="U7" s="1">
        <v>0</v>
      </c>
      <c r="V7" s="9">
        <v>0</v>
      </c>
    </row>
    <row r="8" spans="1:22">
      <c r="A8" s="1" t="s">
        <v>13</v>
      </c>
      <c r="B8" s="6">
        <v>0</v>
      </c>
      <c r="C8" s="1">
        <v>0</v>
      </c>
      <c r="D8" s="1">
        <v>125476559.31229191</v>
      </c>
      <c r="E8" s="1">
        <v>0</v>
      </c>
      <c r="F8" s="1">
        <v>0</v>
      </c>
      <c r="G8" s="9">
        <f>SUM(AZ_FINANCIAL)</f>
        <v>125476559.31229191</v>
      </c>
      <c r="I8" s="13" t="s">
        <v>14</v>
      </c>
      <c r="J8" s="16"/>
      <c r="L8" s="6">
        <v>0</v>
      </c>
      <c r="M8" s="1">
        <v>0</v>
      </c>
      <c r="O8" s="1">
        <v>0</v>
      </c>
      <c r="P8" s="1">
        <v>0</v>
      </c>
      <c r="R8" s="1">
        <v>45824000</v>
      </c>
      <c r="S8" s="1">
        <v>3181</v>
      </c>
      <c r="U8" s="1">
        <v>0</v>
      </c>
      <c r="V8" s="9">
        <v>0</v>
      </c>
    </row>
    <row r="9" spans="1:22">
      <c r="A9" s="1" t="s">
        <v>15</v>
      </c>
      <c r="B9" s="6">
        <v>0</v>
      </c>
      <c r="C9" s="1">
        <v>0</v>
      </c>
      <c r="D9" s="1">
        <v>4588438.7698333692</v>
      </c>
      <c r="E9" s="1">
        <v>0</v>
      </c>
      <c r="F9" s="1">
        <v>0</v>
      </c>
      <c r="G9" s="9">
        <f>SUM(AR_FINANCIAL)</f>
        <v>4588438.7698333692</v>
      </c>
      <c r="I9" s="13"/>
      <c r="J9" s="16"/>
      <c r="L9" s="6">
        <v>0</v>
      </c>
      <c r="M9" s="1">
        <v>0</v>
      </c>
      <c r="O9" s="1">
        <v>0</v>
      </c>
      <c r="P9" s="1">
        <v>0</v>
      </c>
      <c r="R9" s="1">
        <v>0</v>
      </c>
      <c r="S9" s="1">
        <v>0</v>
      </c>
      <c r="U9" s="1">
        <v>0</v>
      </c>
      <c r="V9" s="9">
        <v>0</v>
      </c>
    </row>
    <row r="10" spans="1:22">
      <c r="A10" s="1" t="s">
        <v>16</v>
      </c>
      <c r="B10" s="6">
        <v>0</v>
      </c>
      <c r="C10" s="1">
        <v>0</v>
      </c>
      <c r="D10" s="1">
        <v>412426976.30978334</v>
      </c>
      <c r="E10" s="1">
        <v>0</v>
      </c>
      <c r="F10" s="1">
        <v>0</v>
      </c>
      <c r="G10" s="9">
        <f>SUM(CA_FINANCIAL)</f>
        <v>412426976.30978334</v>
      </c>
      <c r="I10" s="13" t="s">
        <v>17</v>
      </c>
      <c r="J10" s="16">
        <v>2571757855.5164804</v>
      </c>
      <c r="L10" s="6">
        <v>0</v>
      </c>
      <c r="M10" s="1">
        <v>0</v>
      </c>
      <c r="O10" s="1">
        <v>0</v>
      </c>
      <c r="P10" s="1">
        <v>0</v>
      </c>
      <c r="R10" s="1">
        <v>386000000</v>
      </c>
      <c r="S10" s="1">
        <v>0</v>
      </c>
      <c r="U10" s="1">
        <v>0</v>
      </c>
      <c r="V10" s="9">
        <v>0</v>
      </c>
    </row>
    <row r="11" spans="1:22">
      <c r="A11" s="1" t="s">
        <v>18</v>
      </c>
      <c r="B11" s="6">
        <v>0</v>
      </c>
      <c r="C11" s="1">
        <v>0</v>
      </c>
      <c r="D11" s="1">
        <v>43372079.233331136</v>
      </c>
      <c r="E11" s="1">
        <v>0</v>
      </c>
      <c r="F11" s="1">
        <v>0</v>
      </c>
      <c r="G11" s="9">
        <f>SUM(CO_FINANCIAL)</f>
        <v>43372079.233331136</v>
      </c>
      <c r="I11" s="13"/>
      <c r="J11" s="16"/>
      <c r="L11" s="6">
        <v>0</v>
      </c>
      <c r="M11" s="1">
        <v>0</v>
      </c>
      <c r="O11" s="1">
        <v>0</v>
      </c>
      <c r="P11" s="1">
        <v>0</v>
      </c>
      <c r="R11" s="1">
        <v>37000000</v>
      </c>
      <c r="S11" s="1">
        <v>0</v>
      </c>
      <c r="U11" s="1">
        <v>0</v>
      </c>
      <c r="V11" s="9">
        <v>0</v>
      </c>
    </row>
    <row r="12" spans="1:22">
      <c r="A12" s="1" t="s">
        <v>19</v>
      </c>
      <c r="B12" s="6">
        <v>0</v>
      </c>
      <c r="C12" s="1">
        <v>0</v>
      </c>
      <c r="D12" s="1">
        <v>2551682.9289244851</v>
      </c>
      <c r="E12" s="1">
        <v>0</v>
      </c>
      <c r="F12" s="1">
        <v>0</v>
      </c>
      <c r="G12" s="9">
        <f>SUM(CT_FINANCIAL)</f>
        <v>2551682.9289244851</v>
      </c>
      <c r="I12" s="13" t="s">
        <v>20</v>
      </c>
      <c r="J12" s="16"/>
      <c r="L12" s="6">
        <v>0</v>
      </c>
      <c r="M12" s="1">
        <v>0</v>
      </c>
      <c r="O12" s="1">
        <v>0</v>
      </c>
      <c r="P12" s="1">
        <v>0</v>
      </c>
      <c r="R12" s="1">
        <v>23910973</v>
      </c>
      <c r="S12" s="1">
        <v>0</v>
      </c>
      <c r="U12" s="1">
        <v>0</v>
      </c>
      <c r="V12" s="9">
        <v>0</v>
      </c>
    </row>
    <row r="13" spans="1:22">
      <c r="A13" s="1" t="s">
        <v>21</v>
      </c>
      <c r="B13" s="6">
        <v>0</v>
      </c>
      <c r="C13" s="1">
        <v>0</v>
      </c>
      <c r="D13" s="1">
        <v>3147032.8429900147</v>
      </c>
      <c r="E13" s="1">
        <v>0</v>
      </c>
      <c r="F13" s="1">
        <v>0</v>
      </c>
      <c r="G13" s="9">
        <f>SUM(DE_FINANCIAL)</f>
        <v>3147032.8429900147</v>
      </c>
      <c r="I13" s="13" t="s">
        <v>22</v>
      </c>
      <c r="J13" s="16">
        <v>0</v>
      </c>
      <c r="L13" s="6">
        <v>0</v>
      </c>
      <c r="M13" s="1">
        <v>0</v>
      </c>
      <c r="O13" s="1">
        <v>0</v>
      </c>
      <c r="P13" s="1">
        <v>0</v>
      </c>
      <c r="R13" s="1">
        <v>3022000</v>
      </c>
      <c r="S13" s="1">
        <v>0</v>
      </c>
      <c r="U13" s="1">
        <v>0</v>
      </c>
      <c r="V13" s="9">
        <v>0</v>
      </c>
    </row>
    <row r="14" spans="1:22">
      <c r="A14" s="1" t="s">
        <v>23</v>
      </c>
      <c r="B14" s="6">
        <v>0</v>
      </c>
      <c r="C14" s="1">
        <v>0</v>
      </c>
      <c r="D14" s="1">
        <v>1449001.303813336</v>
      </c>
      <c r="E14" s="1">
        <v>0</v>
      </c>
      <c r="F14" s="1">
        <v>0</v>
      </c>
      <c r="G14" s="9">
        <f>SUM(DC_FINANCIAL)</f>
        <v>1449001.303813336</v>
      </c>
      <c r="I14" s="13" t="s">
        <v>24</v>
      </c>
      <c r="J14" s="16">
        <v>19741911.865734477</v>
      </c>
      <c r="L14" s="6">
        <v>0</v>
      </c>
      <c r="M14" s="1">
        <v>0</v>
      </c>
      <c r="O14" s="1">
        <v>0</v>
      </c>
      <c r="P14" s="1">
        <v>0</v>
      </c>
      <c r="R14" s="1">
        <v>1256500</v>
      </c>
      <c r="S14" s="1">
        <v>0</v>
      </c>
      <c r="U14" s="1">
        <v>0</v>
      </c>
      <c r="V14" s="9">
        <v>0</v>
      </c>
    </row>
    <row r="15" spans="1:22">
      <c r="A15" s="1" t="s">
        <v>25</v>
      </c>
      <c r="B15" s="6">
        <v>0</v>
      </c>
      <c r="C15" s="1">
        <v>0</v>
      </c>
      <c r="D15" s="1">
        <v>353811188.89618814</v>
      </c>
      <c r="E15" s="1">
        <v>0</v>
      </c>
      <c r="F15" s="1">
        <v>0</v>
      </c>
      <c r="G15" s="9">
        <f>SUM(FL_FINANCIAL)</f>
        <v>353811188.89618814</v>
      </c>
      <c r="I15" s="13" t="s">
        <v>26</v>
      </c>
      <c r="J15" s="16">
        <v>38345046.577064998</v>
      </c>
      <c r="L15" s="6">
        <v>0</v>
      </c>
      <c r="M15" s="1">
        <v>0</v>
      </c>
      <c r="O15" s="1">
        <v>0</v>
      </c>
      <c r="P15" s="1">
        <v>0</v>
      </c>
      <c r="R15" s="1">
        <v>318880371</v>
      </c>
      <c r="S15" s="1">
        <v>0</v>
      </c>
      <c r="U15" s="1">
        <v>0</v>
      </c>
      <c r="V15" s="9">
        <v>0</v>
      </c>
    </row>
    <row r="16" spans="1:22">
      <c r="A16" s="1" t="s">
        <v>27</v>
      </c>
      <c r="B16" s="6">
        <v>0</v>
      </c>
      <c r="C16" s="1">
        <v>0</v>
      </c>
      <c r="D16" s="1">
        <v>66916636.104045153</v>
      </c>
      <c r="E16" s="1">
        <v>0</v>
      </c>
      <c r="F16" s="1">
        <v>0</v>
      </c>
      <c r="G16" s="9">
        <f>SUM(GA_FINANCIAL)</f>
        <v>66916636.104045153</v>
      </c>
      <c r="I16" s="13" t="s">
        <v>28</v>
      </c>
      <c r="J16" s="16">
        <v>2402886805.4517045</v>
      </c>
      <c r="L16" s="6">
        <v>0</v>
      </c>
      <c r="M16" s="1">
        <v>0</v>
      </c>
      <c r="O16" s="1">
        <v>0</v>
      </c>
      <c r="P16" s="1">
        <v>0</v>
      </c>
      <c r="R16" s="1">
        <v>69000000</v>
      </c>
      <c r="S16" s="1">
        <v>0</v>
      </c>
      <c r="U16" s="1">
        <v>0</v>
      </c>
      <c r="V16" s="9">
        <v>0</v>
      </c>
    </row>
    <row r="17" spans="1:22">
      <c r="A17" s="1" t="s">
        <v>29</v>
      </c>
      <c r="B17" s="6">
        <v>0</v>
      </c>
      <c r="C17" s="1">
        <v>0</v>
      </c>
      <c r="D17" s="1">
        <v>9570525.9743539635</v>
      </c>
      <c r="E17" s="1">
        <v>0</v>
      </c>
      <c r="F17" s="1">
        <v>0</v>
      </c>
      <c r="G17" s="9">
        <f>SUM(HI_FINANCIAL)</f>
        <v>9570525.9743539635</v>
      </c>
      <c r="I17" s="13"/>
      <c r="J17" s="16"/>
      <c r="L17" s="6">
        <v>0</v>
      </c>
      <c r="M17" s="1">
        <v>0</v>
      </c>
      <c r="O17" s="1">
        <v>0</v>
      </c>
      <c r="P17" s="1">
        <v>0</v>
      </c>
      <c r="R17" s="1">
        <v>7499854</v>
      </c>
      <c r="S17" s="1">
        <v>0</v>
      </c>
      <c r="U17" s="1">
        <v>0</v>
      </c>
      <c r="V17" s="9">
        <v>0</v>
      </c>
    </row>
    <row r="18" spans="1:22">
      <c r="A18" s="1" t="s">
        <v>30</v>
      </c>
      <c r="B18" s="6">
        <v>0</v>
      </c>
      <c r="C18" s="1">
        <v>0</v>
      </c>
      <c r="D18" s="1">
        <v>8090194.171154052</v>
      </c>
      <c r="E18" s="1">
        <v>0</v>
      </c>
      <c r="F18" s="1">
        <v>0</v>
      </c>
      <c r="G18" s="9">
        <f>SUM(ID_FINANCIAL)</f>
        <v>8090194.171154052</v>
      </c>
      <c r="I18" s="13" t="s">
        <v>31</v>
      </c>
      <c r="J18" s="16"/>
      <c r="L18" s="6">
        <v>0</v>
      </c>
      <c r="M18" s="1">
        <v>0</v>
      </c>
      <c r="O18" s="1">
        <v>0</v>
      </c>
      <c r="P18" s="1">
        <v>0</v>
      </c>
      <c r="R18" s="1">
        <v>4000000</v>
      </c>
      <c r="S18" s="1">
        <v>0</v>
      </c>
      <c r="U18" s="1">
        <v>0</v>
      </c>
      <c r="V18" s="9">
        <v>0</v>
      </c>
    </row>
    <row r="19" spans="1:22">
      <c r="A19" s="1" t="s">
        <v>32</v>
      </c>
      <c r="B19" s="6">
        <v>0</v>
      </c>
      <c r="C19" s="1">
        <v>0</v>
      </c>
      <c r="D19" s="1">
        <v>86345459.165108562</v>
      </c>
      <c r="E19" s="1">
        <v>0</v>
      </c>
      <c r="F19" s="1">
        <v>0</v>
      </c>
      <c r="G19" s="9">
        <f>SUM(IL_FINANCIAL)</f>
        <v>86345459.165108562</v>
      </c>
      <c r="I19" s="13" t="s">
        <v>33</v>
      </c>
      <c r="J19" s="16">
        <v>168871050.06477627</v>
      </c>
      <c r="L19" s="6">
        <v>0</v>
      </c>
      <c r="M19" s="1">
        <v>0</v>
      </c>
      <c r="O19" s="1">
        <v>0</v>
      </c>
      <c r="P19" s="1">
        <v>0</v>
      </c>
      <c r="R19" s="1">
        <v>25000000</v>
      </c>
      <c r="S19" s="1">
        <v>0</v>
      </c>
      <c r="U19" s="1">
        <v>0</v>
      </c>
      <c r="V19" s="9">
        <v>0</v>
      </c>
    </row>
    <row r="20" spans="1:22">
      <c r="A20" s="1" t="s">
        <v>34</v>
      </c>
      <c r="B20" s="6">
        <v>0</v>
      </c>
      <c r="C20" s="1">
        <v>0</v>
      </c>
      <c r="D20" s="1">
        <v>23912369.880705535</v>
      </c>
      <c r="E20" s="1">
        <v>0</v>
      </c>
      <c r="F20" s="1">
        <v>0</v>
      </c>
      <c r="G20" s="9">
        <f>SUM(IN_FINANCIAL)</f>
        <v>23912369.880705535</v>
      </c>
      <c r="I20" s="13" t="s">
        <v>35</v>
      </c>
      <c r="J20" s="16">
        <v>2402886805.4517045</v>
      </c>
      <c r="L20" s="6">
        <v>0</v>
      </c>
      <c r="M20" s="1">
        <v>0</v>
      </c>
      <c r="O20" s="1">
        <v>0</v>
      </c>
      <c r="P20" s="1">
        <v>0</v>
      </c>
      <c r="R20" s="1">
        <v>18637000</v>
      </c>
      <c r="S20" s="1">
        <v>0</v>
      </c>
      <c r="U20" s="1">
        <v>0</v>
      </c>
      <c r="V20" s="9">
        <v>0</v>
      </c>
    </row>
    <row r="21" spans="1:22">
      <c r="A21" s="1" t="s">
        <v>36</v>
      </c>
      <c r="B21" s="6">
        <v>0</v>
      </c>
      <c r="C21" s="1">
        <v>0</v>
      </c>
      <c r="D21" s="1">
        <v>89057600.064724773</v>
      </c>
      <c r="E21" s="1">
        <v>0</v>
      </c>
      <c r="F21" s="1">
        <v>0</v>
      </c>
      <c r="G21" s="9">
        <f>SUM(IA_FINANCIAL)</f>
        <v>89057600.064724773</v>
      </c>
      <c r="I21" s="13" t="s">
        <v>37</v>
      </c>
      <c r="J21" s="16"/>
      <c r="L21" s="6">
        <v>0</v>
      </c>
      <c r="M21" s="1">
        <v>0</v>
      </c>
      <c r="O21" s="1">
        <v>0</v>
      </c>
      <c r="P21" s="1">
        <v>0</v>
      </c>
      <c r="R21" s="1">
        <v>45500000</v>
      </c>
      <c r="S21" s="1">
        <v>0</v>
      </c>
      <c r="U21" s="1">
        <v>0</v>
      </c>
      <c r="V21" s="9">
        <v>0</v>
      </c>
    </row>
    <row r="22" spans="1:22">
      <c r="A22" s="1" t="s">
        <v>38</v>
      </c>
      <c r="B22" s="6">
        <v>0</v>
      </c>
      <c r="C22" s="1">
        <v>0</v>
      </c>
      <c r="D22" s="1">
        <v>0</v>
      </c>
      <c r="E22" s="1">
        <v>0</v>
      </c>
      <c r="F22" s="1">
        <v>0</v>
      </c>
      <c r="G22" s="9">
        <f>SUM(KS_FINANCIAL)</f>
        <v>0</v>
      </c>
      <c r="I22" s="13" t="s">
        <v>39</v>
      </c>
      <c r="J22" s="16">
        <v>0</v>
      </c>
      <c r="L22" s="6"/>
      <c r="V22" s="9"/>
    </row>
    <row r="23" spans="1:22">
      <c r="A23" s="1" t="s">
        <v>40</v>
      </c>
      <c r="B23" s="6">
        <v>0</v>
      </c>
      <c r="C23" s="1">
        <v>0</v>
      </c>
      <c r="D23" s="1">
        <v>27169270.652554542</v>
      </c>
      <c r="E23" s="1">
        <v>0</v>
      </c>
      <c r="F23" s="1">
        <v>0</v>
      </c>
      <c r="G23" s="9">
        <f>SUM(KY_FINANCIAL)</f>
        <v>27169270.652554542</v>
      </c>
      <c r="I23" s="13" t="s">
        <v>41</v>
      </c>
      <c r="J23" s="16"/>
      <c r="L23" s="6">
        <v>0</v>
      </c>
      <c r="M23" s="1">
        <v>0</v>
      </c>
      <c r="O23" s="1">
        <v>0</v>
      </c>
      <c r="P23" s="1">
        <v>0</v>
      </c>
      <c r="R23" s="1">
        <v>25806772</v>
      </c>
      <c r="S23" s="1">
        <v>0</v>
      </c>
      <c r="U23" s="1">
        <v>0</v>
      </c>
      <c r="V23" s="9">
        <v>0</v>
      </c>
    </row>
    <row r="24" spans="1:22">
      <c r="A24" s="1" t="s">
        <v>42</v>
      </c>
      <c r="B24" s="6">
        <v>0</v>
      </c>
      <c r="C24" s="1">
        <v>0</v>
      </c>
      <c r="D24" s="1">
        <v>10492939.395798273</v>
      </c>
      <c r="E24" s="1">
        <v>0</v>
      </c>
      <c r="F24" s="1">
        <v>0</v>
      </c>
      <c r="G24" s="9">
        <f>SUM(LA_FINANCIAL)</f>
        <v>10492939.395798273</v>
      </c>
      <c r="I24" s="13" t="s">
        <v>43</v>
      </c>
      <c r="J24" s="16">
        <v>16644517</v>
      </c>
      <c r="L24" s="6">
        <v>0</v>
      </c>
      <c r="M24" s="1">
        <v>0</v>
      </c>
      <c r="O24" s="1">
        <v>0</v>
      </c>
      <c r="P24" s="1">
        <v>0</v>
      </c>
      <c r="R24" s="1">
        <v>3640000</v>
      </c>
      <c r="S24" s="1">
        <v>0</v>
      </c>
      <c r="U24" s="1">
        <v>0</v>
      </c>
      <c r="V24" s="9">
        <v>0</v>
      </c>
    </row>
    <row r="25" spans="1:22">
      <c r="A25" s="1" t="s">
        <v>44</v>
      </c>
      <c r="B25" s="6">
        <v>0</v>
      </c>
      <c r="C25" s="1">
        <v>0</v>
      </c>
      <c r="D25" s="1">
        <v>0</v>
      </c>
      <c r="E25" s="1">
        <v>0</v>
      </c>
      <c r="F25" s="1">
        <v>0</v>
      </c>
      <c r="G25" s="9">
        <f>SUM(ME_FINANCIAL)</f>
        <v>0</v>
      </c>
      <c r="I25" s="13"/>
      <c r="J25" s="16"/>
      <c r="L25" s="6"/>
      <c r="V25" s="9"/>
    </row>
    <row r="26" spans="1:22">
      <c r="A26" s="1" t="s">
        <v>45</v>
      </c>
      <c r="B26" s="6">
        <v>0</v>
      </c>
      <c r="C26" s="1">
        <v>0</v>
      </c>
      <c r="D26" s="1">
        <v>30197064.829377145</v>
      </c>
      <c r="E26" s="1">
        <v>0</v>
      </c>
      <c r="F26" s="1">
        <v>0</v>
      </c>
      <c r="G26" s="9">
        <f>SUM(MD_FINANCIAL)</f>
        <v>30197064.829377145</v>
      </c>
      <c r="I26" s="13" t="s">
        <v>46</v>
      </c>
      <c r="J26" s="16">
        <f>SUM(ADD_FINANCIAL)-SUM(LESS_FINANCIAL)</f>
        <v>2444329246.8945031</v>
      </c>
      <c r="L26" s="6">
        <v>0</v>
      </c>
      <c r="M26" s="1">
        <v>0</v>
      </c>
      <c r="O26" s="1">
        <v>0</v>
      </c>
      <c r="P26" s="1">
        <v>0</v>
      </c>
      <c r="R26" s="1">
        <v>30000000</v>
      </c>
      <c r="S26" s="1">
        <v>0</v>
      </c>
      <c r="U26" s="1">
        <v>0</v>
      </c>
      <c r="V26" s="9">
        <v>0</v>
      </c>
    </row>
    <row r="27" spans="1:22">
      <c r="A27" s="1" t="s">
        <v>47</v>
      </c>
      <c r="B27" s="6">
        <v>0</v>
      </c>
      <c r="C27" s="1">
        <v>0</v>
      </c>
      <c r="D27" s="1">
        <v>0</v>
      </c>
      <c r="E27" s="1">
        <v>0</v>
      </c>
      <c r="F27" s="1">
        <v>0</v>
      </c>
      <c r="G27" s="9">
        <f>SUM(MA_FINANCIAL)</f>
        <v>0</v>
      </c>
      <c r="I27" s="13" t="s">
        <v>48</v>
      </c>
      <c r="J27" s="16">
        <f>SUM(ALL_BLOCKS)</f>
        <v>2444329246.8945031</v>
      </c>
      <c r="L27" s="6"/>
      <c r="V27" s="9"/>
    </row>
    <row r="28" spans="1:22">
      <c r="A28" s="1" t="s">
        <v>49</v>
      </c>
      <c r="B28" s="6">
        <v>0</v>
      </c>
      <c r="C28" s="1">
        <v>0</v>
      </c>
      <c r="D28" s="1">
        <v>33275430.521745127</v>
      </c>
      <c r="E28" s="1">
        <v>0</v>
      </c>
      <c r="F28" s="1">
        <v>0</v>
      </c>
      <c r="G28" s="9">
        <f>SUM(MI_FINANCIAL)</f>
        <v>33275430.521745127</v>
      </c>
      <c r="I28" s="14"/>
      <c r="J28" s="17"/>
      <c r="L28" s="6">
        <v>0</v>
      </c>
      <c r="M28" s="1">
        <v>0</v>
      </c>
      <c r="O28" s="1">
        <v>0</v>
      </c>
      <c r="P28" s="1">
        <v>0</v>
      </c>
      <c r="R28" s="1">
        <v>26160311</v>
      </c>
      <c r="S28" s="1">
        <v>0</v>
      </c>
      <c r="U28" s="1">
        <v>0</v>
      </c>
      <c r="V28" s="9">
        <v>0</v>
      </c>
    </row>
    <row r="29" spans="1:22">
      <c r="A29" s="1" t="s">
        <v>50</v>
      </c>
      <c r="B29" s="6">
        <v>0</v>
      </c>
      <c r="C29" s="1">
        <v>0</v>
      </c>
      <c r="D29" s="1">
        <v>4173487.8805404236</v>
      </c>
      <c r="E29" s="1">
        <v>0</v>
      </c>
      <c r="F29" s="1">
        <v>0</v>
      </c>
      <c r="G29" s="9">
        <f>SUM(MN_FINANCIAL)</f>
        <v>4173487.8805404236</v>
      </c>
      <c r="L29" s="6">
        <v>0</v>
      </c>
      <c r="M29" s="1">
        <v>0</v>
      </c>
      <c r="O29" s="1">
        <v>0</v>
      </c>
      <c r="P29" s="1">
        <v>0</v>
      </c>
      <c r="R29" s="1">
        <v>4400000</v>
      </c>
      <c r="S29" s="1">
        <v>0</v>
      </c>
      <c r="U29" s="1">
        <v>0</v>
      </c>
      <c r="V29" s="9">
        <v>0</v>
      </c>
    </row>
    <row r="30" spans="1:22">
      <c r="A30" s="1" t="s">
        <v>51</v>
      </c>
      <c r="B30" s="6">
        <v>0</v>
      </c>
      <c r="C30" s="1">
        <v>0</v>
      </c>
      <c r="D30" s="1">
        <v>14012341.822201466</v>
      </c>
      <c r="E30" s="1">
        <v>0</v>
      </c>
      <c r="F30" s="1">
        <v>0</v>
      </c>
      <c r="G30" s="9">
        <f>SUM(MS_FINANCIAL)</f>
        <v>14012341.822201466</v>
      </c>
      <c r="L30" s="6">
        <v>0</v>
      </c>
      <c r="M30" s="1">
        <v>0</v>
      </c>
      <c r="O30" s="1">
        <v>0</v>
      </c>
      <c r="P30" s="1">
        <v>0</v>
      </c>
      <c r="R30" s="1">
        <v>10500000</v>
      </c>
      <c r="S30" s="1">
        <v>0</v>
      </c>
      <c r="U30" s="1">
        <v>0</v>
      </c>
      <c r="V30" s="9">
        <v>0</v>
      </c>
    </row>
    <row r="31" spans="1:22">
      <c r="A31" s="1" t="s">
        <v>52</v>
      </c>
      <c r="B31" s="6">
        <v>0</v>
      </c>
      <c r="C31" s="1">
        <v>0</v>
      </c>
      <c r="D31" s="1">
        <v>12249564.943487927</v>
      </c>
      <c r="E31" s="1">
        <v>0</v>
      </c>
      <c r="F31" s="1">
        <v>0</v>
      </c>
      <c r="G31" s="9">
        <f>SUM(MO_FINANCIAL)</f>
        <v>12249564.943487927</v>
      </c>
      <c r="L31" s="6">
        <v>0</v>
      </c>
      <c r="M31" s="1">
        <v>0</v>
      </c>
      <c r="O31" s="1">
        <v>0</v>
      </c>
      <c r="P31" s="1">
        <v>0</v>
      </c>
      <c r="R31" s="1">
        <v>10574767</v>
      </c>
      <c r="S31" s="1">
        <v>0</v>
      </c>
      <c r="U31" s="1">
        <v>0</v>
      </c>
      <c r="V31" s="9">
        <v>0</v>
      </c>
    </row>
    <row r="32" spans="1:22">
      <c r="A32" s="1" t="s">
        <v>53</v>
      </c>
      <c r="B32" s="6">
        <v>0</v>
      </c>
      <c r="C32" s="1">
        <v>0</v>
      </c>
      <c r="D32" s="1">
        <v>4661954.8414122695</v>
      </c>
      <c r="E32" s="1">
        <v>0</v>
      </c>
      <c r="F32" s="1">
        <v>0</v>
      </c>
      <c r="G32" s="9">
        <f>SUM(MT_FINANCIAL)</f>
        <v>4661954.8414122695</v>
      </c>
      <c r="L32" s="6">
        <v>0</v>
      </c>
      <c r="M32" s="1">
        <v>0</v>
      </c>
      <c r="O32" s="1">
        <v>0</v>
      </c>
      <c r="P32" s="1">
        <v>0</v>
      </c>
      <c r="R32" s="1">
        <v>3432860</v>
      </c>
      <c r="S32" s="1">
        <v>0</v>
      </c>
      <c r="U32" s="1">
        <v>0</v>
      </c>
      <c r="V32" s="9">
        <v>0</v>
      </c>
    </row>
    <row r="33" spans="1:22">
      <c r="A33" s="1" t="s">
        <v>54</v>
      </c>
      <c r="B33" s="6">
        <v>0</v>
      </c>
      <c r="C33" s="1">
        <v>0</v>
      </c>
      <c r="D33" s="1">
        <v>25863515.38551553</v>
      </c>
      <c r="E33" s="1">
        <v>0</v>
      </c>
      <c r="F33" s="1">
        <v>0</v>
      </c>
      <c r="G33" s="9">
        <f>SUM(NE_FINANCIAL)</f>
        <v>25863515.38551553</v>
      </c>
      <c r="L33" s="6">
        <v>0</v>
      </c>
      <c r="M33" s="1">
        <v>0</v>
      </c>
      <c r="O33" s="1">
        <v>0</v>
      </c>
      <c r="P33" s="1">
        <v>0</v>
      </c>
      <c r="R33" s="1">
        <v>11340626</v>
      </c>
      <c r="S33" s="1">
        <v>0</v>
      </c>
      <c r="U33" s="1">
        <v>0</v>
      </c>
      <c r="V33" s="9">
        <v>0</v>
      </c>
    </row>
    <row r="34" spans="1:22">
      <c r="A34" s="1" t="s">
        <v>55</v>
      </c>
      <c r="B34" s="6">
        <v>0</v>
      </c>
      <c r="C34" s="1">
        <v>0</v>
      </c>
      <c r="D34" s="1">
        <v>13752597.734116038</v>
      </c>
      <c r="E34" s="1">
        <v>0</v>
      </c>
      <c r="F34" s="1">
        <v>0</v>
      </c>
      <c r="G34" s="9">
        <f>SUM(NV_FINANCIAL)</f>
        <v>13752597.734116038</v>
      </c>
      <c r="L34" s="6">
        <v>0</v>
      </c>
      <c r="M34" s="1">
        <v>0</v>
      </c>
      <c r="O34" s="1">
        <v>0</v>
      </c>
      <c r="P34" s="1">
        <v>0</v>
      </c>
      <c r="R34" s="1">
        <v>16000000</v>
      </c>
      <c r="S34" s="1">
        <v>0</v>
      </c>
      <c r="U34" s="1">
        <v>0</v>
      </c>
      <c r="V34" s="9">
        <v>0</v>
      </c>
    </row>
    <row r="35" spans="1:22">
      <c r="A35" s="1" t="s">
        <v>56</v>
      </c>
      <c r="B35" s="6">
        <v>0</v>
      </c>
      <c r="C35" s="1">
        <v>0</v>
      </c>
      <c r="D35" s="1">
        <v>7175202.482193213</v>
      </c>
      <c r="E35" s="1">
        <v>0</v>
      </c>
      <c r="F35" s="1">
        <v>0</v>
      </c>
      <c r="G35" s="9">
        <f>SUM(NH_FINANCIAL)</f>
        <v>7175202.482193213</v>
      </c>
      <c r="L35" s="6">
        <v>0</v>
      </c>
      <c r="M35" s="1">
        <v>0</v>
      </c>
      <c r="O35" s="1">
        <v>0</v>
      </c>
      <c r="P35" s="1">
        <v>0</v>
      </c>
      <c r="R35" s="1">
        <v>6209000</v>
      </c>
      <c r="S35" s="1">
        <v>0</v>
      </c>
      <c r="U35" s="1">
        <v>0</v>
      </c>
      <c r="V35" s="9">
        <v>0</v>
      </c>
    </row>
    <row r="36" spans="1:22">
      <c r="A36" s="1" t="s">
        <v>57</v>
      </c>
      <c r="B36" s="6">
        <v>0</v>
      </c>
      <c r="C36" s="1">
        <v>0</v>
      </c>
      <c r="D36" s="1">
        <v>0</v>
      </c>
      <c r="E36" s="1">
        <v>0</v>
      </c>
      <c r="F36" s="1">
        <v>0</v>
      </c>
      <c r="G36" s="9">
        <f>SUM(NJ_FINANCIAL)</f>
        <v>0</v>
      </c>
      <c r="L36" s="6"/>
      <c r="V36" s="9"/>
    </row>
    <row r="37" spans="1:22">
      <c r="A37" s="1" t="s">
        <v>58</v>
      </c>
      <c r="B37" s="6">
        <v>0</v>
      </c>
      <c r="C37" s="1">
        <v>0</v>
      </c>
      <c r="D37" s="1">
        <v>8315684.3460230343</v>
      </c>
      <c r="E37" s="1">
        <v>0</v>
      </c>
      <c r="F37" s="1">
        <v>0</v>
      </c>
      <c r="G37" s="9">
        <f>SUM(NM_FINANCIAL)</f>
        <v>8315684.3460230343</v>
      </c>
      <c r="L37" s="6">
        <v>0</v>
      </c>
      <c r="M37" s="1">
        <v>0</v>
      </c>
      <c r="O37" s="1">
        <v>0</v>
      </c>
      <c r="P37" s="1">
        <v>0</v>
      </c>
      <c r="R37" s="1">
        <v>7750002</v>
      </c>
      <c r="S37" s="1">
        <v>0</v>
      </c>
      <c r="U37" s="1">
        <v>0</v>
      </c>
      <c r="V37" s="9">
        <v>0</v>
      </c>
    </row>
    <row r="38" spans="1:22">
      <c r="A38" s="1" t="s">
        <v>59</v>
      </c>
      <c r="B38" s="6">
        <v>0</v>
      </c>
      <c r="C38" s="1">
        <v>0</v>
      </c>
      <c r="D38" s="1">
        <v>0</v>
      </c>
      <c r="E38" s="1">
        <v>0</v>
      </c>
      <c r="F38" s="1">
        <v>0</v>
      </c>
      <c r="G38" s="9">
        <f>SUM(NY_FINANCIAL)</f>
        <v>0</v>
      </c>
      <c r="L38" s="6"/>
      <c r="V38" s="9"/>
    </row>
    <row r="39" spans="1:22">
      <c r="A39" s="1" t="s">
        <v>60</v>
      </c>
      <c r="B39" s="6">
        <v>0</v>
      </c>
      <c r="C39" s="1">
        <v>0</v>
      </c>
      <c r="D39" s="1">
        <v>104255372.198515</v>
      </c>
      <c r="E39" s="1">
        <v>0</v>
      </c>
      <c r="F39" s="1">
        <v>0</v>
      </c>
      <c r="G39" s="9">
        <f>SUM(NC_FINANCIAL)</f>
        <v>104255372.198515</v>
      </c>
      <c r="L39" s="6">
        <v>0</v>
      </c>
      <c r="M39" s="1">
        <v>0</v>
      </c>
      <c r="O39" s="1">
        <v>0</v>
      </c>
      <c r="P39" s="1">
        <v>0</v>
      </c>
      <c r="R39" s="1">
        <v>94000000</v>
      </c>
      <c r="S39" s="1">
        <v>0</v>
      </c>
      <c r="U39" s="1">
        <v>0</v>
      </c>
      <c r="V39" s="9">
        <v>0</v>
      </c>
    </row>
    <row r="40" spans="1:22">
      <c r="A40" s="1" t="s">
        <v>61</v>
      </c>
      <c r="B40" s="6">
        <v>0</v>
      </c>
      <c r="C40" s="1">
        <v>0</v>
      </c>
      <c r="D40" s="1">
        <v>2545903.8123295498</v>
      </c>
      <c r="E40" s="1">
        <v>0</v>
      </c>
      <c r="F40" s="1">
        <v>0</v>
      </c>
      <c r="G40" s="9">
        <f>SUM(ND_FINANCIAL)</f>
        <v>2545903.8123295498</v>
      </c>
      <c r="L40" s="6">
        <v>0</v>
      </c>
      <c r="M40" s="1">
        <v>0</v>
      </c>
      <c r="O40" s="1">
        <v>0</v>
      </c>
      <c r="P40" s="1">
        <v>0</v>
      </c>
      <c r="R40" s="1">
        <v>2875000</v>
      </c>
      <c r="S40" s="1">
        <v>0</v>
      </c>
      <c r="U40" s="1">
        <v>0</v>
      </c>
      <c r="V40" s="9">
        <v>0</v>
      </c>
    </row>
    <row r="41" spans="1:22">
      <c r="A41" s="1" t="s">
        <v>62</v>
      </c>
      <c r="B41" s="6">
        <v>0</v>
      </c>
      <c r="C41" s="1">
        <v>0</v>
      </c>
      <c r="D41" s="1">
        <v>60725440.989627801</v>
      </c>
      <c r="E41" s="1">
        <v>0</v>
      </c>
      <c r="F41" s="1">
        <v>0</v>
      </c>
      <c r="G41" s="9">
        <f>SUM(OH_FINANCIAL)</f>
        <v>60725440.989627801</v>
      </c>
      <c r="L41" s="6">
        <v>0</v>
      </c>
      <c r="M41" s="1">
        <v>0</v>
      </c>
      <c r="O41" s="1">
        <v>0</v>
      </c>
      <c r="P41" s="1">
        <v>0</v>
      </c>
      <c r="R41" s="1">
        <v>44817912</v>
      </c>
      <c r="S41" s="1">
        <v>0</v>
      </c>
      <c r="U41" s="1">
        <v>0</v>
      </c>
      <c r="V41" s="9">
        <v>0</v>
      </c>
    </row>
    <row r="42" spans="1:22">
      <c r="A42" s="1" t="s">
        <v>63</v>
      </c>
      <c r="B42" s="6">
        <v>0</v>
      </c>
      <c r="C42" s="1">
        <v>0</v>
      </c>
      <c r="D42" s="1">
        <v>11178569.154573949</v>
      </c>
      <c r="E42" s="1">
        <v>0</v>
      </c>
      <c r="F42" s="1">
        <v>0</v>
      </c>
      <c r="G42" s="9">
        <f>SUM(OK_FINANCIAL)</f>
        <v>11178569.154573949</v>
      </c>
      <c r="L42" s="6">
        <v>0</v>
      </c>
      <c r="M42" s="1">
        <v>0</v>
      </c>
      <c r="O42" s="1">
        <v>0</v>
      </c>
      <c r="P42" s="1">
        <v>0</v>
      </c>
      <c r="R42" s="1">
        <v>13300000</v>
      </c>
      <c r="S42" s="1">
        <v>0</v>
      </c>
      <c r="U42" s="1">
        <v>0</v>
      </c>
      <c r="V42" s="9">
        <v>0</v>
      </c>
    </row>
    <row r="43" spans="1:22">
      <c r="A43" s="1" t="s">
        <v>64</v>
      </c>
      <c r="B43" s="6">
        <v>0</v>
      </c>
      <c r="C43" s="1">
        <v>0</v>
      </c>
      <c r="D43" s="1">
        <v>11662630.241036404</v>
      </c>
      <c r="E43" s="1">
        <v>0</v>
      </c>
      <c r="F43" s="1">
        <v>0</v>
      </c>
      <c r="G43" s="9">
        <f>SUM(OR_FINANCIAL)</f>
        <v>11662630.241036404</v>
      </c>
      <c r="L43" s="6">
        <v>0</v>
      </c>
      <c r="M43" s="1">
        <v>0</v>
      </c>
      <c r="O43" s="1">
        <v>0</v>
      </c>
      <c r="P43" s="1">
        <v>0</v>
      </c>
      <c r="R43" s="1">
        <v>10930000</v>
      </c>
      <c r="S43" s="1">
        <v>0</v>
      </c>
      <c r="U43" s="1">
        <v>0</v>
      </c>
      <c r="V43" s="9">
        <v>0</v>
      </c>
    </row>
    <row r="44" spans="1:22">
      <c r="A44" s="1" t="s">
        <v>65</v>
      </c>
      <c r="B44" s="6">
        <v>0</v>
      </c>
      <c r="C44" s="1">
        <v>0</v>
      </c>
      <c r="D44" s="1">
        <v>265696938.49092415</v>
      </c>
      <c r="E44" s="1">
        <v>0</v>
      </c>
      <c r="F44" s="1">
        <v>0</v>
      </c>
      <c r="G44" s="9">
        <f>SUM(PA_FINANCIAL)</f>
        <v>265696938.49092415</v>
      </c>
      <c r="L44" s="6">
        <v>0</v>
      </c>
      <c r="M44" s="1">
        <v>0</v>
      </c>
      <c r="O44" s="1">
        <v>0</v>
      </c>
      <c r="P44" s="1">
        <v>0</v>
      </c>
      <c r="R44" s="1">
        <v>290264386</v>
      </c>
      <c r="S44" s="1">
        <v>21428276</v>
      </c>
      <c r="U44" s="1">
        <v>0</v>
      </c>
      <c r="V44" s="9">
        <v>0</v>
      </c>
    </row>
    <row r="45" spans="1:22">
      <c r="A45" s="1" t="s">
        <v>66</v>
      </c>
      <c r="B45" s="6">
        <v>0</v>
      </c>
      <c r="C45" s="1">
        <v>0</v>
      </c>
      <c r="D45" s="1">
        <v>0</v>
      </c>
      <c r="E45" s="1">
        <v>0</v>
      </c>
      <c r="F45" s="1">
        <v>0</v>
      </c>
      <c r="G45" s="9">
        <f>SUM(PR_FINANCIAL)</f>
        <v>0</v>
      </c>
      <c r="L45" s="6"/>
      <c r="V45" s="9"/>
    </row>
    <row r="46" spans="1:22">
      <c r="A46" s="1" t="s">
        <v>67</v>
      </c>
      <c r="B46" s="6">
        <v>0</v>
      </c>
      <c r="C46" s="1">
        <v>0</v>
      </c>
      <c r="D46" s="1">
        <v>1491840.9650534126</v>
      </c>
      <c r="E46" s="1">
        <v>0</v>
      </c>
      <c r="F46" s="1">
        <v>0</v>
      </c>
      <c r="G46" s="9">
        <f>SUM(RI_FINANCIAL)</f>
        <v>1491840.9650534126</v>
      </c>
      <c r="L46" s="6">
        <v>0</v>
      </c>
      <c r="M46" s="1">
        <v>0</v>
      </c>
      <c r="O46" s="1">
        <v>0</v>
      </c>
      <c r="P46" s="1">
        <v>0</v>
      </c>
      <c r="R46" s="1">
        <v>1689989</v>
      </c>
      <c r="S46" s="1">
        <v>0</v>
      </c>
      <c r="U46" s="1">
        <v>0</v>
      </c>
      <c r="V46" s="9">
        <v>0</v>
      </c>
    </row>
    <row r="47" spans="1:22">
      <c r="A47" s="1" t="s">
        <v>68</v>
      </c>
      <c r="B47" s="6">
        <v>0</v>
      </c>
      <c r="C47" s="1">
        <v>0</v>
      </c>
      <c r="D47" s="1">
        <v>17499293.706054404</v>
      </c>
      <c r="E47" s="1">
        <v>0</v>
      </c>
      <c r="F47" s="1">
        <v>0</v>
      </c>
      <c r="G47" s="9">
        <f>SUM(SC_FINANCIAL)</f>
        <v>17499293.706054404</v>
      </c>
      <c r="L47" s="6">
        <v>0</v>
      </c>
      <c r="M47" s="1">
        <v>0</v>
      </c>
      <c r="O47" s="1">
        <v>0</v>
      </c>
      <c r="P47" s="1">
        <v>0</v>
      </c>
      <c r="R47" s="1">
        <v>27943502</v>
      </c>
      <c r="S47" s="1">
        <v>0</v>
      </c>
      <c r="U47" s="1">
        <v>0</v>
      </c>
      <c r="V47" s="9">
        <v>0</v>
      </c>
    </row>
    <row r="48" spans="1:22">
      <c r="A48" s="1" t="s">
        <v>69</v>
      </c>
      <c r="B48" s="6">
        <v>0</v>
      </c>
      <c r="C48" s="1">
        <v>0</v>
      </c>
      <c r="D48" s="1">
        <v>43029027.016835518</v>
      </c>
      <c r="E48" s="1">
        <v>0</v>
      </c>
      <c r="F48" s="1">
        <v>0</v>
      </c>
      <c r="G48" s="9">
        <f>SUM(SD_FINANCIAL)</f>
        <v>43029027.016835518</v>
      </c>
      <c r="L48" s="6">
        <v>0</v>
      </c>
      <c r="M48" s="1">
        <v>0</v>
      </c>
      <c r="O48" s="1">
        <v>0</v>
      </c>
      <c r="P48" s="1">
        <v>0</v>
      </c>
      <c r="R48" s="1">
        <v>39867536</v>
      </c>
      <c r="S48" s="1">
        <v>159436</v>
      </c>
      <c r="U48" s="1">
        <v>0</v>
      </c>
      <c r="V48" s="9">
        <v>0</v>
      </c>
    </row>
    <row r="49" spans="1:22">
      <c r="A49" s="1" t="s">
        <v>70</v>
      </c>
      <c r="B49" s="6">
        <v>0</v>
      </c>
      <c r="C49" s="1">
        <v>0</v>
      </c>
      <c r="D49" s="1">
        <v>41718634.886008963</v>
      </c>
      <c r="E49" s="1">
        <v>0</v>
      </c>
      <c r="F49" s="1">
        <v>0</v>
      </c>
      <c r="G49" s="9">
        <f>SUM(TN_FINANCIAL)</f>
        <v>41718634.886008963</v>
      </c>
      <c r="L49" s="6">
        <v>0</v>
      </c>
      <c r="M49" s="1">
        <v>0</v>
      </c>
      <c r="O49" s="1">
        <v>0</v>
      </c>
      <c r="P49" s="1">
        <v>0</v>
      </c>
      <c r="R49" s="1">
        <v>45098919</v>
      </c>
      <c r="S49" s="1">
        <v>312948</v>
      </c>
      <c r="U49" s="1">
        <v>0</v>
      </c>
      <c r="V49" s="9">
        <v>0</v>
      </c>
    </row>
    <row r="50" spans="1:22">
      <c r="A50" s="1" t="s">
        <v>71</v>
      </c>
      <c r="B50" s="6">
        <v>0</v>
      </c>
      <c r="C50" s="1">
        <v>0</v>
      </c>
      <c r="D50" s="1">
        <v>129279387.85829587</v>
      </c>
      <c r="E50" s="1">
        <v>0</v>
      </c>
      <c r="F50" s="1">
        <v>0</v>
      </c>
      <c r="G50" s="9">
        <f>SUM(TX_FINANCIAL)</f>
        <v>129279387.85829587</v>
      </c>
      <c r="L50" s="6">
        <v>0</v>
      </c>
      <c r="M50" s="1">
        <v>0</v>
      </c>
      <c r="O50" s="1">
        <v>0</v>
      </c>
      <c r="P50" s="1">
        <v>0</v>
      </c>
      <c r="R50" s="1">
        <v>130000000</v>
      </c>
      <c r="S50" s="1">
        <v>0</v>
      </c>
      <c r="U50" s="1">
        <v>0</v>
      </c>
      <c r="V50" s="9">
        <v>0</v>
      </c>
    </row>
    <row r="51" spans="1:22">
      <c r="A51" s="1" t="s">
        <v>72</v>
      </c>
      <c r="B51" s="6">
        <v>0</v>
      </c>
      <c r="C51" s="1">
        <v>0</v>
      </c>
      <c r="D51" s="1">
        <v>12266229.019487437</v>
      </c>
      <c r="E51" s="1">
        <v>0</v>
      </c>
      <c r="F51" s="1">
        <v>0</v>
      </c>
      <c r="G51" s="9">
        <f>SUM(UT_FINANCIAL)</f>
        <v>12266229.019487437</v>
      </c>
      <c r="L51" s="6">
        <v>0</v>
      </c>
      <c r="M51" s="1">
        <v>0</v>
      </c>
      <c r="O51" s="1">
        <v>0</v>
      </c>
      <c r="P51" s="1">
        <v>0</v>
      </c>
      <c r="R51" s="1">
        <v>9099016</v>
      </c>
      <c r="S51" s="1">
        <v>0</v>
      </c>
      <c r="U51" s="1">
        <v>0</v>
      </c>
      <c r="V51" s="9">
        <v>0</v>
      </c>
    </row>
    <row r="52" spans="1:22">
      <c r="A52" s="1" t="s">
        <v>73</v>
      </c>
      <c r="B52" s="6">
        <v>0</v>
      </c>
      <c r="C52" s="1">
        <v>0</v>
      </c>
      <c r="D52" s="1">
        <v>9473833.5617926344</v>
      </c>
      <c r="E52" s="1">
        <v>0</v>
      </c>
      <c r="F52" s="1">
        <v>0</v>
      </c>
      <c r="G52" s="9">
        <f>SUM(VT_FINANCIAL)</f>
        <v>9473833.5617926344</v>
      </c>
      <c r="L52" s="6">
        <v>0</v>
      </c>
      <c r="M52" s="1">
        <v>0</v>
      </c>
      <c r="O52" s="1">
        <v>0</v>
      </c>
      <c r="P52" s="1">
        <v>0</v>
      </c>
      <c r="R52" s="1">
        <v>10000000</v>
      </c>
      <c r="S52" s="1">
        <v>0</v>
      </c>
      <c r="U52" s="1">
        <v>0</v>
      </c>
      <c r="V52" s="9">
        <v>0</v>
      </c>
    </row>
    <row r="53" spans="1:22">
      <c r="A53" s="1" t="s">
        <v>74</v>
      </c>
      <c r="B53" s="6">
        <v>0</v>
      </c>
      <c r="C53" s="1">
        <v>0</v>
      </c>
      <c r="D53" s="1">
        <v>149663302.49971575</v>
      </c>
      <c r="E53" s="1">
        <v>0</v>
      </c>
      <c r="F53" s="1">
        <v>0</v>
      </c>
      <c r="G53" s="9">
        <f>SUM(VA_FINANCIAL)</f>
        <v>149663302.49971575</v>
      </c>
      <c r="L53" s="6">
        <v>0</v>
      </c>
      <c r="M53" s="1">
        <v>0</v>
      </c>
      <c r="O53" s="1">
        <v>0</v>
      </c>
      <c r="P53" s="1">
        <v>0</v>
      </c>
      <c r="R53" s="1">
        <v>197068000</v>
      </c>
      <c r="S53" s="1">
        <v>0</v>
      </c>
      <c r="U53" s="1">
        <v>0</v>
      </c>
      <c r="V53" s="9">
        <v>0</v>
      </c>
    </row>
    <row r="54" spans="1:22">
      <c r="A54" s="1" t="s">
        <v>75</v>
      </c>
      <c r="B54" s="6">
        <v>0</v>
      </c>
      <c r="C54" s="1">
        <v>0</v>
      </c>
      <c r="D54" s="1">
        <v>133109663.9929204</v>
      </c>
      <c r="E54" s="1">
        <v>0</v>
      </c>
      <c r="F54" s="1">
        <v>0</v>
      </c>
      <c r="G54" s="9">
        <f>SUM(WA_FINANCIAL)</f>
        <v>133109663.9929204</v>
      </c>
      <c r="L54" s="6">
        <v>0</v>
      </c>
      <c r="M54" s="1">
        <v>0</v>
      </c>
      <c r="O54" s="1">
        <v>0</v>
      </c>
      <c r="P54" s="1">
        <v>0</v>
      </c>
      <c r="R54" s="1">
        <v>80000000</v>
      </c>
      <c r="S54" s="1">
        <v>0</v>
      </c>
      <c r="U54" s="1">
        <v>0</v>
      </c>
      <c r="V54" s="9">
        <v>0</v>
      </c>
    </row>
    <row r="55" spans="1:22">
      <c r="A55" s="1" t="s">
        <v>76</v>
      </c>
      <c r="B55" s="6">
        <v>0</v>
      </c>
      <c r="C55" s="1">
        <v>0</v>
      </c>
      <c r="D55" s="1">
        <v>0</v>
      </c>
      <c r="E55" s="1">
        <v>0</v>
      </c>
      <c r="F55" s="1">
        <v>0</v>
      </c>
      <c r="G55" s="9">
        <f>SUM(WV_FINANCIAL)</f>
        <v>0</v>
      </c>
      <c r="L55" s="6"/>
      <c r="V55" s="9"/>
    </row>
    <row r="56" spans="1:22">
      <c r="A56" s="1" t="s">
        <v>77</v>
      </c>
      <c r="B56" s="6">
        <v>0</v>
      </c>
      <c r="C56" s="1">
        <v>0</v>
      </c>
      <c r="D56" s="1">
        <v>16965543.541744623</v>
      </c>
      <c r="E56" s="1">
        <v>0</v>
      </c>
      <c r="F56" s="1">
        <v>0</v>
      </c>
      <c r="G56" s="9">
        <f>SUM(WI_FINANCIAL)</f>
        <v>16965543.541744623</v>
      </c>
      <c r="L56" s="6">
        <v>0</v>
      </c>
      <c r="M56" s="1">
        <v>0</v>
      </c>
      <c r="O56" s="1">
        <v>0</v>
      </c>
      <c r="P56" s="1">
        <v>0</v>
      </c>
      <c r="R56" s="1">
        <v>17000000</v>
      </c>
      <c r="S56" s="1">
        <v>0</v>
      </c>
      <c r="U56" s="1">
        <v>0</v>
      </c>
      <c r="V56" s="9">
        <v>0</v>
      </c>
    </row>
    <row r="57" spans="1:22">
      <c r="A57" s="1" t="s">
        <v>78</v>
      </c>
      <c r="B57" s="6">
        <v>0</v>
      </c>
      <c r="C57" s="1">
        <v>0</v>
      </c>
      <c r="D57" s="1">
        <v>2714902.9981157118</v>
      </c>
      <c r="E57" s="1">
        <v>0</v>
      </c>
      <c r="F57" s="1">
        <v>0</v>
      </c>
      <c r="G57" s="9">
        <f>SUM(WY_FINANCIAL)</f>
        <v>2714902.9981157118</v>
      </c>
      <c r="L57" s="6"/>
      <c r="V57" s="9"/>
    </row>
    <row r="58" spans="1:22">
      <c r="A58" s="1" t="s">
        <v>79</v>
      </c>
      <c r="B58" s="6">
        <v>0</v>
      </c>
      <c r="C58" s="1">
        <v>0</v>
      </c>
      <c r="D58" s="1">
        <v>0</v>
      </c>
      <c r="E58" s="1">
        <v>0</v>
      </c>
      <c r="F58" s="1">
        <v>0</v>
      </c>
      <c r="G58" s="9">
        <f>SUM(OT_FINANCIAL)</f>
        <v>0</v>
      </c>
      <c r="L58" s="6"/>
      <c r="V58" s="9"/>
    </row>
    <row r="59" spans="1:22">
      <c r="B59" s="6"/>
      <c r="G59" s="9"/>
      <c r="L59" s="6"/>
      <c r="V59" s="9"/>
    </row>
    <row r="60" spans="1:22">
      <c r="A60" s="1" t="s">
        <v>8</v>
      </c>
      <c r="B60" s="6">
        <f>SUM(LIFE)</f>
        <v>0</v>
      </c>
      <c r="C60" s="1">
        <f>SUM(ALLOCATED)</f>
        <v>0</v>
      </c>
      <c r="D60" s="1">
        <f>SUM(HEALTH)</f>
        <v>2444329246.8945031</v>
      </c>
      <c r="E60" s="1">
        <f>SUM(UNALLOCATED)</f>
        <v>0</v>
      </c>
      <c r="F60" s="1">
        <f>SUM(LTC)</f>
        <v>0</v>
      </c>
      <c r="G60" s="9">
        <f>SUM(ALL_BLOCKS)</f>
        <v>2444329246.8945031</v>
      </c>
      <c r="L60" s="6">
        <f>SUM(LIFE_CALLED)</f>
        <v>0</v>
      </c>
      <c r="M60" s="1">
        <f>SUM(LIFE_REFUNDED)</f>
        <v>0</v>
      </c>
      <c r="O60" s="1">
        <f>SUM(ALLOC_CALLED)</f>
        <v>0</v>
      </c>
      <c r="P60" s="1">
        <f>SUM(ALLOC_REFUNDED)</f>
        <v>0</v>
      </c>
      <c r="R60" s="1">
        <f>SUM(HEALTH_CALLED)</f>
        <v>2156349296</v>
      </c>
      <c r="S60" s="1">
        <f>SUM(HEALTH_REFUNDED)</f>
        <v>21903841</v>
      </c>
      <c r="U60" s="1">
        <f>SUM(UNALLOC_CALLED)</f>
        <v>0</v>
      </c>
      <c r="V60" s="9">
        <f>SUM(UNALLOC_REFUNDED)</f>
        <v>0</v>
      </c>
    </row>
    <row r="61" spans="1:22" ht="5.0999999999999996" customHeight="1">
      <c r="B61" s="6"/>
      <c r="G61" s="9"/>
      <c r="L61" s="6"/>
      <c r="V61" s="9"/>
    </row>
    <row r="62" spans="1:22">
      <c r="B62" s="6"/>
      <c r="G62" s="9"/>
      <c r="L62" s="78" t="s">
        <v>80</v>
      </c>
      <c r="M62" s="79"/>
      <c r="N62" s="79"/>
      <c r="O62" s="79"/>
      <c r="P62" s="79"/>
      <c r="Q62" s="79"/>
      <c r="R62" s="79"/>
      <c r="S62" s="79"/>
      <c r="T62" s="79"/>
      <c r="U62" s="79"/>
      <c r="V62" s="80"/>
    </row>
    <row r="63" spans="1:22">
      <c r="B63" s="6"/>
      <c r="G63" s="9"/>
      <c r="L63" s="81"/>
      <c r="M63" s="79"/>
      <c r="N63" s="79"/>
      <c r="O63" s="79"/>
      <c r="P63" s="79"/>
      <c r="Q63" s="79"/>
      <c r="R63" s="79"/>
      <c r="S63" s="79"/>
      <c r="T63" s="79"/>
      <c r="U63" s="79"/>
      <c r="V63" s="80"/>
    </row>
    <row r="64" spans="1:22">
      <c r="B64" s="8"/>
      <c r="C64" s="5"/>
      <c r="D64" s="5"/>
      <c r="E64" s="5"/>
      <c r="F64" s="5"/>
      <c r="G64" s="11"/>
      <c r="L64" s="82"/>
      <c r="M64" s="83"/>
      <c r="N64" s="83"/>
      <c r="O64" s="83"/>
      <c r="P64" s="83"/>
      <c r="Q64" s="83"/>
      <c r="R64" s="83"/>
      <c r="S64" s="83"/>
      <c r="T64" s="83"/>
      <c r="U64" s="83"/>
      <c r="V64" s="84"/>
    </row>
  </sheetData>
  <mergeCells count="8">
    <mergeCell ref="L62:V64"/>
    <mergeCell ref="A1:G1"/>
    <mergeCell ref="B3:G3"/>
    <mergeCell ref="L3:V3"/>
    <mergeCell ref="L4:M4"/>
    <mergeCell ref="O4:P4"/>
    <mergeCell ref="R4:S4"/>
    <mergeCell ref="U4:V4"/>
  </mergeCells>
  <pageMargins left="0" right="0" top="0" bottom="0" header="0" footer="0"/>
  <pageSetup scale="48"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pageSetUpPr fitToPage="1"/>
  </sheetPr>
  <dimension ref="A1:V64"/>
  <sheetViews>
    <sheetView zoomScale="75" workbookViewId="0">
      <selection sqref="A1:G1"/>
    </sheetView>
  </sheetViews>
  <sheetFormatPr defaultColWidth="9.109375" defaultRowHeight="14.4"/>
  <cols>
    <col min="1" max="1" width="20" style="1" customWidth="1"/>
    <col min="2" max="7" width="15" style="1" customWidth="1"/>
    <col min="8" max="8" width="1" style="1" customWidth="1"/>
    <col min="9" max="9" width="30" style="1" customWidth="1"/>
    <col min="10" max="10" width="15" style="1" customWidth="1"/>
    <col min="11" max="11" width="1" style="1" customWidth="1"/>
    <col min="12" max="13" width="15" style="1" customWidth="1"/>
    <col min="14" max="14" width="1" style="1" customWidth="1"/>
    <col min="15" max="16" width="15" style="1" customWidth="1"/>
    <col min="17" max="17" width="1" style="1" customWidth="1"/>
    <col min="18" max="19" width="15" style="1" customWidth="1"/>
    <col min="20" max="20" width="1" style="1" customWidth="1"/>
    <col min="21" max="22" width="15" style="1" customWidth="1"/>
    <col min="23" max="23" width="9.109375" style="1" customWidth="1"/>
    <col min="24" max="16384" width="9.109375" style="1"/>
  </cols>
  <sheetData>
    <row r="1" spans="1:22">
      <c r="A1" s="85" t="s">
        <v>160</v>
      </c>
      <c r="B1" s="79"/>
      <c r="C1" s="79"/>
      <c r="D1" s="79"/>
      <c r="E1" s="79"/>
      <c r="F1" s="79"/>
      <c r="G1" s="79"/>
    </row>
    <row r="3" spans="1:22">
      <c r="B3" s="86" t="s">
        <v>1</v>
      </c>
      <c r="C3" s="87"/>
      <c r="D3" s="87"/>
      <c r="E3" s="87"/>
      <c r="F3" s="87"/>
      <c r="G3" s="88"/>
      <c r="L3" s="89" t="s">
        <v>2</v>
      </c>
      <c r="M3" s="90"/>
      <c r="N3" s="90"/>
      <c r="O3" s="90"/>
      <c r="P3" s="90"/>
      <c r="Q3" s="90"/>
      <c r="R3" s="90"/>
      <c r="S3" s="90"/>
      <c r="T3" s="90"/>
      <c r="U3" s="90"/>
      <c r="V3" s="91"/>
    </row>
    <row r="4" spans="1:22">
      <c r="B4" s="6"/>
      <c r="G4" s="9"/>
      <c r="L4" s="92" t="s">
        <v>3</v>
      </c>
      <c r="M4" s="93"/>
      <c r="N4" s="3"/>
      <c r="O4" s="94" t="s">
        <v>4</v>
      </c>
      <c r="P4" s="93"/>
      <c r="Q4" s="3"/>
      <c r="R4" s="94" t="s">
        <v>5</v>
      </c>
      <c r="S4" s="93"/>
      <c r="T4" s="3"/>
      <c r="U4" s="94" t="s">
        <v>6</v>
      </c>
      <c r="V4" s="95"/>
    </row>
    <row r="5" spans="1:22" ht="60" customHeight="1">
      <c r="B5" s="7" t="s">
        <v>3</v>
      </c>
      <c r="C5" s="4" t="s">
        <v>4</v>
      </c>
      <c r="D5" s="4" t="s">
        <v>5</v>
      </c>
      <c r="E5" s="4" t="s">
        <v>6</v>
      </c>
      <c r="F5" s="4" t="s">
        <v>7</v>
      </c>
      <c r="G5" s="10" t="s">
        <v>8</v>
      </c>
      <c r="L5" s="19" t="s">
        <v>9</v>
      </c>
      <c r="M5" s="18" t="s">
        <v>10</v>
      </c>
      <c r="N5" s="18"/>
      <c r="O5" s="18" t="s">
        <v>9</v>
      </c>
      <c r="P5" s="18" t="s">
        <v>10</v>
      </c>
      <c r="Q5" s="18"/>
      <c r="R5" s="18" t="s">
        <v>9</v>
      </c>
      <c r="S5" s="18" t="s">
        <v>10</v>
      </c>
      <c r="T5" s="18"/>
      <c r="U5" s="18" t="s">
        <v>9</v>
      </c>
      <c r="V5" s="20" t="s">
        <v>10</v>
      </c>
    </row>
    <row r="6" spans="1:22">
      <c r="A6" s="1" t="s">
        <v>11</v>
      </c>
      <c r="B6" s="6">
        <v>0</v>
      </c>
      <c r="C6" s="1">
        <v>0</v>
      </c>
      <c r="D6" s="1">
        <v>95</v>
      </c>
      <c r="E6" s="1">
        <v>0</v>
      </c>
      <c r="F6" s="1">
        <v>0</v>
      </c>
      <c r="G6" s="9">
        <f>SUM(AL_FINANCIAL)</f>
        <v>95</v>
      </c>
      <c r="L6" s="6"/>
      <c r="V6" s="9"/>
    </row>
    <row r="7" spans="1:22">
      <c r="A7" s="1" t="s">
        <v>12</v>
      </c>
      <c r="B7" s="6">
        <v>0</v>
      </c>
      <c r="C7" s="1">
        <v>0</v>
      </c>
      <c r="D7" s="1">
        <v>0</v>
      </c>
      <c r="E7" s="1">
        <v>0</v>
      </c>
      <c r="F7" s="1">
        <v>0</v>
      </c>
      <c r="G7" s="9">
        <f>SUM(AK_FINANCIAL)</f>
        <v>0</v>
      </c>
      <c r="I7" s="12"/>
      <c r="J7" s="15"/>
      <c r="L7" s="6"/>
      <c r="V7" s="9"/>
    </row>
    <row r="8" spans="1:22">
      <c r="A8" s="1" t="s">
        <v>13</v>
      </c>
      <c r="B8" s="6">
        <v>0</v>
      </c>
      <c r="C8" s="1">
        <v>0</v>
      </c>
      <c r="D8" s="1">
        <v>0</v>
      </c>
      <c r="E8" s="1">
        <v>0</v>
      </c>
      <c r="F8" s="1">
        <v>0</v>
      </c>
      <c r="G8" s="9">
        <f>SUM(AZ_FINANCIAL)</f>
        <v>0</v>
      </c>
      <c r="I8" s="13" t="s">
        <v>14</v>
      </c>
      <c r="J8" s="16"/>
      <c r="L8" s="6"/>
      <c r="V8" s="9"/>
    </row>
    <row r="9" spans="1:22">
      <c r="A9" s="1" t="s">
        <v>15</v>
      </c>
      <c r="B9" s="6">
        <v>0</v>
      </c>
      <c r="C9" s="1">
        <v>0</v>
      </c>
      <c r="D9" s="1">
        <v>0</v>
      </c>
      <c r="E9" s="1">
        <v>0</v>
      </c>
      <c r="F9" s="1">
        <v>0</v>
      </c>
      <c r="G9" s="9">
        <f>SUM(AR_FINANCIAL)</f>
        <v>0</v>
      </c>
      <c r="I9" s="13"/>
      <c r="J9" s="16"/>
      <c r="L9" s="6"/>
      <c r="V9" s="9"/>
    </row>
    <row r="10" spans="1:22">
      <c r="A10" s="1" t="s">
        <v>16</v>
      </c>
      <c r="B10" s="6">
        <v>0</v>
      </c>
      <c r="C10" s="1">
        <v>0</v>
      </c>
      <c r="D10" s="1">
        <v>0</v>
      </c>
      <c r="E10" s="1">
        <v>0</v>
      </c>
      <c r="F10" s="1">
        <v>0</v>
      </c>
      <c r="G10" s="9">
        <f>SUM(CA_FINANCIAL)</f>
        <v>0</v>
      </c>
      <c r="I10" s="13" t="s">
        <v>17</v>
      </c>
      <c r="J10" s="16">
        <v>0</v>
      </c>
      <c r="L10" s="6"/>
      <c r="V10" s="9"/>
    </row>
    <row r="11" spans="1:22">
      <c r="A11" s="1" t="s">
        <v>18</v>
      </c>
      <c r="B11" s="6">
        <v>0</v>
      </c>
      <c r="C11" s="1">
        <v>0</v>
      </c>
      <c r="D11" s="1">
        <v>32</v>
      </c>
      <c r="E11" s="1">
        <v>0</v>
      </c>
      <c r="F11" s="1">
        <v>0</v>
      </c>
      <c r="G11" s="9">
        <f>SUM(CO_FINANCIAL)</f>
        <v>32</v>
      </c>
      <c r="I11" s="13"/>
      <c r="J11" s="16"/>
      <c r="L11" s="6"/>
      <c r="V11" s="9"/>
    </row>
    <row r="12" spans="1:22">
      <c r="A12" s="1" t="s">
        <v>19</v>
      </c>
      <c r="B12" s="6">
        <v>0</v>
      </c>
      <c r="C12" s="1">
        <v>0</v>
      </c>
      <c r="D12" s="1">
        <v>0</v>
      </c>
      <c r="E12" s="1">
        <v>0</v>
      </c>
      <c r="F12" s="1">
        <v>0</v>
      </c>
      <c r="G12" s="9">
        <f>SUM(CT_FINANCIAL)</f>
        <v>0</v>
      </c>
      <c r="I12" s="13" t="s">
        <v>20</v>
      </c>
      <c r="J12" s="16"/>
      <c r="L12" s="6"/>
      <c r="V12" s="9"/>
    </row>
    <row r="13" spans="1:22">
      <c r="A13" s="1" t="s">
        <v>21</v>
      </c>
      <c r="B13" s="6">
        <v>0</v>
      </c>
      <c r="C13" s="1">
        <v>0</v>
      </c>
      <c r="D13" s="1">
        <v>0</v>
      </c>
      <c r="E13" s="1">
        <v>0</v>
      </c>
      <c r="F13" s="1">
        <v>0</v>
      </c>
      <c r="G13" s="9">
        <f>SUM(DE_FINANCIAL)</f>
        <v>0</v>
      </c>
      <c r="I13" s="13" t="s">
        <v>22</v>
      </c>
      <c r="J13" s="16">
        <v>0</v>
      </c>
      <c r="L13" s="6"/>
      <c r="V13" s="9"/>
    </row>
    <row r="14" spans="1:22">
      <c r="A14" s="1" t="s">
        <v>23</v>
      </c>
      <c r="B14" s="6">
        <v>0</v>
      </c>
      <c r="C14" s="1">
        <v>0</v>
      </c>
      <c r="D14" s="1">
        <v>0</v>
      </c>
      <c r="E14" s="1">
        <v>0</v>
      </c>
      <c r="F14" s="1">
        <v>0</v>
      </c>
      <c r="G14" s="9">
        <f>SUM(DC_FINANCIAL)</f>
        <v>0</v>
      </c>
      <c r="I14" s="13" t="s">
        <v>24</v>
      </c>
      <c r="J14" s="16">
        <v>0</v>
      </c>
      <c r="L14" s="6"/>
      <c r="V14" s="9"/>
    </row>
    <row r="15" spans="1:22">
      <c r="A15" s="1" t="s">
        <v>25</v>
      </c>
      <c r="B15" s="6">
        <v>0</v>
      </c>
      <c r="C15" s="1">
        <v>0</v>
      </c>
      <c r="D15" s="1">
        <v>0</v>
      </c>
      <c r="E15" s="1">
        <v>0</v>
      </c>
      <c r="F15" s="1">
        <v>0</v>
      </c>
      <c r="G15" s="9">
        <f>SUM(FL_FINANCIAL)</f>
        <v>0</v>
      </c>
      <c r="I15" s="13" t="s">
        <v>26</v>
      </c>
      <c r="J15" s="16">
        <v>16216</v>
      </c>
      <c r="L15" s="6"/>
      <c r="V15" s="9"/>
    </row>
    <row r="16" spans="1:22">
      <c r="A16" s="1" t="s">
        <v>27</v>
      </c>
      <c r="B16" s="6">
        <v>0</v>
      </c>
      <c r="C16" s="1">
        <v>0</v>
      </c>
      <c r="D16" s="1">
        <v>0</v>
      </c>
      <c r="E16" s="1">
        <v>0</v>
      </c>
      <c r="F16" s="1">
        <v>0</v>
      </c>
      <c r="G16" s="9">
        <f>SUM(GA_FINANCIAL)</f>
        <v>0</v>
      </c>
      <c r="I16" s="13" t="s">
        <v>28</v>
      </c>
      <c r="J16" s="16">
        <v>0</v>
      </c>
      <c r="L16" s="6"/>
      <c r="V16" s="9"/>
    </row>
    <row r="17" spans="1:22">
      <c r="A17" s="1" t="s">
        <v>29</v>
      </c>
      <c r="B17" s="6">
        <v>0</v>
      </c>
      <c r="C17" s="1">
        <v>0</v>
      </c>
      <c r="D17" s="1">
        <v>0</v>
      </c>
      <c r="E17" s="1">
        <v>0</v>
      </c>
      <c r="F17" s="1">
        <v>0</v>
      </c>
      <c r="G17" s="9">
        <f>SUM(HI_FINANCIAL)</f>
        <v>0</v>
      </c>
      <c r="I17" s="13"/>
      <c r="J17" s="16"/>
      <c r="L17" s="6"/>
      <c r="V17" s="9"/>
    </row>
    <row r="18" spans="1:22">
      <c r="A18" s="1" t="s">
        <v>30</v>
      </c>
      <c r="B18" s="6">
        <v>0</v>
      </c>
      <c r="C18" s="1">
        <v>0</v>
      </c>
      <c r="D18" s="1">
        <v>0</v>
      </c>
      <c r="E18" s="1">
        <v>0</v>
      </c>
      <c r="F18" s="1">
        <v>0</v>
      </c>
      <c r="G18" s="9">
        <f>SUM(ID_FINANCIAL)</f>
        <v>0</v>
      </c>
      <c r="I18" s="13" t="s">
        <v>31</v>
      </c>
      <c r="J18" s="16"/>
      <c r="L18" s="6"/>
      <c r="V18" s="9"/>
    </row>
    <row r="19" spans="1:22">
      <c r="A19" s="1" t="s">
        <v>32</v>
      </c>
      <c r="B19" s="6">
        <v>0</v>
      </c>
      <c r="C19" s="1">
        <v>0</v>
      </c>
      <c r="D19" s="1">
        <v>0</v>
      </c>
      <c r="E19" s="1">
        <v>0</v>
      </c>
      <c r="F19" s="1">
        <v>0</v>
      </c>
      <c r="G19" s="9">
        <f>SUM(IL_FINANCIAL)</f>
        <v>0</v>
      </c>
      <c r="I19" s="13" t="s">
        <v>33</v>
      </c>
      <c r="J19" s="16">
        <v>0</v>
      </c>
      <c r="L19" s="6"/>
      <c r="V19" s="9"/>
    </row>
    <row r="20" spans="1:22">
      <c r="A20" s="1" t="s">
        <v>34</v>
      </c>
      <c r="B20" s="6">
        <v>0</v>
      </c>
      <c r="C20" s="1">
        <v>0</v>
      </c>
      <c r="D20" s="1">
        <v>0</v>
      </c>
      <c r="E20" s="1">
        <v>0</v>
      </c>
      <c r="F20" s="1">
        <v>0</v>
      </c>
      <c r="G20" s="9">
        <f>SUM(IN_FINANCIAL)</f>
        <v>0</v>
      </c>
      <c r="I20" s="13" t="s">
        <v>35</v>
      </c>
      <c r="J20" s="16">
        <v>0</v>
      </c>
      <c r="L20" s="6"/>
      <c r="V20" s="9"/>
    </row>
    <row r="21" spans="1:22">
      <c r="A21" s="1" t="s">
        <v>36</v>
      </c>
      <c r="B21" s="6">
        <v>0</v>
      </c>
      <c r="C21" s="1">
        <v>0</v>
      </c>
      <c r="D21" s="1">
        <v>0</v>
      </c>
      <c r="E21" s="1">
        <v>0</v>
      </c>
      <c r="F21" s="1">
        <v>0</v>
      </c>
      <c r="G21" s="9">
        <f>SUM(IA_FINANCIAL)</f>
        <v>0</v>
      </c>
      <c r="I21" s="13" t="s">
        <v>37</v>
      </c>
      <c r="J21" s="16"/>
      <c r="L21" s="6"/>
      <c r="V21" s="9"/>
    </row>
    <row r="22" spans="1:22">
      <c r="A22" s="1" t="s">
        <v>38</v>
      </c>
      <c r="B22" s="6">
        <v>0</v>
      </c>
      <c r="C22" s="1">
        <v>0</v>
      </c>
      <c r="D22" s="1">
        <v>840</v>
      </c>
      <c r="E22" s="1">
        <v>0</v>
      </c>
      <c r="F22" s="1">
        <v>0</v>
      </c>
      <c r="G22" s="9">
        <f>SUM(KS_FINANCIAL)</f>
        <v>840</v>
      </c>
      <c r="I22" s="13" t="s">
        <v>39</v>
      </c>
      <c r="J22" s="16">
        <v>0</v>
      </c>
      <c r="L22" s="6"/>
      <c r="V22" s="9"/>
    </row>
    <row r="23" spans="1:22">
      <c r="A23" s="1" t="s">
        <v>40</v>
      </c>
      <c r="B23" s="6">
        <v>0</v>
      </c>
      <c r="C23" s="1">
        <v>0</v>
      </c>
      <c r="D23" s="1">
        <v>0</v>
      </c>
      <c r="E23" s="1">
        <v>0</v>
      </c>
      <c r="F23" s="1">
        <v>0</v>
      </c>
      <c r="G23" s="9">
        <f>SUM(KY_FINANCIAL)</f>
        <v>0</v>
      </c>
      <c r="I23" s="13" t="s">
        <v>41</v>
      </c>
      <c r="J23" s="16"/>
      <c r="L23" s="6"/>
      <c r="V23" s="9"/>
    </row>
    <row r="24" spans="1:22">
      <c r="A24" s="1" t="s">
        <v>42</v>
      </c>
      <c r="B24" s="6">
        <v>0</v>
      </c>
      <c r="C24" s="1">
        <v>0</v>
      </c>
      <c r="D24" s="1">
        <v>0</v>
      </c>
      <c r="E24" s="1">
        <v>0</v>
      </c>
      <c r="F24" s="1">
        <v>0</v>
      </c>
      <c r="G24" s="9">
        <f>SUM(LA_FINANCIAL)</f>
        <v>0</v>
      </c>
      <c r="I24" s="13" t="s">
        <v>43</v>
      </c>
      <c r="J24" s="16">
        <v>0</v>
      </c>
      <c r="L24" s="6"/>
      <c r="V24" s="9"/>
    </row>
    <row r="25" spans="1:22">
      <c r="A25" s="1" t="s">
        <v>44</v>
      </c>
      <c r="B25" s="6">
        <v>0</v>
      </c>
      <c r="C25" s="1">
        <v>0</v>
      </c>
      <c r="D25" s="1">
        <v>0</v>
      </c>
      <c r="E25" s="1">
        <v>0</v>
      </c>
      <c r="F25" s="1">
        <v>0</v>
      </c>
      <c r="G25" s="9">
        <f>SUM(ME_FINANCIAL)</f>
        <v>0</v>
      </c>
      <c r="I25" s="13"/>
      <c r="J25" s="16"/>
      <c r="L25" s="6"/>
      <c r="V25" s="9"/>
    </row>
    <row r="26" spans="1:22">
      <c r="A26" s="1" t="s">
        <v>45</v>
      </c>
      <c r="B26" s="6">
        <v>0</v>
      </c>
      <c r="C26" s="1">
        <v>0</v>
      </c>
      <c r="D26" s="1">
        <v>0</v>
      </c>
      <c r="E26" s="1">
        <v>0</v>
      </c>
      <c r="F26" s="1">
        <v>0</v>
      </c>
      <c r="G26" s="9">
        <f>SUM(MD_FINANCIAL)</f>
        <v>0</v>
      </c>
      <c r="I26" s="13" t="s">
        <v>46</v>
      </c>
      <c r="J26" s="16">
        <f>SUM(ADD_FINANCIAL)-SUM(LESS_FINANCIAL)</f>
        <v>16216</v>
      </c>
      <c r="L26" s="6"/>
      <c r="V26" s="9"/>
    </row>
    <row r="27" spans="1:22">
      <c r="A27" s="1" t="s">
        <v>47</v>
      </c>
      <c r="B27" s="6">
        <v>0</v>
      </c>
      <c r="C27" s="1">
        <v>0</v>
      </c>
      <c r="D27" s="1">
        <v>0</v>
      </c>
      <c r="E27" s="1">
        <v>0</v>
      </c>
      <c r="F27" s="1">
        <v>0</v>
      </c>
      <c r="G27" s="9">
        <f>SUM(MA_FINANCIAL)</f>
        <v>0</v>
      </c>
      <c r="I27" s="13" t="s">
        <v>48</v>
      </c>
      <c r="J27" s="16">
        <f>SUM(ALL_BLOCKS)</f>
        <v>16216</v>
      </c>
      <c r="L27" s="6"/>
      <c r="V27" s="9"/>
    </row>
    <row r="28" spans="1:22">
      <c r="A28" s="1" t="s">
        <v>49</v>
      </c>
      <c r="B28" s="6">
        <v>0</v>
      </c>
      <c r="C28" s="1">
        <v>0</v>
      </c>
      <c r="D28" s="1">
        <v>0</v>
      </c>
      <c r="E28" s="1">
        <v>0</v>
      </c>
      <c r="F28" s="1">
        <v>0</v>
      </c>
      <c r="G28" s="9">
        <f>SUM(MI_FINANCIAL)</f>
        <v>0</v>
      </c>
      <c r="I28" s="14"/>
      <c r="J28" s="17"/>
      <c r="L28" s="6"/>
      <c r="V28" s="9"/>
    </row>
    <row r="29" spans="1:22">
      <c r="A29" s="1" t="s">
        <v>50</v>
      </c>
      <c r="B29" s="6">
        <v>0</v>
      </c>
      <c r="C29" s="1">
        <v>0</v>
      </c>
      <c r="D29" s="1">
        <v>285</v>
      </c>
      <c r="E29" s="1">
        <v>0</v>
      </c>
      <c r="F29" s="1">
        <v>0</v>
      </c>
      <c r="G29" s="9">
        <f>SUM(MN_FINANCIAL)</f>
        <v>285</v>
      </c>
      <c r="L29" s="6"/>
      <c r="V29" s="9"/>
    </row>
    <row r="30" spans="1:22">
      <c r="A30" s="1" t="s">
        <v>51</v>
      </c>
      <c r="B30" s="6">
        <v>0</v>
      </c>
      <c r="C30" s="1">
        <v>0</v>
      </c>
      <c r="D30" s="1">
        <v>0</v>
      </c>
      <c r="E30" s="1">
        <v>0</v>
      </c>
      <c r="F30" s="1">
        <v>0</v>
      </c>
      <c r="G30" s="9">
        <f>SUM(MS_FINANCIAL)</f>
        <v>0</v>
      </c>
      <c r="L30" s="6"/>
      <c r="V30" s="9"/>
    </row>
    <row r="31" spans="1:22">
      <c r="A31" s="1" t="s">
        <v>52</v>
      </c>
      <c r="B31" s="6">
        <v>0</v>
      </c>
      <c r="C31" s="1">
        <v>0</v>
      </c>
      <c r="D31" s="1">
        <v>517</v>
      </c>
      <c r="E31" s="1">
        <v>0</v>
      </c>
      <c r="F31" s="1">
        <v>0</v>
      </c>
      <c r="G31" s="9">
        <f>SUM(MO_FINANCIAL)</f>
        <v>517</v>
      </c>
      <c r="L31" s="6"/>
      <c r="V31" s="9"/>
    </row>
    <row r="32" spans="1:22">
      <c r="A32" s="1" t="s">
        <v>53</v>
      </c>
      <c r="B32" s="6">
        <v>0</v>
      </c>
      <c r="C32" s="1">
        <v>0</v>
      </c>
      <c r="D32" s="1">
        <v>0</v>
      </c>
      <c r="E32" s="1">
        <v>0</v>
      </c>
      <c r="F32" s="1">
        <v>0</v>
      </c>
      <c r="G32" s="9">
        <f>SUM(MT_FINANCIAL)</f>
        <v>0</v>
      </c>
      <c r="L32" s="6"/>
      <c r="V32" s="9"/>
    </row>
    <row r="33" spans="1:22">
      <c r="A33" s="1" t="s">
        <v>54</v>
      </c>
      <c r="B33" s="6">
        <v>0</v>
      </c>
      <c r="C33" s="1">
        <v>0</v>
      </c>
      <c r="D33" s="1">
        <v>1328</v>
      </c>
      <c r="E33" s="1">
        <v>0</v>
      </c>
      <c r="F33" s="1">
        <v>0</v>
      </c>
      <c r="G33" s="9">
        <f>SUM(NE_FINANCIAL)</f>
        <v>1328</v>
      </c>
      <c r="L33" s="6"/>
      <c r="V33" s="9"/>
    </row>
    <row r="34" spans="1:22">
      <c r="A34" s="1" t="s">
        <v>55</v>
      </c>
      <c r="B34" s="6">
        <v>0</v>
      </c>
      <c r="C34" s="1">
        <v>0</v>
      </c>
      <c r="D34" s="1">
        <v>0</v>
      </c>
      <c r="E34" s="1">
        <v>0</v>
      </c>
      <c r="F34" s="1">
        <v>0</v>
      </c>
      <c r="G34" s="9">
        <f>SUM(NV_FINANCIAL)</f>
        <v>0</v>
      </c>
      <c r="L34" s="6"/>
      <c r="V34" s="9"/>
    </row>
    <row r="35" spans="1:22">
      <c r="A35" s="1" t="s">
        <v>56</v>
      </c>
      <c r="B35" s="6">
        <v>0</v>
      </c>
      <c r="C35" s="1">
        <v>0</v>
      </c>
      <c r="D35" s="1">
        <v>0</v>
      </c>
      <c r="E35" s="1">
        <v>0</v>
      </c>
      <c r="F35" s="1">
        <v>0</v>
      </c>
      <c r="G35" s="9">
        <f>SUM(NH_FINANCIAL)</f>
        <v>0</v>
      </c>
      <c r="L35" s="6"/>
      <c r="V35" s="9"/>
    </row>
    <row r="36" spans="1:22">
      <c r="A36" s="1" t="s">
        <v>57</v>
      </c>
      <c r="B36" s="6">
        <v>0</v>
      </c>
      <c r="C36" s="1">
        <v>0</v>
      </c>
      <c r="D36" s="1">
        <v>0</v>
      </c>
      <c r="E36" s="1">
        <v>0</v>
      </c>
      <c r="F36" s="1">
        <v>0</v>
      </c>
      <c r="G36" s="9">
        <f>SUM(NJ_FINANCIAL)</f>
        <v>0</v>
      </c>
      <c r="L36" s="6"/>
      <c r="V36" s="9"/>
    </row>
    <row r="37" spans="1:22">
      <c r="A37" s="1" t="s">
        <v>58</v>
      </c>
      <c r="B37" s="6">
        <v>0</v>
      </c>
      <c r="C37" s="1">
        <v>0</v>
      </c>
      <c r="D37" s="1">
        <v>0</v>
      </c>
      <c r="E37" s="1">
        <v>0</v>
      </c>
      <c r="F37" s="1">
        <v>0</v>
      </c>
      <c r="G37" s="9">
        <f>SUM(NM_FINANCIAL)</f>
        <v>0</v>
      </c>
      <c r="L37" s="6"/>
      <c r="V37" s="9"/>
    </row>
    <row r="38" spans="1:22">
      <c r="A38" s="1" t="s">
        <v>59</v>
      </c>
      <c r="B38" s="6">
        <v>0</v>
      </c>
      <c r="C38" s="1">
        <v>0</v>
      </c>
      <c r="D38" s="1">
        <v>0</v>
      </c>
      <c r="E38" s="1">
        <v>0</v>
      </c>
      <c r="F38" s="1">
        <v>0</v>
      </c>
      <c r="G38" s="9">
        <f>SUM(NY_FINANCIAL)</f>
        <v>0</v>
      </c>
      <c r="L38" s="6"/>
      <c r="V38" s="9"/>
    </row>
    <row r="39" spans="1:22">
      <c r="A39" s="1" t="s">
        <v>60</v>
      </c>
      <c r="B39" s="6">
        <v>0</v>
      </c>
      <c r="C39" s="1">
        <v>0</v>
      </c>
      <c r="D39" s="1">
        <v>2555</v>
      </c>
      <c r="E39" s="1">
        <v>0</v>
      </c>
      <c r="F39" s="1">
        <v>0</v>
      </c>
      <c r="G39" s="9">
        <f>SUM(NC_FINANCIAL)</f>
        <v>2555</v>
      </c>
      <c r="L39" s="6"/>
      <c r="V39" s="9"/>
    </row>
    <row r="40" spans="1:22">
      <c r="A40" s="1" t="s">
        <v>61</v>
      </c>
      <c r="B40" s="6">
        <v>0</v>
      </c>
      <c r="C40" s="1">
        <v>0</v>
      </c>
      <c r="D40" s="1">
        <v>0</v>
      </c>
      <c r="E40" s="1">
        <v>0</v>
      </c>
      <c r="F40" s="1">
        <v>0</v>
      </c>
      <c r="G40" s="9">
        <f>SUM(ND_FINANCIAL)</f>
        <v>0</v>
      </c>
      <c r="L40" s="6"/>
      <c r="V40" s="9"/>
    </row>
    <row r="41" spans="1:22">
      <c r="A41" s="1" t="s">
        <v>62</v>
      </c>
      <c r="B41" s="6">
        <v>0</v>
      </c>
      <c r="C41" s="1">
        <v>0</v>
      </c>
      <c r="D41" s="1">
        <v>0</v>
      </c>
      <c r="E41" s="1">
        <v>0</v>
      </c>
      <c r="F41" s="1">
        <v>0</v>
      </c>
      <c r="G41" s="9">
        <f>SUM(OH_FINANCIAL)</f>
        <v>0</v>
      </c>
      <c r="L41" s="6"/>
      <c r="V41" s="9"/>
    </row>
    <row r="42" spans="1:22">
      <c r="A42" s="1" t="s">
        <v>63</v>
      </c>
      <c r="B42" s="6">
        <v>0</v>
      </c>
      <c r="C42" s="1">
        <v>0</v>
      </c>
      <c r="D42" s="1">
        <v>4883</v>
      </c>
      <c r="E42" s="1">
        <v>0</v>
      </c>
      <c r="F42" s="1">
        <v>0</v>
      </c>
      <c r="G42" s="9">
        <f>SUM(OK_FINANCIAL)</f>
        <v>4883</v>
      </c>
      <c r="L42" s="6"/>
      <c r="V42" s="9"/>
    </row>
    <row r="43" spans="1:22">
      <c r="A43" s="1" t="s">
        <v>64</v>
      </c>
      <c r="B43" s="6">
        <v>0</v>
      </c>
      <c r="C43" s="1">
        <v>0</v>
      </c>
      <c r="D43" s="1">
        <v>0</v>
      </c>
      <c r="E43" s="1">
        <v>0</v>
      </c>
      <c r="F43" s="1">
        <v>0</v>
      </c>
      <c r="G43" s="9">
        <f>SUM(OR_FINANCIAL)</f>
        <v>0</v>
      </c>
      <c r="L43" s="6"/>
      <c r="V43" s="9"/>
    </row>
    <row r="44" spans="1:22">
      <c r="A44" s="1" t="s">
        <v>65</v>
      </c>
      <c r="B44" s="6">
        <v>0</v>
      </c>
      <c r="C44" s="1">
        <v>0</v>
      </c>
      <c r="D44" s="1">
        <v>0</v>
      </c>
      <c r="E44" s="1">
        <v>0</v>
      </c>
      <c r="F44" s="1">
        <v>0</v>
      </c>
      <c r="G44" s="9">
        <f>SUM(PA_FINANCIAL)</f>
        <v>0</v>
      </c>
      <c r="L44" s="6"/>
      <c r="V44" s="9"/>
    </row>
    <row r="45" spans="1:22">
      <c r="A45" s="1" t="s">
        <v>66</v>
      </c>
      <c r="B45" s="6">
        <v>0</v>
      </c>
      <c r="C45" s="1">
        <v>0</v>
      </c>
      <c r="D45" s="1">
        <v>0</v>
      </c>
      <c r="E45" s="1">
        <v>0</v>
      </c>
      <c r="F45" s="1">
        <v>0</v>
      </c>
      <c r="G45" s="9">
        <f>SUM(PR_FINANCIAL)</f>
        <v>0</v>
      </c>
      <c r="L45" s="6"/>
      <c r="V45" s="9"/>
    </row>
    <row r="46" spans="1:22">
      <c r="A46" s="1" t="s">
        <v>67</v>
      </c>
      <c r="B46" s="6">
        <v>0</v>
      </c>
      <c r="C46" s="1">
        <v>0</v>
      </c>
      <c r="D46" s="1">
        <v>0</v>
      </c>
      <c r="E46" s="1">
        <v>0</v>
      </c>
      <c r="F46" s="1">
        <v>0</v>
      </c>
      <c r="G46" s="9">
        <f>SUM(RI_FINANCIAL)</f>
        <v>0</v>
      </c>
      <c r="L46" s="6"/>
      <c r="V46" s="9"/>
    </row>
    <row r="47" spans="1:22">
      <c r="A47" s="1" t="s">
        <v>68</v>
      </c>
      <c r="B47" s="6">
        <v>0</v>
      </c>
      <c r="C47" s="1">
        <v>0</v>
      </c>
      <c r="D47" s="1">
        <v>197</v>
      </c>
      <c r="E47" s="1">
        <v>0</v>
      </c>
      <c r="F47" s="1">
        <v>0</v>
      </c>
      <c r="G47" s="9">
        <f>SUM(SC_FINANCIAL)</f>
        <v>197</v>
      </c>
      <c r="L47" s="6"/>
      <c r="V47" s="9"/>
    </row>
    <row r="48" spans="1:22">
      <c r="A48" s="1" t="s">
        <v>69</v>
      </c>
      <c r="B48" s="6">
        <v>0</v>
      </c>
      <c r="C48" s="1">
        <v>0</v>
      </c>
      <c r="D48" s="1">
        <v>1033</v>
      </c>
      <c r="E48" s="1">
        <v>0</v>
      </c>
      <c r="F48" s="1">
        <v>0</v>
      </c>
      <c r="G48" s="9">
        <f>SUM(SD_FINANCIAL)</f>
        <v>1033</v>
      </c>
      <c r="L48" s="6"/>
      <c r="V48" s="9"/>
    </row>
    <row r="49" spans="1:22">
      <c r="A49" s="1" t="s">
        <v>70</v>
      </c>
      <c r="B49" s="6">
        <v>0</v>
      </c>
      <c r="C49" s="1">
        <v>0</v>
      </c>
      <c r="D49" s="1">
        <v>158</v>
      </c>
      <c r="E49" s="1">
        <v>0</v>
      </c>
      <c r="F49" s="1">
        <v>0</v>
      </c>
      <c r="G49" s="9">
        <f>SUM(TN_FINANCIAL)</f>
        <v>158</v>
      </c>
      <c r="L49" s="6"/>
      <c r="V49" s="9"/>
    </row>
    <row r="50" spans="1:22">
      <c r="A50" s="1" t="s">
        <v>71</v>
      </c>
      <c r="B50" s="6">
        <v>0</v>
      </c>
      <c r="C50" s="1">
        <v>0</v>
      </c>
      <c r="D50" s="1">
        <v>0</v>
      </c>
      <c r="E50" s="1">
        <v>0</v>
      </c>
      <c r="F50" s="1">
        <v>0</v>
      </c>
      <c r="G50" s="9">
        <f>SUM(TX_FINANCIAL)</f>
        <v>0</v>
      </c>
      <c r="L50" s="6"/>
      <c r="V50" s="9"/>
    </row>
    <row r="51" spans="1:22">
      <c r="A51" s="1" t="s">
        <v>72</v>
      </c>
      <c r="B51" s="6">
        <v>0</v>
      </c>
      <c r="C51" s="1">
        <v>0</v>
      </c>
      <c r="D51" s="1">
        <v>0</v>
      </c>
      <c r="E51" s="1">
        <v>0</v>
      </c>
      <c r="F51" s="1">
        <v>0</v>
      </c>
      <c r="G51" s="9">
        <f>SUM(UT_FINANCIAL)</f>
        <v>0</v>
      </c>
      <c r="L51" s="6"/>
      <c r="V51" s="9"/>
    </row>
    <row r="52" spans="1:22">
      <c r="A52" s="1" t="s">
        <v>73</v>
      </c>
      <c r="B52" s="6">
        <v>0</v>
      </c>
      <c r="C52" s="1">
        <v>0</v>
      </c>
      <c r="D52" s="1">
        <v>0</v>
      </c>
      <c r="E52" s="1">
        <v>0</v>
      </c>
      <c r="F52" s="1">
        <v>0</v>
      </c>
      <c r="G52" s="9">
        <f>SUM(VT_FINANCIAL)</f>
        <v>0</v>
      </c>
      <c r="L52" s="6"/>
      <c r="V52" s="9"/>
    </row>
    <row r="53" spans="1:22">
      <c r="A53" s="1" t="s">
        <v>74</v>
      </c>
      <c r="B53" s="6">
        <v>0</v>
      </c>
      <c r="C53" s="1">
        <v>0</v>
      </c>
      <c r="D53" s="1">
        <v>1616</v>
      </c>
      <c r="E53" s="1">
        <v>0</v>
      </c>
      <c r="F53" s="1">
        <v>0</v>
      </c>
      <c r="G53" s="9">
        <f>SUM(VA_FINANCIAL)</f>
        <v>1616</v>
      </c>
      <c r="L53" s="6"/>
      <c r="V53" s="9"/>
    </row>
    <row r="54" spans="1:22">
      <c r="A54" s="1" t="s">
        <v>75</v>
      </c>
      <c r="B54" s="6">
        <v>0</v>
      </c>
      <c r="C54" s="1">
        <v>0</v>
      </c>
      <c r="D54" s="1">
        <v>0</v>
      </c>
      <c r="E54" s="1">
        <v>0</v>
      </c>
      <c r="F54" s="1">
        <v>0</v>
      </c>
      <c r="G54" s="9">
        <f>SUM(WA_FINANCIAL)</f>
        <v>0</v>
      </c>
      <c r="L54" s="6"/>
      <c r="V54" s="9"/>
    </row>
    <row r="55" spans="1:22">
      <c r="A55" s="1" t="s">
        <v>76</v>
      </c>
      <c r="B55" s="6">
        <v>0</v>
      </c>
      <c r="C55" s="1">
        <v>0</v>
      </c>
      <c r="D55" s="1">
        <v>2677</v>
      </c>
      <c r="E55" s="1">
        <v>0</v>
      </c>
      <c r="F55" s="1">
        <v>0</v>
      </c>
      <c r="G55" s="9">
        <f>SUM(WV_FINANCIAL)</f>
        <v>2677</v>
      </c>
      <c r="L55" s="6"/>
      <c r="V55" s="9"/>
    </row>
    <row r="56" spans="1:22">
      <c r="A56" s="1" t="s">
        <v>77</v>
      </c>
      <c r="B56" s="6">
        <v>0</v>
      </c>
      <c r="C56" s="1">
        <v>0</v>
      </c>
      <c r="D56" s="1">
        <v>0</v>
      </c>
      <c r="E56" s="1">
        <v>0</v>
      </c>
      <c r="F56" s="1">
        <v>0</v>
      </c>
      <c r="G56" s="9">
        <f>SUM(WI_FINANCIAL)</f>
        <v>0</v>
      </c>
      <c r="L56" s="6"/>
      <c r="V56" s="9"/>
    </row>
    <row r="57" spans="1:22">
      <c r="A57" s="1" t="s">
        <v>78</v>
      </c>
      <c r="B57" s="6">
        <v>0</v>
      </c>
      <c r="C57" s="1">
        <v>0</v>
      </c>
      <c r="D57" s="1">
        <v>0</v>
      </c>
      <c r="E57" s="1">
        <v>0</v>
      </c>
      <c r="F57" s="1">
        <v>0</v>
      </c>
      <c r="G57" s="9">
        <f>SUM(WY_FINANCIAL)</f>
        <v>0</v>
      </c>
      <c r="L57" s="6"/>
      <c r="V57" s="9"/>
    </row>
    <row r="58" spans="1:22">
      <c r="A58" s="1" t="s">
        <v>79</v>
      </c>
      <c r="B58" s="6">
        <v>0</v>
      </c>
      <c r="C58" s="1">
        <v>0</v>
      </c>
      <c r="D58" s="1">
        <v>0</v>
      </c>
      <c r="E58" s="1">
        <v>0</v>
      </c>
      <c r="F58" s="1">
        <v>0</v>
      </c>
      <c r="G58" s="9">
        <f>SUM(OT_FINANCIAL)</f>
        <v>0</v>
      </c>
      <c r="L58" s="6"/>
      <c r="V58" s="9"/>
    </row>
    <row r="59" spans="1:22">
      <c r="B59" s="6"/>
      <c r="G59" s="9"/>
      <c r="L59" s="6"/>
      <c r="V59" s="9"/>
    </row>
    <row r="60" spans="1:22">
      <c r="A60" s="1" t="s">
        <v>8</v>
      </c>
      <c r="B60" s="6">
        <f>SUM(LIFE)</f>
        <v>0</v>
      </c>
      <c r="C60" s="1">
        <f>SUM(ALLOCATED)</f>
        <v>0</v>
      </c>
      <c r="D60" s="1">
        <f>SUM(HEALTH)</f>
        <v>16216</v>
      </c>
      <c r="E60" s="1">
        <f>SUM(UNALLOCATED)</f>
        <v>0</v>
      </c>
      <c r="F60" s="1">
        <f>SUM(LTC)</f>
        <v>0</v>
      </c>
      <c r="G60" s="9">
        <f>SUM(ALL_BLOCKS)</f>
        <v>16216</v>
      </c>
      <c r="L60" s="6">
        <f>SUM(LIFE_CALLED)</f>
        <v>0</v>
      </c>
      <c r="M60" s="1">
        <f>SUM(LIFE_REFUNDED)</f>
        <v>0</v>
      </c>
      <c r="O60" s="1">
        <f>SUM(ALLOC_CALLED)</f>
        <v>0</v>
      </c>
      <c r="P60" s="1">
        <f>SUM(ALLOC_REFUNDED)</f>
        <v>0</v>
      </c>
      <c r="R60" s="1">
        <f>SUM(HEALTH_CALLED)</f>
        <v>0</v>
      </c>
      <c r="S60" s="1">
        <f>SUM(HEALTH_REFUNDED)</f>
        <v>0</v>
      </c>
      <c r="U60" s="1">
        <f>SUM(UNALLOC_CALLED)</f>
        <v>0</v>
      </c>
      <c r="V60" s="9">
        <f>SUM(UNALLOC_REFUNDED)</f>
        <v>0</v>
      </c>
    </row>
    <row r="61" spans="1:22" ht="5.0999999999999996" customHeight="1">
      <c r="B61" s="6"/>
      <c r="G61" s="9"/>
      <c r="L61" s="6"/>
      <c r="V61" s="9"/>
    </row>
    <row r="62" spans="1:22">
      <c r="B62" s="6"/>
      <c r="G62" s="9"/>
      <c r="L62" s="78" t="s">
        <v>80</v>
      </c>
      <c r="M62" s="79"/>
      <c r="N62" s="79"/>
      <c r="O62" s="79"/>
      <c r="P62" s="79"/>
      <c r="Q62" s="79"/>
      <c r="R62" s="79"/>
      <c r="S62" s="79"/>
      <c r="T62" s="79"/>
      <c r="U62" s="79"/>
      <c r="V62" s="80"/>
    </row>
    <row r="63" spans="1:22">
      <c r="B63" s="6"/>
      <c r="G63" s="9"/>
      <c r="L63" s="81"/>
      <c r="M63" s="79"/>
      <c r="N63" s="79"/>
      <c r="O63" s="79"/>
      <c r="P63" s="79"/>
      <c r="Q63" s="79"/>
      <c r="R63" s="79"/>
      <c r="S63" s="79"/>
      <c r="T63" s="79"/>
      <c r="U63" s="79"/>
      <c r="V63" s="80"/>
    </row>
    <row r="64" spans="1:22">
      <c r="B64" s="8"/>
      <c r="C64" s="5"/>
      <c r="D64" s="5"/>
      <c r="E64" s="5"/>
      <c r="F64" s="5"/>
      <c r="G64" s="11"/>
      <c r="L64" s="82"/>
      <c r="M64" s="83"/>
      <c r="N64" s="83"/>
      <c r="O64" s="83"/>
      <c r="P64" s="83"/>
      <c r="Q64" s="83"/>
      <c r="R64" s="83"/>
      <c r="S64" s="83"/>
      <c r="T64" s="83"/>
      <c r="U64" s="83"/>
      <c r="V64" s="84"/>
    </row>
  </sheetData>
  <mergeCells count="8">
    <mergeCell ref="L62:V64"/>
    <mergeCell ref="A1:G1"/>
    <mergeCell ref="B3:G3"/>
    <mergeCell ref="L3:V3"/>
    <mergeCell ref="L4:M4"/>
    <mergeCell ref="O4:P4"/>
    <mergeCell ref="R4:S4"/>
    <mergeCell ref="U4:V4"/>
  </mergeCells>
  <pageMargins left="0" right="0" top="0" bottom="0" header="0" footer="0"/>
  <pageSetup scale="48" orientation="landscape"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pageSetUpPr fitToPage="1"/>
  </sheetPr>
  <dimension ref="A1:V64"/>
  <sheetViews>
    <sheetView zoomScale="75" workbookViewId="0">
      <selection sqref="A1:G1"/>
    </sheetView>
  </sheetViews>
  <sheetFormatPr defaultColWidth="9.109375" defaultRowHeight="14.4"/>
  <cols>
    <col min="1" max="1" width="20" style="1" customWidth="1"/>
    <col min="2" max="7" width="15" style="1" customWidth="1"/>
    <col min="8" max="8" width="1" style="1" customWidth="1"/>
    <col min="9" max="9" width="30" style="1" customWidth="1"/>
    <col min="10" max="10" width="15" style="1" customWidth="1"/>
    <col min="11" max="11" width="1" style="1" customWidth="1"/>
    <col min="12" max="13" width="15" style="1" customWidth="1"/>
    <col min="14" max="14" width="1" style="1" customWidth="1"/>
    <col min="15" max="16" width="15" style="1" customWidth="1"/>
    <col min="17" max="17" width="1" style="1" customWidth="1"/>
    <col min="18" max="19" width="15" style="1" customWidth="1"/>
    <col min="20" max="20" width="1" style="1" customWidth="1"/>
    <col min="21" max="22" width="15" style="1" customWidth="1"/>
    <col min="23" max="23" width="9.109375" style="1" customWidth="1"/>
    <col min="24" max="16384" width="9.109375" style="1"/>
  </cols>
  <sheetData>
    <row r="1" spans="1:22">
      <c r="A1" s="85" t="s">
        <v>161</v>
      </c>
      <c r="B1" s="79"/>
      <c r="C1" s="79"/>
      <c r="D1" s="79"/>
      <c r="E1" s="79"/>
      <c r="F1" s="79"/>
      <c r="G1" s="79"/>
    </row>
    <row r="3" spans="1:22">
      <c r="B3" s="86" t="s">
        <v>1</v>
      </c>
      <c r="C3" s="87"/>
      <c r="D3" s="87"/>
      <c r="E3" s="87"/>
      <c r="F3" s="87"/>
      <c r="G3" s="88"/>
      <c r="L3" s="89" t="s">
        <v>2</v>
      </c>
      <c r="M3" s="90"/>
      <c r="N3" s="90"/>
      <c r="O3" s="90"/>
      <c r="P3" s="90"/>
      <c r="Q3" s="90"/>
      <c r="R3" s="90"/>
      <c r="S3" s="90"/>
      <c r="T3" s="90"/>
      <c r="U3" s="90"/>
      <c r="V3" s="91"/>
    </row>
    <row r="4" spans="1:22">
      <c r="B4" s="6"/>
      <c r="G4" s="9"/>
      <c r="L4" s="92" t="s">
        <v>3</v>
      </c>
      <c r="M4" s="93"/>
      <c r="N4" s="3"/>
      <c r="O4" s="94" t="s">
        <v>4</v>
      </c>
      <c r="P4" s="93"/>
      <c r="Q4" s="3"/>
      <c r="R4" s="94" t="s">
        <v>5</v>
      </c>
      <c r="S4" s="93"/>
      <c r="T4" s="3"/>
      <c r="U4" s="94" t="s">
        <v>6</v>
      </c>
      <c r="V4" s="95"/>
    </row>
    <row r="5" spans="1:22" ht="60" customHeight="1">
      <c r="B5" s="7" t="s">
        <v>3</v>
      </c>
      <c r="C5" s="4" t="s">
        <v>4</v>
      </c>
      <c r="D5" s="4" t="s">
        <v>5</v>
      </c>
      <c r="E5" s="4" t="s">
        <v>6</v>
      </c>
      <c r="F5" s="4" t="s">
        <v>7</v>
      </c>
      <c r="G5" s="10" t="s">
        <v>8</v>
      </c>
      <c r="L5" s="19" t="s">
        <v>9</v>
      </c>
      <c r="M5" s="18" t="s">
        <v>10</v>
      </c>
      <c r="N5" s="18"/>
      <c r="O5" s="18" t="s">
        <v>9</v>
      </c>
      <c r="P5" s="18" t="s">
        <v>10</v>
      </c>
      <c r="Q5" s="18"/>
      <c r="R5" s="18" t="s">
        <v>9</v>
      </c>
      <c r="S5" s="18" t="s">
        <v>10</v>
      </c>
      <c r="T5" s="18"/>
      <c r="U5" s="18" t="s">
        <v>9</v>
      </c>
      <c r="V5" s="20" t="s">
        <v>10</v>
      </c>
    </row>
    <row r="6" spans="1:22">
      <c r="A6" s="1" t="s">
        <v>11</v>
      </c>
      <c r="B6" s="6">
        <v>0</v>
      </c>
      <c r="C6" s="1">
        <v>0</v>
      </c>
      <c r="D6" s="1">
        <v>132453.12999999989</v>
      </c>
      <c r="E6" s="1">
        <v>0</v>
      </c>
      <c r="F6" s="1">
        <v>0</v>
      </c>
      <c r="G6" s="9">
        <f>SUM(AL_FINANCIAL)</f>
        <v>132453.12999999989</v>
      </c>
      <c r="L6" s="6"/>
      <c r="V6" s="9"/>
    </row>
    <row r="7" spans="1:22">
      <c r="A7" s="1" t="s">
        <v>12</v>
      </c>
      <c r="B7" s="6">
        <v>0</v>
      </c>
      <c r="C7" s="1">
        <v>0</v>
      </c>
      <c r="D7" s="1">
        <v>0.51000000000021828</v>
      </c>
      <c r="E7" s="1">
        <v>0</v>
      </c>
      <c r="F7" s="1">
        <v>0</v>
      </c>
      <c r="G7" s="9">
        <f>SUM(AK_FINANCIAL)</f>
        <v>0.51000000000021828</v>
      </c>
      <c r="I7" s="12"/>
      <c r="J7" s="15"/>
      <c r="L7" s="6">
        <v>0</v>
      </c>
      <c r="M7" s="1">
        <v>0</v>
      </c>
      <c r="O7" s="1">
        <v>0</v>
      </c>
      <c r="P7" s="1">
        <v>0</v>
      </c>
      <c r="R7" s="1">
        <v>20000</v>
      </c>
      <c r="S7" s="1">
        <v>0</v>
      </c>
      <c r="U7" s="1">
        <v>0</v>
      </c>
      <c r="V7" s="9">
        <v>0</v>
      </c>
    </row>
    <row r="8" spans="1:22">
      <c r="A8" s="1" t="s">
        <v>13</v>
      </c>
      <c r="B8" s="6">
        <v>0</v>
      </c>
      <c r="C8" s="1">
        <v>0</v>
      </c>
      <c r="D8" s="1">
        <v>185021.15999999997</v>
      </c>
      <c r="E8" s="1">
        <v>0</v>
      </c>
      <c r="F8" s="1">
        <v>0</v>
      </c>
      <c r="G8" s="9">
        <f>SUM(AZ_FINANCIAL)</f>
        <v>185021.15999999997</v>
      </c>
      <c r="I8" s="13" t="s">
        <v>14</v>
      </c>
      <c r="J8" s="16"/>
      <c r="L8" s="6"/>
      <c r="V8" s="9"/>
    </row>
    <row r="9" spans="1:22">
      <c r="A9" s="1" t="s">
        <v>15</v>
      </c>
      <c r="B9" s="6">
        <v>0</v>
      </c>
      <c r="C9" s="1">
        <v>0</v>
      </c>
      <c r="D9" s="1">
        <v>17047.679999999993</v>
      </c>
      <c r="E9" s="1">
        <v>0</v>
      </c>
      <c r="F9" s="1">
        <v>0</v>
      </c>
      <c r="G9" s="9">
        <f>SUM(AR_FINANCIAL)</f>
        <v>17047.679999999993</v>
      </c>
      <c r="I9" s="13"/>
      <c r="J9" s="16"/>
      <c r="L9" s="6">
        <v>0</v>
      </c>
      <c r="M9" s="1">
        <v>0</v>
      </c>
      <c r="O9" s="1">
        <v>0</v>
      </c>
      <c r="P9" s="1">
        <v>0</v>
      </c>
      <c r="R9" s="1">
        <v>40793</v>
      </c>
      <c r="S9" s="1">
        <v>0</v>
      </c>
      <c r="U9" s="1">
        <v>0</v>
      </c>
      <c r="V9" s="9">
        <v>0</v>
      </c>
    </row>
    <row r="10" spans="1:22">
      <c r="A10" s="1" t="s">
        <v>16</v>
      </c>
      <c r="B10" s="6">
        <v>0</v>
      </c>
      <c r="C10" s="1">
        <v>0</v>
      </c>
      <c r="D10" s="1">
        <v>0.22000000020489097</v>
      </c>
      <c r="E10" s="1">
        <v>0</v>
      </c>
      <c r="F10" s="1">
        <v>0</v>
      </c>
      <c r="G10" s="9">
        <f>SUM(CA_FINANCIAL)</f>
        <v>0.22000000020489097</v>
      </c>
      <c r="I10" s="13" t="s">
        <v>17</v>
      </c>
      <c r="J10" s="16">
        <v>32793096</v>
      </c>
      <c r="L10" s="6">
        <v>0</v>
      </c>
      <c r="M10" s="1">
        <v>0</v>
      </c>
      <c r="O10" s="1">
        <v>0</v>
      </c>
      <c r="P10" s="1">
        <v>0</v>
      </c>
      <c r="R10" s="1">
        <v>750000</v>
      </c>
      <c r="S10" s="1">
        <v>0</v>
      </c>
      <c r="U10" s="1">
        <v>0</v>
      </c>
      <c r="V10" s="9">
        <v>0</v>
      </c>
    </row>
    <row r="11" spans="1:22">
      <c r="A11" s="1" t="s">
        <v>18</v>
      </c>
      <c r="B11" s="6">
        <v>0</v>
      </c>
      <c r="C11" s="1">
        <v>0</v>
      </c>
      <c r="D11" s="1">
        <v>-0.25</v>
      </c>
      <c r="E11" s="1">
        <v>0</v>
      </c>
      <c r="F11" s="1">
        <v>0</v>
      </c>
      <c r="G11" s="9">
        <f>SUM(CO_FINANCIAL)</f>
        <v>-0.25</v>
      </c>
      <c r="I11" s="13"/>
      <c r="J11" s="16"/>
      <c r="L11" s="6">
        <v>151260</v>
      </c>
      <c r="M11" s="1">
        <v>0</v>
      </c>
      <c r="O11" s="1">
        <v>0</v>
      </c>
      <c r="P11" s="1">
        <v>0</v>
      </c>
      <c r="R11" s="1">
        <v>0</v>
      </c>
      <c r="S11" s="1">
        <v>0</v>
      </c>
      <c r="U11" s="1">
        <v>0</v>
      </c>
      <c r="V11" s="9">
        <v>0</v>
      </c>
    </row>
    <row r="12" spans="1:22">
      <c r="A12" s="1" t="s">
        <v>19</v>
      </c>
      <c r="B12" s="6">
        <v>0</v>
      </c>
      <c r="C12" s="1">
        <v>0</v>
      </c>
      <c r="D12" s="1">
        <v>0.36999999999534339</v>
      </c>
      <c r="E12" s="1">
        <v>0</v>
      </c>
      <c r="F12" s="1">
        <v>0</v>
      </c>
      <c r="G12" s="9">
        <f>SUM(CT_FINANCIAL)</f>
        <v>0.36999999999534339</v>
      </c>
      <c r="I12" s="13" t="s">
        <v>20</v>
      </c>
      <c r="J12" s="16"/>
      <c r="L12" s="6"/>
      <c r="V12" s="9"/>
    </row>
    <row r="13" spans="1:22">
      <c r="A13" s="1" t="s">
        <v>21</v>
      </c>
      <c r="B13" s="6">
        <v>0</v>
      </c>
      <c r="C13" s="1">
        <v>0</v>
      </c>
      <c r="D13" s="1">
        <v>4194.4700000000048</v>
      </c>
      <c r="E13" s="1">
        <v>0</v>
      </c>
      <c r="F13" s="1">
        <v>0</v>
      </c>
      <c r="G13" s="9">
        <f>SUM(DE_FINANCIAL)</f>
        <v>4194.4700000000048</v>
      </c>
      <c r="I13" s="13" t="s">
        <v>22</v>
      </c>
      <c r="J13" s="16">
        <v>31106273</v>
      </c>
      <c r="L13" s="6"/>
      <c r="V13" s="9"/>
    </row>
    <row r="14" spans="1:22">
      <c r="A14" s="1" t="s">
        <v>23</v>
      </c>
      <c r="B14" s="6">
        <v>0</v>
      </c>
      <c r="C14" s="1">
        <v>0</v>
      </c>
      <c r="D14" s="1">
        <v>-6.9999999999708962E-2</v>
      </c>
      <c r="E14" s="1">
        <v>0</v>
      </c>
      <c r="F14" s="1">
        <v>0</v>
      </c>
      <c r="G14" s="9">
        <f>SUM(DC_FINANCIAL)</f>
        <v>-6.9999999999708962E-2</v>
      </c>
      <c r="I14" s="13" t="s">
        <v>24</v>
      </c>
      <c r="J14" s="16">
        <v>4154399.7516146097</v>
      </c>
      <c r="L14" s="6"/>
      <c r="V14" s="9"/>
    </row>
    <row r="15" spans="1:22">
      <c r="A15" s="1" t="s">
        <v>25</v>
      </c>
      <c r="B15" s="6">
        <v>0</v>
      </c>
      <c r="C15" s="1">
        <v>0</v>
      </c>
      <c r="D15" s="1">
        <v>-8452.5500000007451</v>
      </c>
      <c r="E15" s="1">
        <v>0</v>
      </c>
      <c r="F15" s="1">
        <v>0</v>
      </c>
      <c r="G15" s="9">
        <f>SUM(FL_FINANCIAL)</f>
        <v>-8452.5500000007451</v>
      </c>
      <c r="I15" s="13" t="s">
        <v>26</v>
      </c>
      <c r="J15" s="16">
        <v>3092819.9983853903</v>
      </c>
      <c r="L15" s="6">
        <v>0</v>
      </c>
      <c r="M15" s="1">
        <v>0</v>
      </c>
      <c r="O15" s="1">
        <v>0</v>
      </c>
      <c r="P15" s="1">
        <v>0</v>
      </c>
      <c r="R15" s="1">
        <v>10000</v>
      </c>
      <c r="S15" s="1">
        <v>0</v>
      </c>
      <c r="U15" s="1">
        <v>0</v>
      </c>
      <c r="V15" s="9">
        <v>0</v>
      </c>
    </row>
    <row r="16" spans="1:22">
      <c r="A16" s="1" t="s">
        <v>27</v>
      </c>
      <c r="B16" s="6">
        <v>0</v>
      </c>
      <c r="C16" s="1">
        <v>0</v>
      </c>
      <c r="D16" s="1">
        <v>-2773.339999999851</v>
      </c>
      <c r="E16" s="1">
        <v>0</v>
      </c>
      <c r="F16" s="1">
        <v>0</v>
      </c>
      <c r="G16" s="9">
        <f>SUM(GA_FINANCIAL)</f>
        <v>-2773.339999999851</v>
      </c>
      <c r="I16" s="13" t="s">
        <v>28</v>
      </c>
      <c r="J16" s="16">
        <v>0</v>
      </c>
      <c r="L16" s="6"/>
      <c r="V16" s="9"/>
    </row>
    <row r="17" spans="1:22">
      <c r="A17" s="1" t="s">
        <v>29</v>
      </c>
      <c r="B17" s="6">
        <v>0</v>
      </c>
      <c r="C17" s="1">
        <v>0</v>
      </c>
      <c r="D17" s="1">
        <v>57.539999999993597</v>
      </c>
      <c r="E17" s="1">
        <v>0</v>
      </c>
      <c r="F17" s="1">
        <v>0</v>
      </c>
      <c r="G17" s="9">
        <f>SUM(HI_FINANCIAL)</f>
        <v>57.539999999993597</v>
      </c>
      <c r="I17" s="13"/>
      <c r="J17" s="16"/>
      <c r="L17" s="6"/>
      <c r="V17" s="9"/>
    </row>
    <row r="18" spans="1:22">
      <c r="A18" s="1" t="s">
        <v>30</v>
      </c>
      <c r="B18" s="6">
        <v>0</v>
      </c>
      <c r="C18" s="1">
        <v>0</v>
      </c>
      <c r="D18" s="1">
        <v>15632.169999999998</v>
      </c>
      <c r="E18" s="1">
        <v>0</v>
      </c>
      <c r="F18" s="1">
        <v>0</v>
      </c>
      <c r="G18" s="9">
        <f>SUM(ID_FINANCIAL)</f>
        <v>15632.169999999998</v>
      </c>
      <c r="I18" s="13" t="s">
        <v>31</v>
      </c>
      <c r="J18" s="16"/>
      <c r="L18" s="6">
        <v>0</v>
      </c>
      <c r="M18" s="1">
        <v>0</v>
      </c>
      <c r="O18" s="1">
        <v>0</v>
      </c>
      <c r="P18" s="1">
        <v>0</v>
      </c>
      <c r="R18" s="1">
        <v>50000</v>
      </c>
      <c r="S18" s="1">
        <v>0</v>
      </c>
      <c r="U18" s="1">
        <v>0</v>
      </c>
      <c r="V18" s="9">
        <v>0</v>
      </c>
    </row>
    <row r="19" spans="1:22">
      <c r="A19" s="1" t="s">
        <v>32</v>
      </c>
      <c r="B19" s="6">
        <v>0</v>
      </c>
      <c r="C19" s="1">
        <v>0</v>
      </c>
      <c r="D19" s="1">
        <v>22379.099999999977</v>
      </c>
      <c r="E19" s="1">
        <v>0</v>
      </c>
      <c r="F19" s="1">
        <v>0</v>
      </c>
      <c r="G19" s="9">
        <f>SUM(IL_FINANCIAL)</f>
        <v>22379.099999999977</v>
      </c>
      <c r="I19" s="13" t="s">
        <v>33</v>
      </c>
      <c r="J19" s="16">
        <v>0</v>
      </c>
      <c r="L19" s="6">
        <v>0</v>
      </c>
      <c r="M19" s="1">
        <v>0</v>
      </c>
      <c r="O19" s="1">
        <v>0</v>
      </c>
      <c r="P19" s="1">
        <v>0</v>
      </c>
      <c r="R19" s="1">
        <v>370000</v>
      </c>
      <c r="S19" s="1">
        <v>0</v>
      </c>
      <c r="U19" s="1">
        <v>0</v>
      </c>
      <c r="V19" s="9">
        <v>0</v>
      </c>
    </row>
    <row r="20" spans="1:22">
      <c r="A20" s="1" t="s">
        <v>34</v>
      </c>
      <c r="B20" s="6">
        <v>0</v>
      </c>
      <c r="C20" s="1">
        <v>0</v>
      </c>
      <c r="D20" s="1">
        <v>-14961.593999999925</v>
      </c>
      <c r="E20" s="1">
        <v>0</v>
      </c>
      <c r="F20" s="1">
        <v>0</v>
      </c>
      <c r="G20" s="9">
        <f>SUM(IN_FINANCIAL)</f>
        <v>-14961.593999999925</v>
      </c>
      <c r="I20" s="13" t="s">
        <v>35</v>
      </c>
      <c r="J20" s="16">
        <v>31106273</v>
      </c>
      <c r="L20" s="6"/>
      <c r="V20" s="9"/>
    </row>
    <row r="21" spans="1:22">
      <c r="A21" s="1" t="s">
        <v>36</v>
      </c>
      <c r="B21" s="6">
        <v>0</v>
      </c>
      <c r="C21" s="1">
        <v>0</v>
      </c>
      <c r="D21" s="1">
        <v>0.27000000000043656</v>
      </c>
      <c r="E21" s="1">
        <v>0</v>
      </c>
      <c r="F21" s="1">
        <v>0</v>
      </c>
      <c r="G21" s="9">
        <f>SUM(IA_FINANCIAL)</f>
        <v>0.27000000000043656</v>
      </c>
      <c r="I21" s="13" t="s">
        <v>37</v>
      </c>
      <c r="J21" s="16"/>
      <c r="L21" s="6"/>
      <c r="V21" s="9"/>
    </row>
    <row r="22" spans="1:22">
      <c r="A22" s="1" t="s">
        <v>38</v>
      </c>
      <c r="B22" s="6">
        <v>0</v>
      </c>
      <c r="C22" s="1">
        <v>0</v>
      </c>
      <c r="D22" s="1">
        <v>-22.570000000006985</v>
      </c>
      <c r="E22" s="1">
        <v>0</v>
      </c>
      <c r="F22" s="1">
        <v>0</v>
      </c>
      <c r="G22" s="9">
        <f>SUM(KS_FINANCIAL)</f>
        <v>-22.570000000006985</v>
      </c>
      <c r="I22" s="13" t="s">
        <v>39</v>
      </c>
      <c r="J22" s="16">
        <v>0</v>
      </c>
      <c r="L22" s="6"/>
      <c r="V22" s="9"/>
    </row>
    <row r="23" spans="1:22">
      <c r="A23" s="1" t="s">
        <v>40</v>
      </c>
      <c r="B23" s="6">
        <v>0</v>
      </c>
      <c r="C23" s="1">
        <v>0</v>
      </c>
      <c r="D23" s="1">
        <v>-16517.429999999993</v>
      </c>
      <c r="E23" s="1">
        <v>0</v>
      </c>
      <c r="F23" s="1">
        <v>0</v>
      </c>
      <c r="G23" s="9">
        <f>SUM(KY_FINANCIAL)</f>
        <v>-16517.429999999993</v>
      </c>
      <c r="I23" s="13" t="s">
        <v>41</v>
      </c>
      <c r="J23" s="16"/>
      <c r="L23" s="6"/>
      <c r="V23" s="9"/>
    </row>
    <row r="24" spans="1:22">
      <c r="A24" s="1" t="s">
        <v>42</v>
      </c>
      <c r="B24" s="6">
        <v>0</v>
      </c>
      <c r="C24" s="1">
        <v>0</v>
      </c>
      <c r="D24" s="1">
        <v>-0.84000000008381903</v>
      </c>
      <c r="E24" s="1">
        <v>0</v>
      </c>
      <c r="F24" s="1">
        <v>0</v>
      </c>
      <c r="G24" s="9">
        <f>SUM(LA_FINANCIAL)</f>
        <v>-0.84000000008381903</v>
      </c>
      <c r="I24" s="13" t="s">
        <v>43</v>
      </c>
      <c r="J24" s="16">
        <v>39527419.713999994</v>
      </c>
      <c r="L24" s="6">
        <v>0</v>
      </c>
      <c r="M24" s="1">
        <v>0</v>
      </c>
      <c r="O24" s="1">
        <v>0</v>
      </c>
      <c r="P24" s="1">
        <v>0</v>
      </c>
      <c r="R24" s="1">
        <v>180000</v>
      </c>
      <c r="S24" s="1">
        <v>0</v>
      </c>
      <c r="U24" s="1">
        <v>0</v>
      </c>
      <c r="V24" s="9">
        <v>0</v>
      </c>
    </row>
    <row r="25" spans="1:22">
      <c r="A25" s="1" t="s">
        <v>44</v>
      </c>
      <c r="B25" s="6">
        <v>0</v>
      </c>
      <c r="C25" s="1">
        <v>0</v>
      </c>
      <c r="D25" s="1">
        <v>-1694</v>
      </c>
      <c r="E25" s="1">
        <v>0</v>
      </c>
      <c r="F25" s="1">
        <v>0</v>
      </c>
      <c r="G25" s="9">
        <f>SUM(ME_FINANCIAL)</f>
        <v>-1694</v>
      </c>
      <c r="I25" s="13"/>
      <c r="J25" s="16"/>
      <c r="L25" s="6"/>
      <c r="V25" s="9"/>
    </row>
    <row r="26" spans="1:22">
      <c r="A26" s="1" t="s">
        <v>45</v>
      </c>
      <c r="B26" s="6">
        <v>0</v>
      </c>
      <c r="C26" s="1">
        <v>0</v>
      </c>
      <c r="D26" s="1">
        <v>0.31999999997788109</v>
      </c>
      <c r="E26" s="1">
        <v>0</v>
      </c>
      <c r="F26" s="1">
        <v>0</v>
      </c>
      <c r="G26" s="9">
        <f>SUM(MD_FINANCIAL)</f>
        <v>0.31999999997788109</v>
      </c>
      <c r="I26" s="13" t="s">
        <v>46</v>
      </c>
      <c r="J26" s="16">
        <f>SUM(ADD_FINANCIAL)-SUM(LESS_FINANCIAL)</f>
        <v>512896.03600001335</v>
      </c>
      <c r="L26" s="6"/>
      <c r="V26" s="9"/>
    </row>
    <row r="27" spans="1:22">
      <c r="A27" s="1" t="s">
        <v>47</v>
      </c>
      <c r="B27" s="6">
        <v>0</v>
      </c>
      <c r="C27" s="1">
        <v>0</v>
      </c>
      <c r="D27" s="1">
        <v>41152.960000000021</v>
      </c>
      <c r="E27" s="1">
        <v>0</v>
      </c>
      <c r="F27" s="1">
        <v>0</v>
      </c>
      <c r="G27" s="9">
        <f>SUM(MA_FINANCIAL)</f>
        <v>41152.960000000021</v>
      </c>
      <c r="I27" s="13" t="s">
        <v>48</v>
      </c>
      <c r="J27" s="16">
        <f>SUM(ALL_BLOCKS)</f>
        <v>512896.03600000095</v>
      </c>
      <c r="L27" s="6"/>
      <c r="V27" s="9"/>
    </row>
    <row r="28" spans="1:22">
      <c r="A28" s="1" t="s">
        <v>49</v>
      </c>
      <c r="B28" s="6">
        <v>0</v>
      </c>
      <c r="C28" s="1">
        <v>0</v>
      </c>
      <c r="D28" s="1">
        <v>-54773.749999999767</v>
      </c>
      <c r="E28" s="1">
        <v>0</v>
      </c>
      <c r="F28" s="1">
        <v>0</v>
      </c>
      <c r="G28" s="9">
        <f>SUM(MI_FINANCIAL)</f>
        <v>-54773.749999999767</v>
      </c>
      <c r="I28" s="14"/>
      <c r="J28" s="17"/>
      <c r="L28" s="6"/>
      <c r="V28" s="9"/>
    </row>
    <row r="29" spans="1:22">
      <c r="A29" s="1" t="s">
        <v>50</v>
      </c>
      <c r="B29" s="6">
        <v>0</v>
      </c>
      <c r="C29" s="1">
        <v>0</v>
      </c>
      <c r="D29" s="1">
        <v>-302.47000000003027</v>
      </c>
      <c r="E29" s="1">
        <v>0</v>
      </c>
      <c r="F29" s="1">
        <v>0</v>
      </c>
      <c r="G29" s="9">
        <f>SUM(MN_FINANCIAL)</f>
        <v>-302.47000000003027</v>
      </c>
      <c r="L29" s="6"/>
      <c r="V29" s="9"/>
    </row>
    <row r="30" spans="1:22">
      <c r="A30" s="1" t="s">
        <v>51</v>
      </c>
      <c r="B30" s="6">
        <v>0</v>
      </c>
      <c r="C30" s="1">
        <v>0</v>
      </c>
      <c r="D30" s="1">
        <v>0.76000000000931323</v>
      </c>
      <c r="E30" s="1">
        <v>0</v>
      </c>
      <c r="F30" s="1">
        <v>0</v>
      </c>
      <c r="G30" s="9">
        <f>SUM(MS_FINANCIAL)</f>
        <v>0.76000000000931323</v>
      </c>
      <c r="L30" s="6"/>
      <c r="V30" s="9"/>
    </row>
    <row r="31" spans="1:22">
      <c r="A31" s="1" t="s">
        <v>52</v>
      </c>
      <c r="B31" s="6">
        <v>0</v>
      </c>
      <c r="C31" s="1">
        <v>0</v>
      </c>
      <c r="D31" s="1">
        <v>0.29999999998835847</v>
      </c>
      <c r="E31" s="1">
        <v>0</v>
      </c>
      <c r="F31" s="1">
        <v>0</v>
      </c>
      <c r="G31" s="9">
        <f>SUM(MO_FINANCIAL)</f>
        <v>0.29999999998835847</v>
      </c>
      <c r="L31" s="6"/>
      <c r="V31" s="9"/>
    </row>
    <row r="32" spans="1:22">
      <c r="A32" s="1" t="s">
        <v>53</v>
      </c>
      <c r="B32" s="6">
        <v>0</v>
      </c>
      <c r="C32" s="1">
        <v>0</v>
      </c>
      <c r="D32" s="1">
        <v>12519.82</v>
      </c>
      <c r="E32" s="1">
        <v>0</v>
      </c>
      <c r="F32" s="1">
        <v>0</v>
      </c>
      <c r="G32" s="9">
        <f>SUM(MT_FINANCIAL)</f>
        <v>12519.82</v>
      </c>
      <c r="L32" s="6"/>
      <c r="V32" s="9"/>
    </row>
    <row r="33" spans="1:22">
      <c r="A33" s="1" t="s">
        <v>54</v>
      </c>
      <c r="B33" s="6">
        <v>0</v>
      </c>
      <c r="C33" s="1">
        <v>0</v>
      </c>
      <c r="D33" s="1">
        <v>7063.6299999999974</v>
      </c>
      <c r="E33" s="1">
        <v>0</v>
      </c>
      <c r="F33" s="1">
        <v>0</v>
      </c>
      <c r="G33" s="9">
        <f>SUM(NE_FINANCIAL)</f>
        <v>7063.6299999999974</v>
      </c>
      <c r="L33" s="6"/>
      <c r="V33" s="9"/>
    </row>
    <row r="34" spans="1:22">
      <c r="A34" s="1" t="s">
        <v>55</v>
      </c>
      <c r="B34" s="6">
        <v>0</v>
      </c>
      <c r="C34" s="1">
        <v>0</v>
      </c>
      <c r="D34" s="1">
        <v>-9.9999999802093953E-3</v>
      </c>
      <c r="E34" s="1">
        <v>0</v>
      </c>
      <c r="F34" s="1">
        <v>0</v>
      </c>
      <c r="G34" s="9">
        <f>SUM(NV_FINANCIAL)</f>
        <v>-9.9999999802093953E-3</v>
      </c>
      <c r="L34" s="6"/>
      <c r="V34" s="9"/>
    </row>
    <row r="35" spans="1:22">
      <c r="A35" s="1" t="s">
        <v>56</v>
      </c>
      <c r="B35" s="6">
        <v>0</v>
      </c>
      <c r="C35" s="1">
        <v>0</v>
      </c>
      <c r="D35" s="1">
        <v>90841.790000000008</v>
      </c>
      <c r="E35" s="1">
        <v>0</v>
      </c>
      <c r="F35" s="1">
        <v>0</v>
      </c>
      <c r="G35" s="9">
        <f>SUM(NH_FINANCIAL)</f>
        <v>90841.790000000008</v>
      </c>
      <c r="L35" s="6"/>
      <c r="V35" s="9"/>
    </row>
    <row r="36" spans="1:22">
      <c r="A36" s="1" t="s">
        <v>57</v>
      </c>
      <c r="B36" s="6">
        <v>0</v>
      </c>
      <c r="C36" s="1">
        <v>0</v>
      </c>
      <c r="D36" s="1">
        <v>-254.79000000000087</v>
      </c>
      <c r="E36" s="1">
        <v>0</v>
      </c>
      <c r="F36" s="1">
        <v>0</v>
      </c>
      <c r="G36" s="9">
        <f>SUM(NJ_FINANCIAL)</f>
        <v>-254.79000000000087</v>
      </c>
      <c r="L36" s="6"/>
      <c r="V36" s="9"/>
    </row>
    <row r="37" spans="1:22">
      <c r="A37" s="1" t="s">
        <v>58</v>
      </c>
      <c r="B37" s="6">
        <v>0</v>
      </c>
      <c r="C37" s="1">
        <v>0</v>
      </c>
      <c r="D37" s="1">
        <v>14380.589999999997</v>
      </c>
      <c r="E37" s="1">
        <v>0</v>
      </c>
      <c r="F37" s="1">
        <v>0</v>
      </c>
      <c r="G37" s="9">
        <f>SUM(NM_FINANCIAL)</f>
        <v>14380.589999999997</v>
      </c>
      <c r="L37" s="6">
        <v>0</v>
      </c>
      <c r="M37" s="1">
        <v>0</v>
      </c>
      <c r="O37" s="1">
        <v>0</v>
      </c>
      <c r="P37" s="1">
        <v>0</v>
      </c>
      <c r="R37" s="1">
        <v>99809</v>
      </c>
      <c r="S37" s="1">
        <v>0</v>
      </c>
      <c r="U37" s="1">
        <v>0</v>
      </c>
      <c r="V37" s="9">
        <v>0</v>
      </c>
    </row>
    <row r="38" spans="1:22">
      <c r="A38" s="1" t="s">
        <v>59</v>
      </c>
      <c r="B38" s="6">
        <v>0</v>
      </c>
      <c r="C38" s="1">
        <v>0</v>
      </c>
      <c r="D38" s="1">
        <v>0</v>
      </c>
      <c r="E38" s="1">
        <v>0</v>
      </c>
      <c r="F38" s="1">
        <v>0</v>
      </c>
      <c r="G38" s="9">
        <f>SUM(NY_FINANCIAL)</f>
        <v>0</v>
      </c>
      <c r="L38" s="6"/>
      <c r="V38" s="9"/>
    </row>
    <row r="39" spans="1:22">
      <c r="A39" s="1" t="s">
        <v>60</v>
      </c>
      <c r="B39" s="6">
        <v>0</v>
      </c>
      <c r="C39" s="1">
        <v>0</v>
      </c>
      <c r="D39" s="1">
        <v>-1190.3199999998324</v>
      </c>
      <c r="E39" s="1">
        <v>0</v>
      </c>
      <c r="F39" s="1">
        <v>0</v>
      </c>
      <c r="G39" s="9">
        <f>SUM(NC_FINANCIAL)</f>
        <v>-1190.3199999998324</v>
      </c>
      <c r="L39" s="6">
        <v>0</v>
      </c>
      <c r="M39" s="1">
        <v>0</v>
      </c>
      <c r="O39" s="1">
        <v>0</v>
      </c>
      <c r="P39" s="1">
        <v>0</v>
      </c>
      <c r="R39" s="1">
        <v>1200000</v>
      </c>
      <c r="S39" s="1">
        <v>900000</v>
      </c>
      <c r="U39" s="1">
        <v>0</v>
      </c>
      <c r="V39" s="9">
        <v>0</v>
      </c>
    </row>
    <row r="40" spans="1:22">
      <c r="A40" s="1" t="s">
        <v>61</v>
      </c>
      <c r="B40" s="6">
        <v>0</v>
      </c>
      <c r="C40" s="1">
        <v>0</v>
      </c>
      <c r="D40" s="1">
        <v>0.46000000000003638</v>
      </c>
      <c r="E40" s="1">
        <v>0</v>
      </c>
      <c r="F40" s="1">
        <v>0</v>
      </c>
      <c r="G40" s="9">
        <f>SUM(ND_FINANCIAL)</f>
        <v>0.46000000000003638</v>
      </c>
      <c r="L40" s="6"/>
      <c r="V40" s="9"/>
    </row>
    <row r="41" spans="1:22">
      <c r="A41" s="1" t="s">
        <v>62</v>
      </c>
      <c r="B41" s="6">
        <v>0</v>
      </c>
      <c r="C41" s="1">
        <v>0</v>
      </c>
      <c r="D41" s="1">
        <v>3.0000000027939677E-2</v>
      </c>
      <c r="E41" s="1">
        <v>0</v>
      </c>
      <c r="F41" s="1">
        <v>0</v>
      </c>
      <c r="G41" s="9">
        <f>SUM(OH_FINANCIAL)</f>
        <v>3.0000000027939677E-2</v>
      </c>
      <c r="L41" s="6"/>
      <c r="V41" s="9"/>
    </row>
    <row r="42" spans="1:22">
      <c r="A42" s="1" t="s">
        <v>63</v>
      </c>
      <c r="B42" s="6">
        <v>0</v>
      </c>
      <c r="C42" s="1">
        <v>0</v>
      </c>
      <c r="D42" s="1">
        <v>16044.590000000084</v>
      </c>
      <c r="E42" s="1">
        <v>0</v>
      </c>
      <c r="F42" s="1">
        <v>0</v>
      </c>
      <c r="G42" s="9">
        <f>SUM(OK_FINANCIAL)</f>
        <v>16044.590000000084</v>
      </c>
      <c r="L42" s="6">
        <v>0</v>
      </c>
      <c r="M42" s="1">
        <v>0</v>
      </c>
      <c r="O42" s="1">
        <v>0</v>
      </c>
      <c r="P42" s="1">
        <v>0</v>
      </c>
      <c r="R42" s="1">
        <v>200000</v>
      </c>
      <c r="S42" s="1">
        <v>100000</v>
      </c>
      <c r="U42" s="1">
        <v>0</v>
      </c>
      <c r="V42" s="9">
        <v>0</v>
      </c>
    </row>
    <row r="43" spans="1:22">
      <c r="A43" s="1" t="s">
        <v>64</v>
      </c>
      <c r="B43" s="6">
        <v>0</v>
      </c>
      <c r="C43" s="1">
        <v>0</v>
      </c>
      <c r="D43" s="1">
        <v>11732.589999999997</v>
      </c>
      <c r="E43" s="1">
        <v>0</v>
      </c>
      <c r="F43" s="1">
        <v>0</v>
      </c>
      <c r="G43" s="9">
        <f>SUM(OR_FINANCIAL)</f>
        <v>11732.589999999997</v>
      </c>
      <c r="L43" s="6"/>
      <c r="V43" s="9"/>
    </row>
    <row r="44" spans="1:22">
      <c r="A44" s="1" t="s">
        <v>65</v>
      </c>
      <c r="B44" s="6">
        <v>0</v>
      </c>
      <c r="C44" s="1">
        <v>0</v>
      </c>
      <c r="D44" s="1">
        <v>-261.04999999993015</v>
      </c>
      <c r="E44" s="1">
        <v>0</v>
      </c>
      <c r="F44" s="1">
        <v>0</v>
      </c>
      <c r="G44" s="9">
        <f>SUM(PA_FINANCIAL)</f>
        <v>-261.04999999993015</v>
      </c>
      <c r="L44" s="6"/>
      <c r="V44" s="9"/>
    </row>
    <row r="45" spans="1:22">
      <c r="A45" s="1" t="s">
        <v>66</v>
      </c>
      <c r="B45" s="6">
        <v>0</v>
      </c>
      <c r="C45" s="1">
        <v>0</v>
      </c>
      <c r="D45" s="1">
        <v>0</v>
      </c>
      <c r="E45" s="1">
        <v>0</v>
      </c>
      <c r="F45" s="1">
        <v>0</v>
      </c>
      <c r="G45" s="9">
        <f>SUM(PR_FINANCIAL)</f>
        <v>0</v>
      </c>
      <c r="L45" s="6"/>
      <c r="V45" s="9"/>
    </row>
    <row r="46" spans="1:22">
      <c r="A46" s="1" t="s">
        <v>67</v>
      </c>
      <c r="B46" s="6">
        <v>0</v>
      </c>
      <c r="C46" s="1">
        <v>0</v>
      </c>
      <c r="D46" s="1">
        <v>-1805.5</v>
      </c>
      <c r="E46" s="1">
        <v>0</v>
      </c>
      <c r="F46" s="1">
        <v>0</v>
      </c>
      <c r="G46" s="9">
        <f>SUM(RI_FINANCIAL)</f>
        <v>-1805.5</v>
      </c>
      <c r="L46" s="6">
        <v>0</v>
      </c>
      <c r="M46" s="1">
        <v>0</v>
      </c>
      <c r="O46" s="1">
        <v>0</v>
      </c>
      <c r="P46" s="1">
        <v>0</v>
      </c>
      <c r="R46" s="1">
        <v>410000</v>
      </c>
      <c r="S46" s="1">
        <v>0</v>
      </c>
      <c r="U46" s="1">
        <v>0</v>
      </c>
      <c r="V46" s="9">
        <v>0</v>
      </c>
    </row>
    <row r="47" spans="1:22">
      <c r="A47" s="1" t="s">
        <v>68</v>
      </c>
      <c r="B47" s="6">
        <v>0</v>
      </c>
      <c r="C47" s="1">
        <v>0</v>
      </c>
      <c r="D47" s="1">
        <v>-2758.1400000001304</v>
      </c>
      <c r="E47" s="1">
        <v>0</v>
      </c>
      <c r="F47" s="1">
        <v>0</v>
      </c>
      <c r="G47" s="9">
        <f>SUM(SC_FINANCIAL)</f>
        <v>-2758.1400000001304</v>
      </c>
      <c r="L47" s="6">
        <v>0</v>
      </c>
      <c r="M47" s="1">
        <v>0</v>
      </c>
      <c r="O47" s="1">
        <v>0</v>
      </c>
      <c r="P47" s="1">
        <v>0</v>
      </c>
      <c r="R47" s="1">
        <v>900000</v>
      </c>
      <c r="S47" s="1">
        <v>0</v>
      </c>
      <c r="U47" s="1">
        <v>0</v>
      </c>
      <c r="V47" s="9">
        <v>0</v>
      </c>
    </row>
    <row r="48" spans="1:22">
      <c r="A48" s="1" t="s">
        <v>69</v>
      </c>
      <c r="B48" s="6">
        <v>0</v>
      </c>
      <c r="C48" s="1">
        <v>0</v>
      </c>
      <c r="D48" s="1">
        <v>0.56999999999970896</v>
      </c>
      <c r="E48" s="1">
        <v>0</v>
      </c>
      <c r="F48" s="1">
        <v>0</v>
      </c>
      <c r="G48" s="9">
        <f>SUM(SD_FINANCIAL)</f>
        <v>0.56999999999970896</v>
      </c>
      <c r="L48" s="6"/>
      <c r="V48" s="9"/>
    </row>
    <row r="49" spans="1:22">
      <c r="A49" s="1" t="s">
        <v>70</v>
      </c>
      <c r="B49" s="6">
        <v>0</v>
      </c>
      <c r="C49" s="1">
        <v>0</v>
      </c>
      <c r="D49" s="1">
        <v>0.23000000009778887</v>
      </c>
      <c r="E49" s="1">
        <v>0</v>
      </c>
      <c r="F49" s="1">
        <v>0</v>
      </c>
      <c r="G49" s="9">
        <f>SUM(TN_FINANCIAL)</f>
        <v>0.23000000009778887</v>
      </c>
      <c r="L49" s="6">
        <v>0</v>
      </c>
      <c r="M49" s="1">
        <v>0</v>
      </c>
      <c r="O49" s="1">
        <v>0</v>
      </c>
      <c r="P49" s="1">
        <v>0</v>
      </c>
      <c r="R49" s="1">
        <v>250000</v>
      </c>
      <c r="S49" s="1">
        <v>0</v>
      </c>
      <c r="U49" s="1">
        <v>0</v>
      </c>
      <c r="V49" s="9">
        <v>0</v>
      </c>
    </row>
    <row r="50" spans="1:22">
      <c r="A50" s="1" t="s">
        <v>71</v>
      </c>
      <c r="B50" s="6">
        <v>0</v>
      </c>
      <c r="C50" s="1">
        <v>0</v>
      </c>
      <c r="D50" s="1">
        <v>-1698.1999999992549</v>
      </c>
      <c r="E50" s="1">
        <v>0</v>
      </c>
      <c r="F50" s="1">
        <v>0</v>
      </c>
      <c r="G50" s="9">
        <f>SUM(TX_FINANCIAL)</f>
        <v>-1698.1999999992549</v>
      </c>
      <c r="L50" s="6">
        <v>0</v>
      </c>
      <c r="M50" s="1">
        <v>0</v>
      </c>
      <c r="O50" s="1">
        <v>0</v>
      </c>
      <c r="P50" s="1">
        <v>0</v>
      </c>
      <c r="R50" s="1">
        <v>2000085</v>
      </c>
      <c r="S50" s="1">
        <v>0</v>
      </c>
      <c r="U50" s="1">
        <v>0</v>
      </c>
      <c r="V50" s="9">
        <v>0</v>
      </c>
    </row>
    <row r="51" spans="1:22">
      <c r="A51" s="1" t="s">
        <v>72</v>
      </c>
      <c r="B51" s="6">
        <v>0</v>
      </c>
      <c r="C51" s="1">
        <v>0</v>
      </c>
      <c r="D51" s="1">
        <v>3.0000000013387762E-2</v>
      </c>
      <c r="E51" s="1">
        <v>0</v>
      </c>
      <c r="F51" s="1">
        <v>0</v>
      </c>
      <c r="G51" s="9">
        <f>SUM(UT_FINANCIAL)</f>
        <v>3.0000000013387762E-2</v>
      </c>
      <c r="L51" s="6"/>
      <c r="V51" s="9"/>
    </row>
    <row r="52" spans="1:22">
      <c r="A52" s="1" t="s">
        <v>73</v>
      </c>
      <c r="B52" s="6">
        <v>0</v>
      </c>
      <c r="C52" s="1">
        <v>0</v>
      </c>
      <c r="D52" s="1">
        <v>-2037.7100000000064</v>
      </c>
      <c r="E52" s="1">
        <v>0</v>
      </c>
      <c r="F52" s="1">
        <v>0</v>
      </c>
      <c r="G52" s="9">
        <f>SUM(VT_FINANCIAL)</f>
        <v>-2037.7100000000064</v>
      </c>
      <c r="L52" s="6"/>
      <c r="V52" s="9"/>
    </row>
    <row r="53" spans="1:22">
      <c r="A53" s="1" t="s">
        <v>74</v>
      </c>
      <c r="B53" s="6">
        <v>0</v>
      </c>
      <c r="C53" s="1">
        <v>0</v>
      </c>
      <c r="D53" s="1">
        <v>57683.090000000084</v>
      </c>
      <c r="E53" s="1">
        <v>0</v>
      </c>
      <c r="F53" s="1">
        <v>0</v>
      </c>
      <c r="G53" s="9">
        <f>SUM(VA_FINANCIAL)</f>
        <v>57683.090000000084</v>
      </c>
      <c r="L53" s="6"/>
      <c r="V53" s="9"/>
    </row>
    <row r="54" spans="1:22">
      <c r="A54" s="1" t="s">
        <v>75</v>
      </c>
      <c r="B54" s="6">
        <v>0</v>
      </c>
      <c r="C54" s="1">
        <v>0</v>
      </c>
      <c r="D54" s="1">
        <v>-18824.189999999944</v>
      </c>
      <c r="E54" s="1">
        <v>0</v>
      </c>
      <c r="F54" s="1">
        <v>0</v>
      </c>
      <c r="G54" s="9">
        <f>SUM(WA_FINANCIAL)</f>
        <v>-18824.189999999944</v>
      </c>
      <c r="L54" s="6"/>
      <c r="V54" s="9"/>
    </row>
    <row r="55" spans="1:22">
      <c r="A55" s="1" t="s">
        <v>76</v>
      </c>
      <c r="B55" s="6">
        <v>0</v>
      </c>
      <c r="C55" s="1">
        <v>0</v>
      </c>
      <c r="D55" s="1">
        <v>-26.549999999988358</v>
      </c>
      <c r="E55" s="1">
        <v>0</v>
      </c>
      <c r="F55" s="1">
        <v>0</v>
      </c>
      <c r="G55" s="9">
        <f>SUM(WV_FINANCIAL)</f>
        <v>-26.549999999988358</v>
      </c>
      <c r="L55" s="6"/>
      <c r="V55" s="9"/>
    </row>
    <row r="56" spans="1:22">
      <c r="A56" s="1" t="s">
        <v>77</v>
      </c>
      <c r="B56" s="6">
        <v>0</v>
      </c>
      <c r="C56" s="1">
        <v>0</v>
      </c>
      <c r="D56" s="1">
        <v>13117.529999999999</v>
      </c>
      <c r="E56" s="1">
        <v>0</v>
      </c>
      <c r="F56" s="1">
        <v>0</v>
      </c>
      <c r="G56" s="9">
        <f>SUM(WI_FINANCIAL)</f>
        <v>13117.529999999999</v>
      </c>
      <c r="L56" s="6"/>
      <c r="V56" s="9"/>
    </row>
    <row r="57" spans="1:22">
      <c r="A57" s="1" t="s">
        <v>78</v>
      </c>
      <c r="B57" s="6">
        <v>0</v>
      </c>
      <c r="C57" s="1">
        <v>0</v>
      </c>
      <c r="D57" s="1">
        <v>-74.549999999999272</v>
      </c>
      <c r="E57" s="1">
        <v>0</v>
      </c>
      <c r="F57" s="1">
        <v>0</v>
      </c>
      <c r="G57" s="9">
        <f>SUM(WY_FINANCIAL)</f>
        <v>-74.549999999999272</v>
      </c>
      <c r="L57" s="6"/>
      <c r="V57" s="9"/>
    </row>
    <row r="58" spans="1:22">
      <c r="A58" s="1" t="s">
        <v>79</v>
      </c>
      <c r="B58" s="6">
        <v>0</v>
      </c>
      <c r="C58" s="1">
        <v>0</v>
      </c>
      <c r="D58" s="1">
        <v>0</v>
      </c>
      <c r="E58" s="1">
        <v>0</v>
      </c>
      <c r="F58" s="1">
        <v>0</v>
      </c>
      <c r="G58" s="9">
        <f>SUM(OT_FINANCIAL)</f>
        <v>0</v>
      </c>
      <c r="L58" s="6"/>
      <c r="V58" s="9"/>
    </row>
    <row r="59" spans="1:22">
      <c r="B59" s="6"/>
      <c r="G59" s="9"/>
      <c r="L59" s="6"/>
      <c r="V59" s="9"/>
    </row>
    <row r="60" spans="1:22">
      <c r="A60" s="1" t="s">
        <v>8</v>
      </c>
      <c r="B60" s="6">
        <f>SUM(LIFE)</f>
        <v>0</v>
      </c>
      <c r="C60" s="1">
        <f>SUM(ALLOCATED)</f>
        <v>0</v>
      </c>
      <c r="D60" s="1">
        <f>SUM(HEALTH)</f>
        <v>512896.03600000095</v>
      </c>
      <c r="E60" s="1">
        <f>SUM(UNALLOCATED)</f>
        <v>0</v>
      </c>
      <c r="F60" s="1">
        <f>SUM(LTC)</f>
        <v>0</v>
      </c>
      <c r="G60" s="9">
        <f>SUM(ALL_BLOCKS)</f>
        <v>512896.03600000095</v>
      </c>
      <c r="L60" s="6">
        <f>SUM(LIFE_CALLED)</f>
        <v>151260</v>
      </c>
      <c r="M60" s="1">
        <f>SUM(LIFE_REFUNDED)</f>
        <v>0</v>
      </c>
      <c r="O60" s="1">
        <f>SUM(ALLOC_CALLED)</f>
        <v>0</v>
      </c>
      <c r="P60" s="1">
        <f>SUM(ALLOC_REFUNDED)</f>
        <v>0</v>
      </c>
      <c r="R60" s="1">
        <f>SUM(HEALTH_CALLED)</f>
        <v>6480687</v>
      </c>
      <c r="S60" s="1">
        <f>SUM(HEALTH_REFUNDED)</f>
        <v>1000000</v>
      </c>
      <c r="U60" s="1">
        <f>SUM(UNALLOC_CALLED)</f>
        <v>0</v>
      </c>
      <c r="V60" s="9">
        <f>SUM(UNALLOC_REFUNDED)</f>
        <v>0</v>
      </c>
    </row>
    <row r="61" spans="1:22" ht="5.0999999999999996" customHeight="1">
      <c r="B61" s="6"/>
      <c r="G61" s="9"/>
      <c r="L61" s="6"/>
      <c r="V61" s="9"/>
    </row>
    <row r="62" spans="1:22">
      <c r="B62" s="6"/>
      <c r="G62" s="9"/>
      <c r="L62" s="78" t="s">
        <v>80</v>
      </c>
      <c r="M62" s="79"/>
      <c r="N62" s="79"/>
      <c r="O62" s="79"/>
      <c r="P62" s="79"/>
      <c r="Q62" s="79"/>
      <c r="R62" s="79"/>
      <c r="S62" s="79"/>
      <c r="T62" s="79"/>
      <c r="U62" s="79"/>
      <c r="V62" s="80"/>
    </row>
    <row r="63" spans="1:22">
      <c r="B63" s="6"/>
      <c r="G63" s="9"/>
      <c r="L63" s="81"/>
      <c r="M63" s="79"/>
      <c r="N63" s="79"/>
      <c r="O63" s="79"/>
      <c r="P63" s="79"/>
      <c r="Q63" s="79"/>
      <c r="R63" s="79"/>
      <c r="S63" s="79"/>
      <c r="T63" s="79"/>
      <c r="U63" s="79"/>
      <c r="V63" s="80"/>
    </row>
    <row r="64" spans="1:22">
      <c r="B64" s="8"/>
      <c r="C64" s="5"/>
      <c r="D64" s="5"/>
      <c r="E64" s="5"/>
      <c r="F64" s="5"/>
      <c r="G64" s="11"/>
      <c r="L64" s="82"/>
      <c r="M64" s="83"/>
      <c r="N64" s="83"/>
      <c r="O64" s="83"/>
      <c r="P64" s="83"/>
      <c r="Q64" s="83"/>
      <c r="R64" s="83"/>
      <c r="S64" s="83"/>
      <c r="T64" s="83"/>
      <c r="U64" s="83"/>
      <c r="V64" s="84"/>
    </row>
  </sheetData>
  <mergeCells count="8">
    <mergeCell ref="L62:V64"/>
    <mergeCell ref="A1:G1"/>
    <mergeCell ref="B3:G3"/>
    <mergeCell ref="L3:V3"/>
    <mergeCell ref="L4:M4"/>
    <mergeCell ref="O4:P4"/>
    <mergeCell ref="R4:S4"/>
    <mergeCell ref="U4:V4"/>
  </mergeCells>
  <pageMargins left="0" right="0" top="0" bottom="0" header="0" footer="0"/>
  <pageSetup scale="48" orientation="landscape"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pageSetUpPr fitToPage="1"/>
  </sheetPr>
  <dimension ref="A1:V64"/>
  <sheetViews>
    <sheetView zoomScale="75" workbookViewId="0">
      <selection sqref="A1:G1"/>
    </sheetView>
  </sheetViews>
  <sheetFormatPr defaultColWidth="9.109375" defaultRowHeight="14.4"/>
  <cols>
    <col min="1" max="1" width="20" style="1" customWidth="1"/>
    <col min="2" max="7" width="15" style="1" customWidth="1"/>
    <col min="8" max="8" width="1" style="1" customWidth="1"/>
    <col min="9" max="9" width="30" style="1" customWidth="1"/>
    <col min="10" max="10" width="15" style="1" customWidth="1"/>
    <col min="11" max="11" width="1" style="1" customWidth="1"/>
    <col min="12" max="13" width="15" style="1" customWidth="1"/>
    <col min="14" max="14" width="1" style="1" customWidth="1"/>
    <col min="15" max="16" width="15" style="1" customWidth="1"/>
    <col min="17" max="17" width="1" style="1" customWidth="1"/>
    <col min="18" max="19" width="15" style="1" customWidth="1"/>
    <col min="20" max="20" width="1" style="1" customWidth="1"/>
    <col min="21" max="22" width="15" style="1" customWidth="1"/>
    <col min="23" max="23" width="9.109375" style="1" customWidth="1"/>
    <col min="24" max="16384" width="9.109375" style="1"/>
  </cols>
  <sheetData>
    <row r="1" spans="1:22">
      <c r="A1" s="85" t="s">
        <v>162</v>
      </c>
      <c r="B1" s="79"/>
      <c r="C1" s="79"/>
      <c r="D1" s="79"/>
      <c r="E1" s="79"/>
      <c r="F1" s="79"/>
      <c r="G1" s="79"/>
    </row>
    <row r="3" spans="1:22">
      <c r="B3" s="86" t="s">
        <v>1</v>
      </c>
      <c r="C3" s="87"/>
      <c r="D3" s="87"/>
      <c r="E3" s="87"/>
      <c r="F3" s="87"/>
      <c r="G3" s="88"/>
      <c r="L3" s="89" t="s">
        <v>2</v>
      </c>
      <c r="M3" s="90"/>
      <c r="N3" s="90"/>
      <c r="O3" s="90"/>
      <c r="P3" s="90"/>
      <c r="Q3" s="90"/>
      <c r="R3" s="90"/>
      <c r="S3" s="90"/>
      <c r="T3" s="90"/>
      <c r="U3" s="90"/>
      <c r="V3" s="91"/>
    </row>
    <row r="4" spans="1:22">
      <c r="B4" s="6"/>
      <c r="G4" s="9"/>
      <c r="L4" s="92" t="s">
        <v>3</v>
      </c>
      <c r="M4" s="93"/>
      <c r="N4" s="3"/>
      <c r="O4" s="94" t="s">
        <v>4</v>
      </c>
      <c r="P4" s="93"/>
      <c r="Q4" s="3"/>
      <c r="R4" s="94" t="s">
        <v>5</v>
      </c>
      <c r="S4" s="93"/>
      <c r="T4" s="3"/>
      <c r="U4" s="94" t="s">
        <v>6</v>
      </c>
      <c r="V4" s="95"/>
    </row>
    <row r="5" spans="1:22" ht="60" customHeight="1">
      <c r="B5" s="7" t="s">
        <v>3</v>
      </c>
      <c r="C5" s="4" t="s">
        <v>4</v>
      </c>
      <c r="D5" s="4" t="s">
        <v>5</v>
      </c>
      <c r="E5" s="4" t="s">
        <v>6</v>
      </c>
      <c r="F5" s="4" t="s">
        <v>7</v>
      </c>
      <c r="G5" s="10" t="s">
        <v>8</v>
      </c>
      <c r="L5" s="19" t="s">
        <v>9</v>
      </c>
      <c r="M5" s="18" t="s">
        <v>10</v>
      </c>
      <c r="N5" s="18"/>
      <c r="O5" s="18" t="s">
        <v>9</v>
      </c>
      <c r="P5" s="18" t="s">
        <v>10</v>
      </c>
      <c r="Q5" s="18"/>
      <c r="R5" s="18" t="s">
        <v>9</v>
      </c>
      <c r="S5" s="18" t="s">
        <v>10</v>
      </c>
      <c r="T5" s="18"/>
      <c r="U5" s="18" t="s">
        <v>9</v>
      </c>
      <c r="V5" s="20" t="s">
        <v>10</v>
      </c>
    </row>
    <row r="6" spans="1:22">
      <c r="A6" s="1" t="s">
        <v>11</v>
      </c>
      <c r="B6" s="6">
        <v>0</v>
      </c>
      <c r="C6" s="1">
        <v>0</v>
      </c>
      <c r="D6" s="1">
        <v>0</v>
      </c>
      <c r="E6" s="1">
        <v>0</v>
      </c>
      <c r="F6" s="1">
        <v>0</v>
      </c>
      <c r="G6" s="9">
        <f>SUM(AL_FINANCIAL)</f>
        <v>0</v>
      </c>
      <c r="L6" s="6"/>
      <c r="V6" s="9"/>
    </row>
    <row r="7" spans="1:22">
      <c r="A7" s="1" t="s">
        <v>12</v>
      </c>
      <c r="B7" s="6">
        <v>0</v>
      </c>
      <c r="C7" s="1">
        <v>0</v>
      </c>
      <c r="D7" s="1">
        <v>0</v>
      </c>
      <c r="E7" s="1">
        <v>0</v>
      </c>
      <c r="F7" s="1">
        <v>0</v>
      </c>
      <c r="G7" s="9">
        <f>SUM(AK_FINANCIAL)</f>
        <v>0</v>
      </c>
      <c r="I7" s="12"/>
      <c r="J7" s="15"/>
      <c r="L7" s="6"/>
      <c r="V7" s="9"/>
    </row>
    <row r="8" spans="1:22">
      <c r="A8" s="1" t="s">
        <v>13</v>
      </c>
      <c r="B8" s="6">
        <v>0</v>
      </c>
      <c r="C8" s="1">
        <v>0</v>
      </c>
      <c r="D8" s="1">
        <v>9040.2961501117825</v>
      </c>
      <c r="E8" s="1">
        <v>0</v>
      </c>
      <c r="F8" s="1">
        <v>0</v>
      </c>
      <c r="G8" s="9">
        <f>SUM(AZ_FINANCIAL)</f>
        <v>9040.2961501117825</v>
      </c>
      <c r="I8" s="13" t="s">
        <v>14</v>
      </c>
      <c r="J8" s="16"/>
      <c r="L8" s="6"/>
      <c r="V8" s="9"/>
    </row>
    <row r="9" spans="1:22">
      <c r="A9" s="1" t="s">
        <v>15</v>
      </c>
      <c r="B9" s="6">
        <v>0</v>
      </c>
      <c r="C9" s="1">
        <v>0</v>
      </c>
      <c r="D9" s="1">
        <v>0</v>
      </c>
      <c r="E9" s="1">
        <v>0</v>
      </c>
      <c r="F9" s="1">
        <v>0</v>
      </c>
      <c r="G9" s="9">
        <f>SUM(AR_FINANCIAL)</f>
        <v>0</v>
      </c>
      <c r="I9" s="13"/>
      <c r="J9" s="16"/>
      <c r="L9" s="6"/>
      <c r="V9" s="9"/>
    </row>
    <row r="10" spans="1:22">
      <c r="A10" s="1" t="s">
        <v>16</v>
      </c>
      <c r="B10" s="6">
        <v>0</v>
      </c>
      <c r="C10" s="1">
        <v>0</v>
      </c>
      <c r="D10" s="1">
        <v>11210917.853609877</v>
      </c>
      <c r="E10" s="1">
        <v>0</v>
      </c>
      <c r="F10" s="1">
        <v>0</v>
      </c>
      <c r="G10" s="9">
        <f>SUM(CA_FINANCIAL)</f>
        <v>11210917.853609877</v>
      </c>
      <c r="I10" s="13" t="s">
        <v>17</v>
      </c>
      <c r="J10" s="16">
        <v>19897087.949999996</v>
      </c>
      <c r="L10" s="6">
        <v>0</v>
      </c>
      <c r="M10" s="1">
        <v>0</v>
      </c>
      <c r="O10" s="1">
        <v>0</v>
      </c>
      <c r="P10" s="1">
        <v>0</v>
      </c>
      <c r="R10" s="1">
        <v>11753900</v>
      </c>
      <c r="S10" s="1">
        <v>0</v>
      </c>
      <c r="U10" s="1">
        <v>0</v>
      </c>
      <c r="V10" s="9">
        <v>0</v>
      </c>
    </row>
    <row r="11" spans="1:22">
      <c r="A11" s="1" t="s">
        <v>18</v>
      </c>
      <c r="B11" s="6">
        <v>0</v>
      </c>
      <c r="C11" s="1">
        <v>0</v>
      </c>
      <c r="D11" s="1">
        <v>1250845.4631506752</v>
      </c>
      <c r="E11" s="1">
        <v>0</v>
      </c>
      <c r="F11" s="1">
        <v>0</v>
      </c>
      <c r="G11" s="9">
        <f>SUM(CO_FINANCIAL)</f>
        <v>1250845.4631506752</v>
      </c>
      <c r="I11" s="13"/>
      <c r="J11" s="16"/>
      <c r="L11" s="6">
        <v>0</v>
      </c>
      <c r="M11" s="1">
        <v>0</v>
      </c>
      <c r="O11" s="1">
        <v>0</v>
      </c>
      <c r="P11" s="1">
        <v>0</v>
      </c>
      <c r="R11" s="1">
        <v>2001994</v>
      </c>
      <c r="S11" s="1">
        <v>500000</v>
      </c>
      <c r="U11" s="1">
        <v>0</v>
      </c>
      <c r="V11" s="9">
        <v>0</v>
      </c>
    </row>
    <row r="12" spans="1:22">
      <c r="A12" s="1" t="s">
        <v>19</v>
      </c>
      <c r="B12" s="6">
        <v>0</v>
      </c>
      <c r="C12" s="1">
        <v>0</v>
      </c>
      <c r="D12" s="1">
        <v>0</v>
      </c>
      <c r="E12" s="1">
        <v>0</v>
      </c>
      <c r="F12" s="1">
        <v>0</v>
      </c>
      <c r="G12" s="9">
        <f>SUM(CT_FINANCIAL)</f>
        <v>0</v>
      </c>
      <c r="I12" s="13" t="s">
        <v>20</v>
      </c>
      <c r="J12" s="16"/>
      <c r="L12" s="6"/>
      <c r="V12" s="9"/>
    </row>
    <row r="13" spans="1:22">
      <c r="A13" s="1" t="s">
        <v>21</v>
      </c>
      <c r="B13" s="6">
        <v>0</v>
      </c>
      <c r="C13" s="1">
        <v>0</v>
      </c>
      <c r="D13" s="1">
        <v>0</v>
      </c>
      <c r="E13" s="1">
        <v>0</v>
      </c>
      <c r="F13" s="1">
        <v>0</v>
      </c>
      <c r="G13" s="9">
        <f>SUM(DE_FINANCIAL)</f>
        <v>0</v>
      </c>
      <c r="I13" s="13" t="s">
        <v>22</v>
      </c>
      <c r="J13" s="16">
        <v>19897087.949999996</v>
      </c>
      <c r="L13" s="6"/>
      <c r="V13" s="9"/>
    </row>
    <row r="14" spans="1:22">
      <c r="A14" s="1" t="s">
        <v>23</v>
      </c>
      <c r="B14" s="6">
        <v>0</v>
      </c>
      <c r="C14" s="1">
        <v>0</v>
      </c>
      <c r="D14" s="1">
        <v>0</v>
      </c>
      <c r="E14" s="1">
        <v>0</v>
      </c>
      <c r="F14" s="1">
        <v>0</v>
      </c>
      <c r="G14" s="9">
        <f>SUM(DC_FINANCIAL)</f>
        <v>0</v>
      </c>
      <c r="I14" s="13" t="s">
        <v>24</v>
      </c>
      <c r="J14" s="16">
        <v>434808.24000000005</v>
      </c>
      <c r="L14" s="6"/>
      <c r="V14" s="9"/>
    </row>
    <row r="15" spans="1:22">
      <c r="A15" s="1" t="s">
        <v>25</v>
      </c>
      <c r="B15" s="6">
        <v>0</v>
      </c>
      <c r="C15" s="1">
        <v>0</v>
      </c>
      <c r="D15" s="1">
        <v>3040.188670327128</v>
      </c>
      <c r="E15" s="1">
        <v>0</v>
      </c>
      <c r="F15" s="1">
        <v>0</v>
      </c>
      <c r="G15" s="9">
        <f>SUM(FL_FINANCIAL)</f>
        <v>3040.188670327128</v>
      </c>
      <c r="I15" s="13" t="s">
        <v>26</v>
      </c>
      <c r="J15" s="16">
        <v>1223073.9513470561</v>
      </c>
      <c r="L15" s="6"/>
      <c r="V15" s="9"/>
    </row>
    <row r="16" spans="1:22">
      <c r="A16" s="1" t="s">
        <v>27</v>
      </c>
      <c r="B16" s="6">
        <v>0</v>
      </c>
      <c r="C16" s="1">
        <v>0</v>
      </c>
      <c r="D16" s="1">
        <v>0</v>
      </c>
      <c r="E16" s="1">
        <v>0</v>
      </c>
      <c r="F16" s="1">
        <v>0</v>
      </c>
      <c r="G16" s="9">
        <f>SUM(GA_FINANCIAL)</f>
        <v>0</v>
      </c>
      <c r="I16" s="13" t="s">
        <v>28</v>
      </c>
      <c r="J16" s="16">
        <v>0</v>
      </c>
      <c r="L16" s="6"/>
      <c r="V16" s="9"/>
    </row>
    <row r="17" spans="1:22">
      <c r="A17" s="1" t="s">
        <v>29</v>
      </c>
      <c r="B17" s="6">
        <v>0</v>
      </c>
      <c r="C17" s="1">
        <v>0</v>
      </c>
      <c r="D17" s="1">
        <v>0</v>
      </c>
      <c r="E17" s="1">
        <v>0</v>
      </c>
      <c r="F17" s="1">
        <v>0</v>
      </c>
      <c r="G17" s="9">
        <f>SUM(HI_FINANCIAL)</f>
        <v>0</v>
      </c>
      <c r="I17" s="13"/>
      <c r="J17" s="16"/>
      <c r="L17" s="6"/>
      <c r="V17" s="9"/>
    </row>
    <row r="18" spans="1:22">
      <c r="A18" s="1" t="s">
        <v>30</v>
      </c>
      <c r="B18" s="6">
        <v>0</v>
      </c>
      <c r="C18" s="1">
        <v>0</v>
      </c>
      <c r="D18" s="1">
        <v>1205.3433907075087</v>
      </c>
      <c r="E18" s="1">
        <v>0</v>
      </c>
      <c r="F18" s="1">
        <v>0</v>
      </c>
      <c r="G18" s="9">
        <f>SUM(ID_FINANCIAL)</f>
        <v>1205.3433907075087</v>
      </c>
      <c r="I18" s="13" t="s">
        <v>31</v>
      </c>
      <c r="J18" s="16"/>
      <c r="L18" s="6"/>
      <c r="V18" s="9"/>
    </row>
    <row r="19" spans="1:22">
      <c r="A19" s="1" t="s">
        <v>32</v>
      </c>
      <c r="B19" s="6">
        <v>0</v>
      </c>
      <c r="C19" s="1">
        <v>0</v>
      </c>
      <c r="D19" s="1">
        <v>12050.144362152278</v>
      </c>
      <c r="E19" s="1">
        <v>0</v>
      </c>
      <c r="F19" s="1">
        <v>0</v>
      </c>
      <c r="G19" s="9">
        <f>SUM(IL_FINANCIAL)</f>
        <v>12050.144362152278</v>
      </c>
      <c r="I19" s="13" t="s">
        <v>33</v>
      </c>
      <c r="J19" s="16">
        <v>0</v>
      </c>
      <c r="L19" s="6">
        <v>0</v>
      </c>
      <c r="M19" s="1">
        <v>0</v>
      </c>
      <c r="O19" s="1">
        <v>0</v>
      </c>
      <c r="P19" s="1">
        <v>0</v>
      </c>
      <c r="R19" s="1">
        <v>250000</v>
      </c>
      <c r="S19" s="1">
        <v>0</v>
      </c>
      <c r="U19" s="1">
        <v>0</v>
      </c>
      <c r="V19" s="9">
        <v>0</v>
      </c>
    </row>
    <row r="20" spans="1:22">
      <c r="A20" s="1" t="s">
        <v>34</v>
      </c>
      <c r="B20" s="6">
        <v>0</v>
      </c>
      <c r="C20" s="1">
        <v>0</v>
      </c>
      <c r="D20" s="1">
        <v>18846.951248013662</v>
      </c>
      <c r="E20" s="1">
        <v>0</v>
      </c>
      <c r="F20" s="1">
        <v>0</v>
      </c>
      <c r="G20" s="9">
        <f>SUM(IN_FINANCIAL)</f>
        <v>18846.951248013662</v>
      </c>
      <c r="I20" s="13" t="s">
        <v>35</v>
      </c>
      <c r="J20" s="16">
        <v>19897087.949999996</v>
      </c>
      <c r="L20" s="6"/>
      <c r="V20" s="9"/>
    </row>
    <row r="21" spans="1:22">
      <c r="A21" s="1" t="s">
        <v>36</v>
      </c>
      <c r="B21" s="6">
        <v>0</v>
      </c>
      <c r="C21" s="1">
        <v>0</v>
      </c>
      <c r="D21" s="1">
        <v>212.68507341355905</v>
      </c>
      <c r="E21" s="1">
        <v>0</v>
      </c>
      <c r="F21" s="1">
        <v>0</v>
      </c>
      <c r="G21" s="9">
        <f>SUM(IA_FINANCIAL)</f>
        <v>212.68507341355905</v>
      </c>
      <c r="I21" s="13" t="s">
        <v>37</v>
      </c>
      <c r="J21" s="16"/>
      <c r="L21" s="6"/>
      <c r="V21" s="9"/>
    </row>
    <row r="22" spans="1:22">
      <c r="A22" s="1" t="s">
        <v>38</v>
      </c>
      <c r="B22" s="6">
        <v>0</v>
      </c>
      <c r="C22" s="1">
        <v>0</v>
      </c>
      <c r="D22" s="1">
        <v>2042.9741772447269</v>
      </c>
      <c r="E22" s="1">
        <v>0</v>
      </c>
      <c r="F22" s="1">
        <v>0</v>
      </c>
      <c r="G22" s="9">
        <f>SUM(KS_FINANCIAL)</f>
        <v>2042.9741772447269</v>
      </c>
      <c r="I22" s="13" t="s">
        <v>39</v>
      </c>
      <c r="J22" s="16">
        <v>0</v>
      </c>
      <c r="L22" s="6"/>
      <c r="V22" s="9"/>
    </row>
    <row r="23" spans="1:22">
      <c r="A23" s="1" t="s">
        <v>40</v>
      </c>
      <c r="B23" s="6">
        <v>0</v>
      </c>
      <c r="C23" s="1">
        <v>0</v>
      </c>
      <c r="D23" s="1">
        <v>20.469636333686481</v>
      </c>
      <c r="E23" s="1">
        <v>0</v>
      </c>
      <c r="F23" s="1">
        <v>0</v>
      </c>
      <c r="G23" s="9">
        <f>SUM(KY_FINANCIAL)</f>
        <v>20.469636333686481</v>
      </c>
      <c r="I23" s="13" t="s">
        <v>41</v>
      </c>
      <c r="J23" s="16"/>
      <c r="L23" s="6"/>
      <c r="V23" s="9"/>
    </row>
    <row r="24" spans="1:22">
      <c r="A24" s="1" t="s">
        <v>42</v>
      </c>
      <c r="B24" s="6">
        <v>0</v>
      </c>
      <c r="C24" s="1">
        <v>0</v>
      </c>
      <c r="D24" s="1">
        <v>0</v>
      </c>
      <c r="E24" s="1">
        <v>0</v>
      </c>
      <c r="F24" s="1">
        <v>0</v>
      </c>
      <c r="G24" s="9">
        <f>SUM(LA_FINANCIAL)</f>
        <v>0</v>
      </c>
      <c r="I24" s="13" t="s">
        <v>43</v>
      </c>
      <c r="J24" s="16">
        <v>9174503.4700000007</v>
      </c>
      <c r="L24" s="6"/>
      <c r="V24" s="9"/>
    </row>
    <row r="25" spans="1:22">
      <c r="A25" s="1" t="s">
        <v>44</v>
      </c>
      <c r="B25" s="6">
        <v>0</v>
      </c>
      <c r="C25" s="1">
        <v>0</v>
      </c>
      <c r="D25" s="1">
        <v>0</v>
      </c>
      <c r="E25" s="1">
        <v>0</v>
      </c>
      <c r="F25" s="1">
        <v>0</v>
      </c>
      <c r="G25" s="9">
        <f>SUM(ME_FINANCIAL)</f>
        <v>0</v>
      </c>
      <c r="I25" s="13"/>
      <c r="J25" s="16"/>
      <c r="L25" s="6"/>
      <c r="V25" s="9"/>
    </row>
    <row r="26" spans="1:22">
      <c r="A26" s="1" t="s">
        <v>45</v>
      </c>
      <c r="B26" s="6">
        <v>0</v>
      </c>
      <c r="C26" s="1">
        <v>0</v>
      </c>
      <c r="D26" s="1">
        <v>2226.663837378167</v>
      </c>
      <c r="E26" s="1">
        <v>0</v>
      </c>
      <c r="F26" s="1">
        <v>0</v>
      </c>
      <c r="G26" s="9">
        <f>SUM(MD_FINANCIAL)</f>
        <v>2226.663837378167</v>
      </c>
      <c r="I26" s="13" t="s">
        <v>46</v>
      </c>
      <c r="J26" s="16">
        <f>SUM(ADD_FINANCIAL)-SUM(LESS_FINANCIAL)</f>
        <v>12380466.671347052</v>
      </c>
      <c r="L26" s="6"/>
      <c r="V26" s="9"/>
    </row>
    <row r="27" spans="1:22">
      <c r="A27" s="1" t="s">
        <v>47</v>
      </c>
      <c r="B27" s="6">
        <v>0</v>
      </c>
      <c r="C27" s="1">
        <v>0</v>
      </c>
      <c r="D27" s="1">
        <v>0</v>
      </c>
      <c r="E27" s="1">
        <v>0</v>
      </c>
      <c r="F27" s="1">
        <v>0</v>
      </c>
      <c r="G27" s="9">
        <f>SUM(MA_FINANCIAL)</f>
        <v>0</v>
      </c>
      <c r="I27" s="13" t="s">
        <v>48</v>
      </c>
      <c r="J27" s="16">
        <f>SUM(ALL_BLOCKS)</f>
        <v>12380466.671347052</v>
      </c>
      <c r="L27" s="6"/>
      <c r="V27" s="9"/>
    </row>
    <row r="28" spans="1:22">
      <c r="A28" s="1" t="s">
        <v>49</v>
      </c>
      <c r="B28" s="6">
        <v>0</v>
      </c>
      <c r="C28" s="1">
        <v>0</v>
      </c>
      <c r="D28" s="1">
        <v>2526.5807277804306</v>
      </c>
      <c r="E28" s="1">
        <v>0</v>
      </c>
      <c r="F28" s="1">
        <v>0</v>
      </c>
      <c r="G28" s="9">
        <f>SUM(MI_FINANCIAL)</f>
        <v>2526.5807277804306</v>
      </c>
      <c r="I28" s="14"/>
      <c r="J28" s="17"/>
      <c r="L28" s="6"/>
      <c r="V28" s="9"/>
    </row>
    <row r="29" spans="1:22">
      <c r="A29" s="1" t="s">
        <v>50</v>
      </c>
      <c r="B29" s="6">
        <v>0</v>
      </c>
      <c r="C29" s="1">
        <v>0</v>
      </c>
      <c r="D29" s="1">
        <v>0</v>
      </c>
      <c r="E29" s="1">
        <v>0</v>
      </c>
      <c r="F29" s="1">
        <v>0</v>
      </c>
      <c r="G29" s="9">
        <f>SUM(MN_FINANCIAL)</f>
        <v>0</v>
      </c>
      <c r="L29" s="6"/>
      <c r="V29" s="9"/>
    </row>
    <row r="30" spans="1:22">
      <c r="A30" s="1" t="s">
        <v>51</v>
      </c>
      <c r="B30" s="6">
        <v>0</v>
      </c>
      <c r="C30" s="1">
        <v>0</v>
      </c>
      <c r="D30" s="1">
        <v>0</v>
      </c>
      <c r="E30" s="1">
        <v>0</v>
      </c>
      <c r="F30" s="1">
        <v>0</v>
      </c>
      <c r="G30" s="9">
        <f>SUM(MS_FINANCIAL)</f>
        <v>0</v>
      </c>
      <c r="L30" s="6"/>
      <c r="V30" s="9"/>
    </row>
    <row r="31" spans="1:22">
      <c r="A31" s="1" t="s">
        <v>52</v>
      </c>
      <c r="B31" s="6">
        <v>0</v>
      </c>
      <c r="C31" s="1">
        <v>0</v>
      </c>
      <c r="D31" s="1">
        <v>75.045409022180991</v>
      </c>
      <c r="E31" s="1">
        <v>0</v>
      </c>
      <c r="F31" s="1">
        <v>0</v>
      </c>
      <c r="G31" s="9">
        <f>SUM(MO_FINANCIAL)</f>
        <v>75.045409022180991</v>
      </c>
      <c r="L31" s="6"/>
      <c r="V31" s="9"/>
    </row>
    <row r="32" spans="1:22">
      <c r="A32" s="1" t="s">
        <v>53</v>
      </c>
      <c r="B32" s="6">
        <v>0</v>
      </c>
      <c r="C32" s="1">
        <v>0</v>
      </c>
      <c r="D32" s="1">
        <v>0</v>
      </c>
      <c r="E32" s="1">
        <v>0</v>
      </c>
      <c r="F32" s="1">
        <v>0</v>
      </c>
      <c r="G32" s="9">
        <f>SUM(MT_FINANCIAL)</f>
        <v>0</v>
      </c>
      <c r="L32" s="6"/>
      <c r="V32" s="9"/>
    </row>
    <row r="33" spans="1:22">
      <c r="A33" s="1" t="s">
        <v>54</v>
      </c>
      <c r="B33" s="6">
        <v>0</v>
      </c>
      <c r="C33" s="1">
        <v>0</v>
      </c>
      <c r="D33" s="1">
        <v>568.19057962155603</v>
      </c>
      <c r="E33" s="1">
        <v>0</v>
      </c>
      <c r="F33" s="1">
        <v>0</v>
      </c>
      <c r="G33" s="9">
        <f>SUM(NE_FINANCIAL)</f>
        <v>568.19057962155603</v>
      </c>
      <c r="L33" s="6"/>
      <c r="V33" s="9"/>
    </row>
    <row r="34" spans="1:22">
      <c r="A34" s="1" t="s">
        <v>55</v>
      </c>
      <c r="B34" s="6">
        <v>0</v>
      </c>
      <c r="C34" s="1">
        <v>0</v>
      </c>
      <c r="D34" s="1">
        <v>6387.1948147066651</v>
      </c>
      <c r="E34" s="1">
        <v>0</v>
      </c>
      <c r="F34" s="1">
        <v>0</v>
      </c>
      <c r="G34" s="9">
        <f>SUM(NV_FINANCIAL)</f>
        <v>6387.1948147066651</v>
      </c>
      <c r="L34" s="6"/>
      <c r="V34" s="9"/>
    </row>
    <row r="35" spans="1:22">
      <c r="A35" s="1" t="s">
        <v>56</v>
      </c>
      <c r="B35" s="6">
        <v>0</v>
      </c>
      <c r="C35" s="1">
        <v>0</v>
      </c>
      <c r="D35" s="1">
        <v>0</v>
      </c>
      <c r="E35" s="1">
        <v>0</v>
      </c>
      <c r="F35" s="1">
        <v>0</v>
      </c>
      <c r="G35" s="9">
        <f>SUM(NH_FINANCIAL)</f>
        <v>0</v>
      </c>
      <c r="L35" s="6"/>
      <c r="V35" s="9"/>
    </row>
    <row r="36" spans="1:22">
      <c r="A36" s="1" t="s">
        <v>57</v>
      </c>
      <c r="B36" s="6">
        <v>0</v>
      </c>
      <c r="C36" s="1">
        <v>0</v>
      </c>
      <c r="D36" s="1">
        <v>0</v>
      </c>
      <c r="E36" s="1">
        <v>0</v>
      </c>
      <c r="F36" s="1">
        <v>0</v>
      </c>
      <c r="G36" s="9">
        <f>SUM(NJ_FINANCIAL)</f>
        <v>0</v>
      </c>
      <c r="L36" s="6"/>
      <c r="V36" s="9"/>
    </row>
    <row r="37" spans="1:22">
      <c r="A37" s="1" t="s">
        <v>58</v>
      </c>
      <c r="B37" s="6">
        <v>0</v>
      </c>
      <c r="C37" s="1">
        <v>0</v>
      </c>
      <c r="D37" s="1">
        <v>0</v>
      </c>
      <c r="E37" s="1">
        <v>0</v>
      </c>
      <c r="F37" s="1">
        <v>0</v>
      </c>
      <c r="G37" s="9">
        <f>SUM(NM_FINANCIAL)</f>
        <v>0</v>
      </c>
      <c r="L37" s="6"/>
      <c r="V37" s="9"/>
    </row>
    <row r="38" spans="1:22">
      <c r="A38" s="1" t="s">
        <v>59</v>
      </c>
      <c r="B38" s="6">
        <v>0</v>
      </c>
      <c r="C38" s="1">
        <v>0</v>
      </c>
      <c r="D38" s="1">
        <v>0</v>
      </c>
      <c r="E38" s="1">
        <v>0</v>
      </c>
      <c r="F38" s="1">
        <v>0</v>
      </c>
      <c r="G38" s="9">
        <f>SUM(NY_FINANCIAL)</f>
        <v>0</v>
      </c>
      <c r="L38" s="6"/>
      <c r="V38" s="9"/>
    </row>
    <row r="39" spans="1:22">
      <c r="A39" s="1" t="s">
        <v>60</v>
      </c>
      <c r="B39" s="6">
        <v>0</v>
      </c>
      <c r="C39" s="1">
        <v>0</v>
      </c>
      <c r="D39" s="1">
        <v>0</v>
      </c>
      <c r="E39" s="1">
        <v>0</v>
      </c>
      <c r="F39" s="1">
        <v>0</v>
      </c>
      <c r="G39" s="9">
        <f>SUM(NC_FINANCIAL)</f>
        <v>0</v>
      </c>
      <c r="L39" s="6"/>
      <c r="V39" s="9"/>
    </row>
    <row r="40" spans="1:22">
      <c r="A40" s="1" t="s">
        <v>61</v>
      </c>
      <c r="B40" s="6">
        <v>0</v>
      </c>
      <c r="C40" s="1">
        <v>0</v>
      </c>
      <c r="D40" s="1">
        <v>135.07397541639477</v>
      </c>
      <c r="E40" s="1">
        <v>0</v>
      </c>
      <c r="F40" s="1">
        <v>0</v>
      </c>
      <c r="G40" s="9">
        <f>SUM(ND_FINANCIAL)</f>
        <v>135.07397541639477</v>
      </c>
      <c r="L40" s="6"/>
      <c r="V40" s="9"/>
    </row>
    <row r="41" spans="1:22">
      <c r="A41" s="1" t="s">
        <v>62</v>
      </c>
      <c r="B41" s="6">
        <v>0</v>
      </c>
      <c r="C41" s="1">
        <v>0</v>
      </c>
      <c r="D41" s="1">
        <v>33.401041237846812</v>
      </c>
      <c r="E41" s="1">
        <v>0</v>
      </c>
      <c r="F41" s="1">
        <v>0</v>
      </c>
      <c r="G41" s="9">
        <f>SUM(OH_FINANCIAL)</f>
        <v>33.401041237846812</v>
      </c>
      <c r="L41" s="6"/>
      <c r="V41" s="9"/>
    </row>
    <row r="42" spans="1:22">
      <c r="A42" s="1" t="s">
        <v>63</v>
      </c>
      <c r="B42" s="6">
        <v>0</v>
      </c>
      <c r="C42" s="1">
        <v>0</v>
      </c>
      <c r="D42" s="1">
        <v>4329.3707464928557</v>
      </c>
      <c r="E42" s="1">
        <v>0</v>
      </c>
      <c r="F42" s="1">
        <v>0</v>
      </c>
      <c r="G42" s="9">
        <f>SUM(OK_FINANCIAL)</f>
        <v>4329.3707464928557</v>
      </c>
      <c r="L42" s="6"/>
      <c r="V42" s="9"/>
    </row>
    <row r="43" spans="1:22">
      <c r="A43" s="1" t="s">
        <v>64</v>
      </c>
      <c r="B43" s="6">
        <v>0</v>
      </c>
      <c r="C43" s="1">
        <v>0</v>
      </c>
      <c r="D43" s="1">
        <v>0</v>
      </c>
      <c r="E43" s="1">
        <v>0</v>
      </c>
      <c r="F43" s="1">
        <v>0</v>
      </c>
      <c r="G43" s="9">
        <f>SUM(OR_FINANCIAL)</f>
        <v>0</v>
      </c>
      <c r="L43" s="6"/>
      <c r="V43" s="9"/>
    </row>
    <row r="44" spans="1:22">
      <c r="A44" s="1" t="s">
        <v>65</v>
      </c>
      <c r="B44" s="6">
        <v>0</v>
      </c>
      <c r="C44" s="1">
        <v>0</v>
      </c>
      <c r="D44" s="1">
        <v>0</v>
      </c>
      <c r="E44" s="1">
        <v>0</v>
      </c>
      <c r="F44" s="1">
        <v>0</v>
      </c>
      <c r="G44" s="9">
        <f>SUM(PA_FINANCIAL)</f>
        <v>0</v>
      </c>
      <c r="L44" s="6"/>
      <c r="V44" s="9"/>
    </row>
    <row r="45" spans="1:22">
      <c r="A45" s="1" t="s">
        <v>66</v>
      </c>
      <c r="B45" s="6">
        <v>0</v>
      </c>
      <c r="C45" s="1">
        <v>0</v>
      </c>
      <c r="D45" s="1">
        <v>0</v>
      </c>
      <c r="E45" s="1">
        <v>0</v>
      </c>
      <c r="F45" s="1">
        <v>0</v>
      </c>
      <c r="G45" s="9">
        <f>SUM(PR_FINANCIAL)</f>
        <v>0</v>
      </c>
      <c r="L45" s="6"/>
      <c r="V45" s="9"/>
    </row>
    <row r="46" spans="1:22">
      <c r="A46" s="1" t="s">
        <v>67</v>
      </c>
      <c r="B46" s="6">
        <v>0</v>
      </c>
      <c r="C46" s="1">
        <v>0</v>
      </c>
      <c r="D46" s="1">
        <v>0</v>
      </c>
      <c r="E46" s="1">
        <v>0</v>
      </c>
      <c r="F46" s="1">
        <v>0</v>
      </c>
      <c r="G46" s="9">
        <f>SUM(RI_FINANCIAL)</f>
        <v>0</v>
      </c>
      <c r="L46" s="6"/>
      <c r="V46" s="9"/>
    </row>
    <row r="47" spans="1:22">
      <c r="A47" s="1" t="s">
        <v>68</v>
      </c>
      <c r="B47" s="6">
        <v>0</v>
      </c>
      <c r="C47" s="1">
        <v>0</v>
      </c>
      <c r="D47" s="1">
        <v>0</v>
      </c>
      <c r="E47" s="1">
        <v>0</v>
      </c>
      <c r="F47" s="1">
        <v>0</v>
      </c>
      <c r="G47" s="9">
        <f>SUM(SC_FINANCIAL)</f>
        <v>0</v>
      </c>
      <c r="L47" s="6"/>
      <c r="V47" s="9"/>
    </row>
    <row r="48" spans="1:22">
      <c r="A48" s="1" t="s">
        <v>69</v>
      </c>
      <c r="B48" s="6">
        <v>0</v>
      </c>
      <c r="C48" s="1">
        <v>0</v>
      </c>
      <c r="D48" s="1">
        <v>5.6843418860808015E-14</v>
      </c>
      <c r="E48" s="1">
        <v>0</v>
      </c>
      <c r="F48" s="1">
        <v>0</v>
      </c>
      <c r="G48" s="9">
        <f>SUM(SD_FINANCIAL)</f>
        <v>5.6843418860808015E-14</v>
      </c>
      <c r="L48" s="6"/>
      <c r="V48" s="9"/>
    </row>
    <row r="49" spans="1:22">
      <c r="A49" s="1" t="s">
        <v>70</v>
      </c>
      <c r="B49" s="6">
        <v>0</v>
      </c>
      <c r="C49" s="1">
        <v>0</v>
      </c>
      <c r="D49" s="1">
        <v>706.45911392992321</v>
      </c>
      <c r="E49" s="1">
        <v>0</v>
      </c>
      <c r="F49" s="1">
        <v>0</v>
      </c>
      <c r="G49" s="9">
        <f>SUM(TN_FINANCIAL)</f>
        <v>706.45911392992321</v>
      </c>
      <c r="L49" s="6"/>
      <c r="V49" s="9"/>
    </row>
    <row r="50" spans="1:22">
      <c r="A50" s="1" t="s">
        <v>71</v>
      </c>
      <c r="B50" s="6">
        <v>0</v>
      </c>
      <c r="C50" s="1">
        <v>0</v>
      </c>
      <c r="D50" s="1">
        <v>0</v>
      </c>
      <c r="E50" s="1">
        <v>0</v>
      </c>
      <c r="F50" s="1">
        <v>0</v>
      </c>
      <c r="G50" s="9">
        <f>SUM(TX_FINANCIAL)</f>
        <v>0</v>
      </c>
      <c r="L50" s="6"/>
      <c r="V50" s="9"/>
    </row>
    <row r="51" spans="1:22">
      <c r="A51" s="1" t="s">
        <v>72</v>
      </c>
      <c r="B51" s="6">
        <v>0</v>
      </c>
      <c r="C51" s="1">
        <v>0</v>
      </c>
      <c r="D51" s="1">
        <v>0</v>
      </c>
      <c r="E51" s="1">
        <v>0</v>
      </c>
      <c r="F51" s="1">
        <v>0</v>
      </c>
      <c r="G51" s="9">
        <f>SUM(UT_FINANCIAL)</f>
        <v>0</v>
      </c>
      <c r="L51" s="6"/>
      <c r="V51" s="9"/>
    </row>
    <row r="52" spans="1:22">
      <c r="A52" s="1" t="s">
        <v>73</v>
      </c>
      <c r="B52" s="6">
        <v>0</v>
      </c>
      <c r="C52" s="1">
        <v>0</v>
      </c>
      <c r="D52" s="1">
        <v>0</v>
      </c>
      <c r="E52" s="1">
        <v>0</v>
      </c>
      <c r="F52" s="1">
        <v>0</v>
      </c>
      <c r="G52" s="9">
        <f>SUM(VT_FINANCIAL)</f>
        <v>0</v>
      </c>
      <c r="L52" s="6"/>
      <c r="V52" s="9"/>
    </row>
    <row r="53" spans="1:22">
      <c r="A53" s="1" t="s">
        <v>74</v>
      </c>
      <c r="B53" s="6">
        <v>0</v>
      </c>
      <c r="C53" s="1">
        <v>0</v>
      </c>
      <c r="D53" s="1">
        <v>-203273.48683528221</v>
      </c>
      <c r="E53" s="1">
        <v>0</v>
      </c>
      <c r="F53" s="1">
        <v>0</v>
      </c>
      <c r="G53" s="9">
        <f>SUM(VA_FINANCIAL)</f>
        <v>-203273.48683528221</v>
      </c>
      <c r="L53" s="6"/>
      <c r="V53" s="9"/>
    </row>
    <row r="54" spans="1:22">
      <c r="A54" s="1" t="s">
        <v>75</v>
      </c>
      <c r="B54" s="6">
        <v>0</v>
      </c>
      <c r="C54" s="1">
        <v>0</v>
      </c>
      <c r="D54" s="1">
        <v>0</v>
      </c>
      <c r="E54" s="1">
        <v>0</v>
      </c>
      <c r="F54" s="1">
        <v>0</v>
      </c>
      <c r="G54" s="9">
        <f>SUM(WA_FINANCIAL)</f>
        <v>0</v>
      </c>
      <c r="L54" s="6"/>
      <c r="V54" s="9"/>
    </row>
    <row r="55" spans="1:22">
      <c r="A55" s="1" t="s">
        <v>76</v>
      </c>
      <c r="B55" s="6">
        <v>0</v>
      </c>
      <c r="C55" s="1">
        <v>0</v>
      </c>
      <c r="D55" s="1">
        <v>0</v>
      </c>
      <c r="E55" s="1">
        <v>0</v>
      </c>
      <c r="F55" s="1">
        <v>0</v>
      </c>
      <c r="G55" s="9">
        <f>SUM(WV_FINANCIAL)</f>
        <v>0</v>
      </c>
      <c r="L55" s="6"/>
      <c r="V55" s="9"/>
    </row>
    <row r="56" spans="1:22">
      <c r="A56" s="1" t="s">
        <v>77</v>
      </c>
      <c r="B56" s="6">
        <v>0</v>
      </c>
      <c r="C56" s="1">
        <v>0</v>
      </c>
      <c r="D56" s="1">
        <v>58529.808467893425</v>
      </c>
      <c r="E56" s="1">
        <v>0</v>
      </c>
      <c r="F56" s="1">
        <v>0</v>
      </c>
      <c r="G56" s="9">
        <f>SUM(WI_FINANCIAL)</f>
        <v>58529.808467893425</v>
      </c>
      <c r="L56" s="6"/>
      <c r="V56" s="9"/>
    </row>
    <row r="57" spans="1:22">
      <c r="A57" s="1" t="s">
        <v>78</v>
      </c>
      <c r="B57" s="6">
        <v>0</v>
      </c>
      <c r="C57" s="1">
        <v>0</v>
      </c>
      <c r="D57" s="1">
        <v>0</v>
      </c>
      <c r="E57" s="1">
        <v>0</v>
      </c>
      <c r="F57" s="1">
        <v>0</v>
      </c>
      <c r="G57" s="9">
        <f>SUM(WY_FINANCIAL)</f>
        <v>0</v>
      </c>
      <c r="L57" s="6"/>
      <c r="V57" s="9"/>
    </row>
    <row r="58" spans="1:22">
      <c r="A58" s="1" t="s">
        <v>79</v>
      </c>
      <c r="B58" s="6">
        <v>0</v>
      </c>
      <c r="C58" s="1">
        <v>0</v>
      </c>
      <c r="D58" s="1">
        <v>0</v>
      </c>
      <c r="E58" s="1">
        <v>0</v>
      </c>
      <c r="F58" s="1">
        <v>0</v>
      </c>
      <c r="G58" s="9">
        <f>SUM(OT_FINANCIAL)</f>
        <v>0</v>
      </c>
      <c r="L58" s="6"/>
      <c r="V58" s="9"/>
    </row>
    <row r="59" spans="1:22">
      <c r="B59" s="6"/>
      <c r="G59" s="9"/>
      <c r="L59" s="6"/>
      <c r="V59" s="9"/>
    </row>
    <row r="60" spans="1:22">
      <c r="A60" s="1" t="s">
        <v>8</v>
      </c>
      <c r="B60" s="6">
        <f>SUM(LIFE)</f>
        <v>0</v>
      </c>
      <c r="C60" s="1">
        <f>SUM(ALLOCATED)</f>
        <v>0</v>
      </c>
      <c r="D60" s="1">
        <f>SUM(HEALTH)</f>
        <v>12380466.671347052</v>
      </c>
      <c r="E60" s="1">
        <f>SUM(UNALLOCATED)</f>
        <v>0</v>
      </c>
      <c r="F60" s="1">
        <f>SUM(LTC)</f>
        <v>0</v>
      </c>
      <c r="G60" s="9">
        <f>SUM(ALL_BLOCKS)</f>
        <v>12380466.671347052</v>
      </c>
      <c r="L60" s="6">
        <f>SUM(LIFE_CALLED)</f>
        <v>0</v>
      </c>
      <c r="M60" s="1">
        <f>SUM(LIFE_REFUNDED)</f>
        <v>0</v>
      </c>
      <c r="O60" s="1">
        <f>SUM(ALLOC_CALLED)</f>
        <v>0</v>
      </c>
      <c r="P60" s="1">
        <f>SUM(ALLOC_REFUNDED)</f>
        <v>0</v>
      </c>
      <c r="R60" s="1">
        <f>SUM(HEALTH_CALLED)</f>
        <v>14005894</v>
      </c>
      <c r="S60" s="1">
        <f>SUM(HEALTH_REFUNDED)</f>
        <v>500000</v>
      </c>
      <c r="U60" s="1">
        <f>SUM(UNALLOC_CALLED)</f>
        <v>0</v>
      </c>
      <c r="V60" s="9">
        <f>SUM(UNALLOC_REFUNDED)</f>
        <v>0</v>
      </c>
    </row>
    <row r="61" spans="1:22" ht="5.0999999999999996" customHeight="1">
      <c r="B61" s="6"/>
      <c r="G61" s="9"/>
      <c r="L61" s="6"/>
      <c r="V61" s="9"/>
    </row>
    <row r="62" spans="1:22">
      <c r="B62" s="6"/>
      <c r="G62" s="9"/>
      <c r="L62" s="78" t="s">
        <v>80</v>
      </c>
      <c r="M62" s="79"/>
      <c r="N62" s="79"/>
      <c r="O62" s="79"/>
      <c r="P62" s="79"/>
      <c r="Q62" s="79"/>
      <c r="R62" s="79"/>
      <c r="S62" s="79"/>
      <c r="T62" s="79"/>
      <c r="U62" s="79"/>
      <c r="V62" s="80"/>
    </row>
    <row r="63" spans="1:22">
      <c r="B63" s="6"/>
      <c r="G63" s="9"/>
      <c r="L63" s="81"/>
      <c r="M63" s="79"/>
      <c r="N63" s="79"/>
      <c r="O63" s="79"/>
      <c r="P63" s="79"/>
      <c r="Q63" s="79"/>
      <c r="R63" s="79"/>
      <c r="S63" s="79"/>
      <c r="T63" s="79"/>
      <c r="U63" s="79"/>
      <c r="V63" s="80"/>
    </row>
    <row r="64" spans="1:22">
      <c r="B64" s="8"/>
      <c r="C64" s="5"/>
      <c r="D64" s="5"/>
      <c r="E64" s="5"/>
      <c r="F64" s="5"/>
      <c r="G64" s="11"/>
      <c r="L64" s="82"/>
      <c r="M64" s="83"/>
      <c r="N64" s="83"/>
      <c r="O64" s="83"/>
      <c r="P64" s="83"/>
      <c r="Q64" s="83"/>
      <c r="R64" s="83"/>
      <c r="S64" s="83"/>
      <c r="T64" s="83"/>
      <c r="U64" s="83"/>
      <c r="V64" s="84"/>
    </row>
  </sheetData>
  <mergeCells count="8">
    <mergeCell ref="L62:V64"/>
    <mergeCell ref="A1:G1"/>
    <mergeCell ref="B3:G3"/>
    <mergeCell ref="L3:V3"/>
    <mergeCell ref="L4:M4"/>
    <mergeCell ref="O4:P4"/>
    <mergeCell ref="R4:S4"/>
    <mergeCell ref="U4:V4"/>
  </mergeCells>
  <pageMargins left="0" right="0" top="0" bottom="0" header="0" footer="0"/>
  <pageSetup scale="48" orientation="landscape"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pageSetUpPr fitToPage="1"/>
  </sheetPr>
  <dimension ref="A1:V64"/>
  <sheetViews>
    <sheetView zoomScale="75" workbookViewId="0">
      <selection sqref="A1:G1"/>
    </sheetView>
  </sheetViews>
  <sheetFormatPr defaultColWidth="9.109375" defaultRowHeight="14.4"/>
  <cols>
    <col min="1" max="1" width="20" style="1" customWidth="1"/>
    <col min="2" max="7" width="15" style="1" customWidth="1"/>
    <col min="8" max="8" width="1" style="1" customWidth="1"/>
    <col min="9" max="9" width="30" style="1" customWidth="1"/>
    <col min="10" max="10" width="15" style="1" customWidth="1"/>
    <col min="11" max="11" width="1" style="1" customWidth="1"/>
    <col min="12" max="13" width="15" style="1" customWidth="1"/>
    <col min="14" max="14" width="1" style="1" customWidth="1"/>
    <col min="15" max="16" width="15" style="1" customWidth="1"/>
    <col min="17" max="17" width="1" style="1" customWidth="1"/>
    <col min="18" max="19" width="15" style="1" customWidth="1"/>
    <col min="20" max="20" width="1" style="1" customWidth="1"/>
    <col min="21" max="22" width="15" style="1" customWidth="1"/>
    <col min="23" max="23" width="9.109375" style="1" customWidth="1"/>
    <col min="24" max="16384" width="9.109375" style="1"/>
  </cols>
  <sheetData>
    <row r="1" spans="1:22">
      <c r="A1" s="85" t="s">
        <v>163</v>
      </c>
      <c r="B1" s="79"/>
      <c r="C1" s="79"/>
      <c r="D1" s="79"/>
      <c r="E1" s="79"/>
      <c r="F1" s="79"/>
      <c r="G1" s="79"/>
    </row>
    <row r="3" spans="1:22">
      <c r="B3" s="86" t="s">
        <v>1</v>
      </c>
      <c r="C3" s="87"/>
      <c r="D3" s="87"/>
      <c r="E3" s="87"/>
      <c r="F3" s="87"/>
      <c r="G3" s="88"/>
      <c r="L3" s="89" t="s">
        <v>2</v>
      </c>
      <c r="M3" s="90"/>
      <c r="N3" s="90"/>
      <c r="O3" s="90"/>
      <c r="P3" s="90"/>
      <c r="Q3" s="90"/>
      <c r="R3" s="90"/>
      <c r="S3" s="90"/>
      <c r="T3" s="90"/>
      <c r="U3" s="90"/>
      <c r="V3" s="91"/>
    </row>
    <row r="4" spans="1:22">
      <c r="B4" s="6"/>
      <c r="G4" s="9"/>
      <c r="L4" s="92" t="s">
        <v>3</v>
      </c>
      <c r="M4" s="93"/>
      <c r="N4" s="3"/>
      <c r="O4" s="94" t="s">
        <v>4</v>
      </c>
      <c r="P4" s="93"/>
      <c r="Q4" s="3"/>
      <c r="R4" s="94" t="s">
        <v>5</v>
      </c>
      <c r="S4" s="93"/>
      <c r="T4" s="3"/>
      <c r="U4" s="94" t="s">
        <v>6</v>
      </c>
      <c r="V4" s="95"/>
    </row>
    <row r="5" spans="1:22" ht="60" customHeight="1">
      <c r="B5" s="7" t="s">
        <v>3</v>
      </c>
      <c r="C5" s="4" t="s">
        <v>4</v>
      </c>
      <c r="D5" s="4" t="s">
        <v>5</v>
      </c>
      <c r="E5" s="4" t="s">
        <v>6</v>
      </c>
      <c r="F5" s="4" t="s">
        <v>7</v>
      </c>
      <c r="G5" s="10" t="s">
        <v>8</v>
      </c>
      <c r="L5" s="19" t="s">
        <v>9</v>
      </c>
      <c r="M5" s="18" t="s">
        <v>10</v>
      </c>
      <c r="N5" s="18"/>
      <c r="O5" s="18" t="s">
        <v>9</v>
      </c>
      <c r="P5" s="18" t="s">
        <v>10</v>
      </c>
      <c r="Q5" s="18"/>
      <c r="R5" s="18" t="s">
        <v>9</v>
      </c>
      <c r="S5" s="18" t="s">
        <v>10</v>
      </c>
      <c r="T5" s="18"/>
      <c r="U5" s="18" t="s">
        <v>9</v>
      </c>
      <c r="V5" s="20" t="s">
        <v>10</v>
      </c>
    </row>
    <row r="6" spans="1:22">
      <c r="A6" s="1" t="s">
        <v>11</v>
      </c>
      <c r="B6" s="6">
        <v>0</v>
      </c>
      <c r="C6" s="1">
        <v>0</v>
      </c>
      <c r="D6" s="1">
        <v>262225.39392790123</v>
      </c>
      <c r="E6" s="1">
        <v>0</v>
      </c>
      <c r="F6" s="1">
        <v>0</v>
      </c>
      <c r="G6" s="9">
        <f>SUM(AL_FINANCIAL)</f>
        <v>262225.39392790123</v>
      </c>
      <c r="L6" s="6"/>
      <c r="V6" s="9"/>
    </row>
    <row r="7" spans="1:22">
      <c r="A7" s="1" t="s">
        <v>12</v>
      </c>
      <c r="B7" s="6">
        <v>0</v>
      </c>
      <c r="C7" s="1">
        <v>0</v>
      </c>
      <c r="D7" s="1">
        <v>0</v>
      </c>
      <c r="E7" s="1">
        <v>0</v>
      </c>
      <c r="F7" s="1">
        <v>0</v>
      </c>
      <c r="G7" s="9">
        <f>SUM(AK_FINANCIAL)</f>
        <v>0</v>
      </c>
      <c r="I7" s="12"/>
      <c r="J7" s="15"/>
      <c r="L7" s="6"/>
      <c r="V7" s="9"/>
    </row>
    <row r="8" spans="1:22">
      <c r="A8" s="1" t="s">
        <v>13</v>
      </c>
      <c r="B8" s="6">
        <v>0</v>
      </c>
      <c r="C8" s="1">
        <v>0</v>
      </c>
      <c r="D8" s="1">
        <v>0</v>
      </c>
      <c r="E8" s="1">
        <v>0</v>
      </c>
      <c r="F8" s="1">
        <v>2004472.9841224004</v>
      </c>
      <c r="G8" s="9">
        <f>SUM(AZ_FINANCIAL)</f>
        <v>2004472.9841224004</v>
      </c>
      <c r="I8" s="13" t="s">
        <v>14</v>
      </c>
      <c r="J8" s="16"/>
      <c r="L8" s="6"/>
      <c r="V8" s="9"/>
    </row>
    <row r="9" spans="1:22">
      <c r="A9" s="1" t="s">
        <v>15</v>
      </c>
      <c r="B9" s="6">
        <v>0</v>
      </c>
      <c r="C9" s="1">
        <v>0</v>
      </c>
      <c r="D9" s="1">
        <v>0</v>
      </c>
      <c r="E9" s="1">
        <v>0</v>
      </c>
      <c r="F9" s="1">
        <v>0</v>
      </c>
      <c r="G9" s="9">
        <f>SUM(AR_FINANCIAL)</f>
        <v>0</v>
      </c>
      <c r="I9" s="13"/>
      <c r="J9" s="16"/>
      <c r="L9" s="6"/>
      <c r="V9" s="9"/>
    </row>
    <row r="10" spans="1:22">
      <c r="A10" s="1" t="s">
        <v>16</v>
      </c>
      <c r="B10" s="6">
        <v>0</v>
      </c>
      <c r="C10" s="1">
        <v>0</v>
      </c>
      <c r="D10" s="1">
        <v>0</v>
      </c>
      <c r="E10" s="1">
        <v>0</v>
      </c>
      <c r="F10" s="1">
        <v>0</v>
      </c>
      <c r="G10" s="9">
        <f>SUM(CA_FINANCIAL)</f>
        <v>0</v>
      </c>
      <c r="I10" s="13" t="s">
        <v>17</v>
      </c>
      <c r="J10" s="16">
        <v>26984000</v>
      </c>
      <c r="L10" s="6"/>
      <c r="V10" s="9"/>
    </row>
    <row r="11" spans="1:22">
      <c r="A11" s="1" t="s">
        <v>18</v>
      </c>
      <c r="B11" s="6">
        <v>0</v>
      </c>
      <c r="C11" s="1">
        <v>0</v>
      </c>
      <c r="D11" s="1">
        <v>158595.6039999768</v>
      </c>
      <c r="E11" s="1">
        <v>0</v>
      </c>
      <c r="F11" s="1">
        <v>0</v>
      </c>
      <c r="G11" s="9">
        <f>SUM(CO_FINANCIAL)</f>
        <v>158595.6039999768</v>
      </c>
      <c r="I11" s="13"/>
      <c r="J11" s="16"/>
      <c r="L11" s="6"/>
      <c r="V11" s="9"/>
    </row>
    <row r="12" spans="1:22">
      <c r="A12" s="1" t="s">
        <v>19</v>
      </c>
      <c r="B12" s="6">
        <v>0</v>
      </c>
      <c r="C12" s="1">
        <v>0</v>
      </c>
      <c r="D12" s="1">
        <v>0</v>
      </c>
      <c r="E12" s="1">
        <v>0</v>
      </c>
      <c r="F12" s="1">
        <v>0</v>
      </c>
      <c r="G12" s="9">
        <f>SUM(CT_FINANCIAL)</f>
        <v>0</v>
      </c>
      <c r="I12" s="13" t="s">
        <v>20</v>
      </c>
      <c r="J12" s="16"/>
      <c r="L12" s="6"/>
      <c r="V12" s="9"/>
    </row>
    <row r="13" spans="1:22">
      <c r="A13" s="1" t="s">
        <v>21</v>
      </c>
      <c r="B13" s="6">
        <v>0</v>
      </c>
      <c r="C13" s="1">
        <v>0</v>
      </c>
      <c r="D13" s="1">
        <v>0</v>
      </c>
      <c r="E13" s="1">
        <v>0</v>
      </c>
      <c r="F13" s="1">
        <v>0</v>
      </c>
      <c r="G13" s="9">
        <f>SUM(DE_FINANCIAL)</f>
        <v>0</v>
      </c>
      <c r="I13" s="13" t="s">
        <v>22</v>
      </c>
      <c r="J13" s="16">
        <v>11200897.35</v>
      </c>
      <c r="L13" s="6"/>
      <c r="V13" s="9"/>
    </row>
    <row r="14" spans="1:22">
      <c r="A14" s="1" t="s">
        <v>23</v>
      </c>
      <c r="B14" s="6">
        <v>0</v>
      </c>
      <c r="C14" s="1">
        <v>0</v>
      </c>
      <c r="D14" s="1">
        <v>0</v>
      </c>
      <c r="E14" s="1">
        <v>0</v>
      </c>
      <c r="F14" s="1">
        <v>0</v>
      </c>
      <c r="G14" s="9">
        <f>SUM(DC_FINANCIAL)</f>
        <v>0</v>
      </c>
      <c r="I14" s="13" t="s">
        <v>24</v>
      </c>
      <c r="J14" s="16">
        <v>651431.25799999991</v>
      </c>
      <c r="L14" s="6"/>
      <c r="V14" s="9"/>
    </row>
    <row r="15" spans="1:22">
      <c r="A15" s="1" t="s">
        <v>25</v>
      </c>
      <c r="B15" s="6">
        <v>0</v>
      </c>
      <c r="C15" s="1">
        <v>0</v>
      </c>
      <c r="D15" s="1">
        <v>0</v>
      </c>
      <c r="E15" s="1">
        <v>0</v>
      </c>
      <c r="F15" s="1">
        <v>2710867.0543387467</v>
      </c>
      <c r="G15" s="9">
        <f>SUM(FL_FINANCIAL)</f>
        <v>2710867.0543387467</v>
      </c>
      <c r="I15" s="13" t="s">
        <v>26</v>
      </c>
      <c r="J15" s="16">
        <v>3901809.2151686116</v>
      </c>
      <c r="L15" s="6">
        <v>168904</v>
      </c>
      <c r="M15" s="1">
        <v>0</v>
      </c>
      <c r="O15" s="1">
        <v>279636</v>
      </c>
      <c r="P15" s="1">
        <v>0</v>
      </c>
      <c r="R15" s="1">
        <v>1649138</v>
      </c>
      <c r="S15" s="1">
        <v>0</v>
      </c>
      <c r="U15" s="1">
        <v>0</v>
      </c>
      <c r="V15" s="9">
        <v>0</v>
      </c>
    </row>
    <row r="16" spans="1:22">
      <c r="A16" s="1" t="s">
        <v>27</v>
      </c>
      <c r="B16" s="6">
        <v>0</v>
      </c>
      <c r="C16" s="1">
        <v>0</v>
      </c>
      <c r="D16" s="1">
        <v>0</v>
      </c>
      <c r="E16" s="1">
        <v>0</v>
      </c>
      <c r="F16" s="1">
        <v>0</v>
      </c>
      <c r="G16" s="9">
        <f>SUM(GA_FINANCIAL)</f>
        <v>0</v>
      </c>
      <c r="I16" s="13" t="s">
        <v>28</v>
      </c>
      <c r="J16" s="16">
        <v>21089619.089000002</v>
      </c>
      <c r="L16" s="6"/>
      <c r="V16" s="9"/>
    </row>
    <row r="17" spans="1:22">
      <c r="A17" s="1" t="s">
        <v>29</v>
      </c>
      <c r="B17" s="6">
        <v>0</v>
      </c>
      <c r="C17" s="1">
        <v>0</v>
      </c>
      <c r="D17" s="1">
        <v>0</v>
      </c>
      <c r="E17" s="1">
        <v>0</v>
      </c>
      <c r="F17" s="1">
        <v>0</v>
      </c>
      <c r="G17" s="9">
        <f>SUM(HI_FINANCIAL)</f>
        <v>0</v>
      </c>
      <c r="I17" s="13"/>
      <c r="J17" s="16"/>
      <c r="L17" s="6"/>
      <c r="V17" s="9"/>
    </row>
    <row r="18" spans="1:22">
      <c r="A18" s="1" t="s">
        <v>30</v>
      </c>
      <c r="B18" s="6">
        <v>0</v>
      </c>
      <c r="C18" s="1">
        <v>0</v>
      </c>
      <c r="D18" s="1">
        <v>0</v>
      </c>
      <c r="E18" s="1">
        <v>0</v>
      </c>
      <c r="F18" s="1">
        <v>0</v>
      </c>
      <c r="G18" s="9">
        <f>SUM(ID_FINANCIAL)</f>
        <v>0</v>
      </c>
      <c r="I18" s="13" t="s">
        <v>31</v>
      </c>
      <c r="J18" s="16"/>
      <c r="L18" s="6"/>
      <c r="V18" s="9"/>
    </row>
    <row r="19" spans="1:22">
      <c r="A19" s="1" t="s">
        <v>32</v>
      </c>
      <c r="B19" s="6">
        <v>0</v>
      </c>
      <c r="C19" s="1">
        <v>0</v>
      </c>
      <c r="D19" s="1">
        <v>0</v>
      </c>
      <c r="E19" s="1">
        <v>0</v>
      </c>
      <c r="F19" s="1">
        <v>0</v>
      </c>
      <c r="G19" s="9">
        <f>SUM(IL_FINANCIAL)</f>
        <v>0</v>
      </c>
      <c r="I19" s="13" t="s">
        <v>33</v>
      </c>
      <c r="J19" s="16">
        <v>0</v>
      </c>
      <c r="L19" s="6"/>
      <c r="V19" s="9"/>
    </row>
    <row r="20" spans="1:22">
      <c r="A20" s="1" t="s">
        <v>34</v>
      </c>
      <c r="B20" s="6">
        <v>0</v>
      </c>
      <c r="C20" s="1">
        <v>0</v>
      </c>
      <c r="D20" s="1">
        <v>0</v>
      </c>
      <c r="E20" s="1">
        <v>0</v>
      </c>
      <c r="F20" s="1">
        <v>0</v>
      </c>
      <c r="G20" s="9">
        <f>SUM(IN_FINANCIAL)</f>
        <v>0</v>
      </c>
      <c r="I20" s="13" t="s">
        <v>35</v>
      </c>
      <c r="J20" s="16">
        <v>26984000</v>
      </c>
      <c r="L20" s="6"/>
      <c r="V20" s="9"/>
    </row>
    <row r="21" spans="1:22">
      <c r="A21" s="1" t="s">
        <v>36</v>
      </c>
      <c r="B21" s="6">
        <v>0</v>
      </c>
      <c r="C21" s="1">
        <v>0</v>
      </c>
      <c r="D21" s="1">
        <v>0</v>
      </c>
      <c r="E21" s="1">
        <v>0</v>
      </c>
      <c r="F21" s="1">
        <v>0</v>
      </c>
      <c r="G21" s="9">
        <f>SUM(IA_FINANCIAL)</f>
        <v>0</v>
      </c>
      <c r="I21" s="13" t="s">
        <v>37</v>
      </c>
      <c r="J21" s="16"/>
      <c r="L21" s="6"/>
      <c r="V21" s="9"/>
    </row>
    <row r="22" spans="1:22">
      <c r="A22" s="1" t="s">
        <v>38</v>
      </c>
      <c r="B22" s="6">
        <v>0</v>
      </c>
      <c r="C22" s="1">
        <v>0</v>
      </c>
      <c r="D22" s="1">
        <v>0</v>
      </c>
      <c r="E22" s="1">
        <v>0</v>
      </c>
      <c r="F22" s="1">
        <v>0</v>
      </c>
      <c r="G22" s="9">
        <f>SUM(KS_FINANCIAL)</f>
        <v>0</v>
      </c>
      <c r="I22" s="13" t="s">
        <v>39</v>
      </c>
      <c r="J22" s="16">
        <v>0</v>
      </c>
      <c r="L22" s="6"/>
      <c r="V22" s="9"/>
    </row>
    <row r="23" spans="1:22">
      <c r="A23" s="1" t="s">
        <v>40</v>
      </c>
      <c r="B23" s="6">
        <v>0</v>
      </c>
      <c r="C23" s="1">
        <v>0</v>
      </c>
      <c r="D23" s="1">
        <v>0</v>
      </c>
      <c r="E23" s="1">
        <v>0</v>
      </c>
      <c r="F23" s="1">
        <v>0</v>
      </c>
      <c r="G23" s="9">
        <f>SUM(KY_FINANCIAL)</f>
        <v>0</v>
      </c>
      <c r="I23" s="13" t="s">
        <v>41</v>
      </c>
      <c r="J23" s="16"/>
      <c r="L23" s="6"/>
      <c r="V23" s="9"/>
    </row>
    <row r="24" spans="1:22">
      <c r="A24" s="1" t="s">
        <v>42</v>
      </c>
      <c r="B24" s="6">
        <v>0</v>
      </c>
      <c r="C24" s="1">
        <v>0</v>
      </c>
      <c r="D24" s="1">
        <v>0</v>
      </c>
      <c r="E24" s="1">
        <v>0</v>
      </c>
      <c r="F24" s="1">
        <v>9620228.1437475644</v>
      </c>
      <c r="G24" s="9">
        <f>SUM(LA_FINANCIAL)</f>
        <v>9620228.1437475644</v>
      </c>
      <c r="I24" s="13" t="s">
        <v>43</v>
      </c>
      <c r="J24" s="16">
        <v>6847818.0117580658</v>
      </c>
      <c r="L24" s="6">
        <v>2691000</v>
      </c>
      <c r="M24" s="1">
        <v>0</v>
      </c>
      <c r="O24" s="1">
        <v>0</v>
      </c>
      <c r="P24" s="1">
        <v>0</v>
      </c>
      <c r="R24" s="1">
        <v>3909000</v>
      </c>
      <c r="S24" s="1">
        <v>0</v>
      </c>
      <c r="U24" s="1">
        <v>0</v>
      </c>
      <c r="V24" s="9">
        <v>0</v>
      </c>
    </row>
    <row r="25" spans="1:22">
      <c r="A25" s="1" t="s">
        <v>44</v>
      </c>
      <c r="B25" s="6">
        <v>0</v>
      </c>
      <c r="C25" s="1">
        <v>0</v>
      </c>
      <c r="D25" s="1">
        <v>0</v>
      </c>
      <c r="E25" s="1">
        <v>0</v>
      </c>
      <c r="F25" s="1">
        <v>0</v>
      </c>
      <c r="G25" s="9">
        <f>SUM(ME_FINANCIAL)</f>
        <v>0</v>
      </c>
      <c r="I25" s="13"/>
      <c r="J25" s="16"/>
      <c r="L25" s="6"/>
      <c r="V25" s="9"/>
    </row>
    <row r="26" spans="1:22">
      <c r="A26" s="1" t="s">
        <v>45</v>
      </c>
      <c r="B26" s="6">
        <v>0</v>
      </c>
      <c r="C26" s="1">
        <v>0</v>
      </c>
      <c r="D26" s="1">
        <v>22526.37805525713</v>
      </c>
      <c r="E26" s="1">
        <v>0</v>
      </c>
      <c r="F26" s="1">
        <v>0</v>
      </c>
      <c r="G26" s="9">
        <f>SUM(MD_FINANCIAL)</f>
        <v>22526.37805525713</v>
      </c>
      <c r="I26" s="13" t="s">
        <v>46</v>
      </c>
      <c r="J26" s="16">
        <f>SUM(ADD_FINANCIAL)-SUM(LESS_FINANCIAL)</f>
        <v>29995938.900410548</v>
      </c>
      <c r="L26" s="6"/>
      <c r="V26" s="9"/>
    </row>
    <row r="27" spans="1:22">
      <c r="A27" s="1" t="s">
        <v>47</v>
      </c>
      <c r="B27" s="6">
        <v>0</v>
      </c>
      <c r="C27" s="1">
        <v>0</v>
      </c>
      <c r="D27" s="1">
        <v>0</v>
      </c>
      <c r="E27" s="1">
        <v>0</v>
      </c>
      <c r="F27" s="1">
        <v>0</v>
      </c>
      <c r="G27" s="9">
        <f>SUM(MA_FINANCIAL)</f>
        <v>0</v>
      </c>
      <c r="I27" s="13" t="s">
        <v>48</v>
      </c>
      <c r="J27" s="16">
        <f>SUM(ALL_BLOCKS)</f>
        <v>29995938.900410548</v>
      </c>
      <c r="L27" s="6"/>
      <c r="V27" s="9"/>
    </row>
    <row r="28" spans="1:22">
      <c r="A28" s="1" t="s">
        <v>49</v>
      </c>
      <c r="B28" s="6">
        <v>0</v>
      </c>
      <c r="C28" s="1">
        <v>0</v>
      </c>
      <c r="D28" s="1">
        <v>0</v>
      </c>
      <c r="E28" s="1">
        <v>0</v>
      </c>
      <c r="F28" s="1">
        <v>0</v>
      </c>
      <c r="G28" s="9">
        <f>SUM(MI_FINANCIAL)</f>
        <v>0</v>
      </c>
      <c r="I28" s="14"/>
      <c r="J28" s="17"/>
      <c r="L28" s="6"/>
      <c r="V28" s="9"/>
    </row>
    <row r="29" spans="1:22">
      <c r="A29" s="1" t="s">
        <v>50</v>
      </c>
      <c r="B29" s="6">
        <v>0</v>
      </c>
      <c r="C29" s="1">
        <v>0</v>
      </c>
      <c r="D29" s="1">
        <v>0</v>
      </c>
      <c r="E29" s="1">
        <v>0</v>
      </c>
      <c r="F29" s="1">
        <v>0</v>
      </c>
      <c r="G29" s="9">
        <f>SUM(MN_FINANCIAL)</f>
        <v>0</v>
      </c>
      <c r="L29" s="6"/>
      <c r="V29" s="9"/>
    </row>
    <row r="30" spans="1:22">
      <c r="A30" s="1" t="s">
        <v>51</v>
      </c>
      <c r="B30" s="6">
        <v>0</v>
      </c>
      <c r="C30" s="1">
        <v>0</v>
      </c>
      <c r="D30" s="1">
        <v>10832736.983369695</v>
      </c>
      <c r="E30" s="1">
        <v>0</v>
      </c>
      <c r="F30" s="1">
        <v>0</v>
      </c>
      <c r="G30" s="9">
        <f>SUM(MS_FINANCIAL)</f>
        <v>10832736.983369695</v>
      </c>
      <c r="L30" s="6">
        <v>0</v>
      </c>
      <c r="M30" s="1">
        <v>0</v>
      </c>
      <c r="O30" s="1">
        <v>0</v>
      </c>
      <c r="P30" s="1">
        <v>0</v>
      </c>
      <c r="R30" s="1">
        <v>0</v>
      </c>
      <c r="S30" s="1">
        <v>0</v>
      </c>
      <c r="U30" s="1">
        <v>0</v>
      </c>
      <c r="V30" s="9">
        <v>0</v>
      </c>
    </row>
    <row r="31" spans="1:22">
      <c r="A31" s="1" t="s">
        <v>52</v>
      </c>
      <c r="B31" s="6">
        <v>0</v>
      </c>
      <c r="C31" s="1">
        <v>0</v>
      </c>
      <c r="D31" s="1">
        <v>0</v>
      </c>
      <c r="E31" s="1">
        <v>0</v>
      </c>
      <c r="F31" s="1">
        <v>0</v>
      </c>
      <c r="G31" s="9">
        <f>SUM(MO_FINANCIAL)</f>
        <v>0</v>
      </c>
      <c r="L31" s="6"/>
      <c r="V31" s="9"/>
    </row>
    <row r="32" spans="1:22">
      <c r="A32" s="1" t="s">
        <v>53</v>
      </c>
      <c r="B32" s="6">
        <v>0</v>
      </c>
      <c r="C32" s="1">
        <v>0</v>
      </c>
      <c r="D32" s="1">
        <v>0</v>
      </c>
      <c r="E32" s="1">
        <v>0</v>
      </c>
      <c r="F32" s="1">
        <v>0</v>
      </c>
      <c r="G32" s="9">
        <f>SUM(MT_FINANCIAL)</f>
        <v>0</v>
      </c>
      <c r="L32" s="6"/>
      <c r="V32" s="9"/>
    </row>
    <row r="33" spans="1:22">
      <c r="A33" s="1" t="s">
        <v>54</v>
      </c>
      <c r="B33" s="6">
        <v>0</v>
      </c>
      <c r="C33" s="1">
        <v>0</v>
      </c>
      <c r="D33" s="1">
        <v>0</v>
      </c>
      <c r="E33" s="1">
        <v>0</v>
      </c>
      <c r="F33" s="1">
        <v>0</v>
      </c>
      <c r="G33" s="9">
        <f>SUM(NE_FINANCIAL)</f>
        <v>0</v>
      </c>
      <c r="L33" s="6"/>
      <c r="V33" s="9"/>
    </row>
    <row r="34" spans="1:22">
      <c r="A34" s="1" t="s">
        <v>55</v>
      </c>
      <c r="B34" s="6">
        <v>0</v>
      </c>
      <c r="C34" s="1">
        <v>0</v>
      </c>
      <c r="D34" s="1">
        <v>0</v>
      </c>
      <c r="E34" s="1">
        <v>0</v>
      </c>
      <c r="F34" s="1">
        <v>0</v>
      </c>
      <c r="G34" s="9">
        <f>SUM(NV_FINANCIAL)</f>
        <v>0</v>
      </c>
      <c r="L34" s="6"/>
      <c r="V34" s="9"/>
    </row>
    <row r="35" spans="1:22">
      <c r="A35" s="1" t="s">
        <v>56</v>
      </c>
      <c r="B35" s="6">
        <v>0</v>
      </c>
      <c r="C35" s="1">
        <v>0</v>
      </c>
      <c r="D35" s="1">
        <v>0</v>
      </c>
      <c r="E35" s="1">
        <v>0</v>
      </c>
      <c r="F35" s="1">
        <v>0</v>
      </c>
      <c r="G35" s="9">
        <f>SUM(NH_FINANCIAL)</f>
        <v>0</v>
      </c>
      <c r="L35" s="6"/>
      <c r="V35" s="9"/>
    </row>
    <row r="36" spans="1:22">
      <c r="A36" s="1" t="s">
        <v>57</v>
      </c>
      <c r="B36" s="6">
        <v>0</v>
      </c>
      <c r="C36" s="1">
        <v>0</v>
      </c>
      <c r="D36" s="1">
        <v>0</v>
      </c>
      <c r="E36" s="1">
        <v>0</v>
      </c>
      <c r="F36" s="1">
        <v>0</v>
      </c>
      <c r="G36" s="9">
        <f>SUM(NJ_FINANCIAL)</f>
        <v>0</v>
      </c>
      <c r="L36" s="6"/>
      <c r="V36" s="9"/>
    </row>
    <row r="37" spans="1:22">
      <c r="A37" s="1" t="s">
        <v>58</v>
      </c>
      <c r="B37" s="6">
        <v>0</v>
      </c>
      <c r="C37" s="1">
        <v>0</v>
      </c>
      <c r="D37" s="1">
        <v>884164.83474776079</v>
      </c>
      <c r="E37" s="1">
        <v>0</v>
      </c>
      <c r="F37" s="1">
        <v>0</v>
      </c>
      <c r="G37" s="9">
        <f>SUM(NM_FINANCIAL)</f>
        <v>884164.83474776079</v>
      </c>
      <c r="L37" s="6">
        <v>0</v>
      </c>
      <c r="M37" s="1">
        <v>0</v>
      </c>
      <c r="O37" s="1">
        <v>0</v>
      </c>
      <c r="P37" s="1">
        <v>0</v>
      </c>
      <c r="R37" s="1">
        <v>500000</v>
      </c>
      <c r="S37" s="1">
        <v>0</v>
      </c>
      <c r="U37" s="1">
        <v>0</v>
      </c>
      <c r="V37" s="9">
        <v>0</v>
      </c>
    </row>
    <row r="38" spans="1:22">
      <c r="A38" s="1" t="s">
        <v>59</v>
      </c>
      <c r="B38" s="6">
        <v>0</v>
      </c>
      <c r="C38" s="1">
        <v>0</v>
      </c>
      <c r="D38" s="1">
        <v>0</v>
      </c>
      <c r="E38" s="1">
        <v>0</v>
      </c>
      <c r="F38" s="1">
        <v>0</v>
      </c>
      <c r="G38" s="9">
        <f>SUM(NY_FINANCIAL)</f>
        <v>0</v>
      </c>
      <c r="L38" s="6"/>
      <c r="V38" s="9"/>
    </row>
    <row r="39" spans="1:22">
      <c r="A39" s="1" t="s">
        <v>60</v>
      </c>
      <c r="B39" s="6">
        <v>0</v>
      </c>
      <c r="C39" s="1">
        <v>0</v>
      </c>
      <c r="D39" s="1">
        <v>0</v>
      </c>
      <c r="E39" s="1">
        <v>0</v>
      </c>
      <c r="F39" s="1">
        <v>0</v>
      </c>
      <c r="G39" s="9">
        <f>SUM(NC_FINANCIAL)</f>
        <v>0</v>
      </c>
      <c r="L39" s="6"/>
      <c r="V39" s="9"/>
    </row>
    <row r="40" spans="1:22">
      <c r="A40" s="1" t="s">
        <v>61</v>
      </c>
      <c r="B40" s="6">
        <v>0</v>
      </c>
      <c r="C40" s="1">
        <v>0</v>
      </c>
      <c r="D40" s="1">
        <v>0</v>
      </c>
      <c r="E40" s="1">
        <v>0</v>
      </c>
      <c r="F40" s="1">
        <v>0</v>
      </c>
      <c r="G40" s="9">
        <f>SUM(ND_FINANCIAL)</f>
        <v>0</v>
      </c>
      <c r="L40" s="6"/>
      <c r="V40" s="9"/>
    </row>
    <row r="41" spans="1:22">
      <c r="A41" s="1" t="s">
        <v>62</v>
      </c>
      <c r="B41" s="6">
        <v>0</v>
      </c>
      <c r="C41" s="1">
        <v>0</v>
      </c>
      <c r="D41" s="1">
        <v>0</v>
      </c>
      <c r="E41" s="1">
        <v>0</v>
      </c>
      <c r="F41" s="1">
        <v>0</v>
      </c>
      <c r="G41" s="9">
        <f>SUM(OH_FINANCIAL)</f>
        <v>0</v>
      </c>
      <c r="L41" s="6"/>
      <c r="V41" s="9"/>
    </row>
    <row r="42" spans="1:22">
      <c r="A42" s="1" t="s">
        <v>63</v>
      </c>
      <c r="B42" s="6">
        <v>0</v>
      </c>
      <c r="C42" s="1">
        <v>0</v>
      </c>
      <c r="D42" s="1">
        <v>0</v>
      </c>
      <c r="E42" s="1">
        <v>0</v>
      </c>
      <c r="F42" s="1">
        <v>0</v>
      </c>
      <c r="G42" s="9">
        <f>SUM(OK_FINANCIAL)</f>
        <v>0</v>
      </c>
      <c r="L42" s="6"/>
      <c r="V42" s="9"/>
    </row>
    <row r="43" spans="1:22">
      <c r="A43" s="1" t="s">
        <v>64</v>
      </c>
      <c r="B43" s="6">
        <v>0</v>
      </c>
      <c r="C43" s="1">
        <v>0</v>
      </c>
      <c r="D43" s="1">
        <v>0</v>
      </c>
      <c r="E43" s="1">
        <v>0</v>
      </c>
      <c r="F43" s="1">
        <v>0</v>
      </c>
      <c r="G43" s="9">
        <f>SUM(OR_FINANCIAL)</f>
        <v>0</v>
      </c>
      <c r="L43" s="6"/>
      <c r="V43" s="9"/>
    </row>
    <row r="44" spans="1:22">
      <c r="A44" s="1" t="s">
        <v>65</v>
      </c>
      <c r="B44" s="6">
        <v>0</v>
      </c>
      <c r="C44" s="1">
        <v>0</v>
      </c>
      <c r="D44" s="1">
        <v>3174302.5592199978</v>
      </c>
      <c r="E44" s="1">
        <v>0</v>
      </c>
      <c r="F44" s="1">
        <v>0</v>
      </c>
      <c r="G44" s="9">
        <f>SUM(PA_FINANCIAL)</f>
        <v>3174302.5592199978</v>
      </c>
      <c r="L44" s="6"/>
      <c r="V44" s="9"/>
    </row>
    <row r="45" spans="1:22">
      <c r="A45" s="1" t="s">
        <v>66</v>
      </c>
      <c r="B45" s="6">
        <v>0</v>
      </c>
      <c r="C45" s="1">
        <v>0</v>
      </c>
      <c r="D45" s="1">
        <v>0</v>
      </c>
      <c r="E45" s="1">
        <v>0</v>
      </c>
      <c r="F45" s="1">
        <v>0</v>
      </c>
      <c r="G45" s="9">
        <f>SUM(PR_FINANCIAL)</f>
        <v>0</v>
      </c>
      <c r="L45" s="6"/>
      <c r="V45" s="9"/>
    </row>
    <row r="46" spans="1:22">
      <c r="A46" s="1" t="s">
        <v>67</v>
      </c>
      <c r="B46" s="6">
        <v>0</v>
      </c>
      <c r="C46" s="1">
        <v>0</v>
      </c>
      <c r="D46" s="1">
        <v>0</v>
      </c>
      <c r="E46" s="1">
        <v>0</v>
      </c>
      <c r="F46" s="1">
        <v>0</v>
      </c>
      <c r="G46" s="9">
        <f>SUM(RI_FINANCIAL)</f>
        <v>0</v>
      </c>
      <c r="L46" s="6"/>
      <c r="V46" s="9"/>
    </row>
    <row r="47" spans="1:22">
      <c r="A47" s="1" t="s">
        <v>68</v>
      </c>
      <c r="B47" s="6">
        <v>0</v>
      </c>
      <c r="C47" s="1">
        <v>0</v>
      </c>
      <c r="D47" s="1">
        <v>0</v>
      </c>
      <c r="E47" s="1">
        <v>0</v>
      </c>
      <c r="F47" s="1">
        <v>0</v>
      </c>
      <c r="G47" s="9">
        <f>SUM(SC_FINANCIAL)</f>
        <v>0</v>
      </c>
      <c r="L47" s="6"/>
      <c r="V47" s="9"/>
    </row>
    <row r="48" spans="1:22">
      <c r="A48" s="1" t="s">
        <v>69</v>
      </c>
      <c r="B48" s="6">
        <v>0</v>
      </c>
      <c r="C48" s="1">
        <v>0</v>
      </c>
      <c r="D48" s="1">
        <v>0</v>
      </c>
      <c r="E48" s="1">
        <v>0</v>
      </c>
      <c r="F48" s="1">
        <v>0</v>
      </c>
      <c r="G48" s="9">
        <f>SUM(SD_FINANCIAL)</f>
        <v>0</v>
      </c>
      <c r="L48" s="6"/>
      <c r="V48" s="9"/>
    </row>
    <row r="49" spans="1:22">
      <c r="A49" s="1" t="s">
        <v>70</v>
      </c>
      <c r="B49" s="6">
        <v>0</v>
      </c>
      <c r="C49" s="1">
        <v>0</v>
      </c>
      <c r="D49" s="1">
        <v>0</v>
      </c>
      <c r="E49" s="1">
        <v>0</v>
      </c>
      <c r="F49" s="1">
        <v>0</v>
      </c>
      <c r="G49" s="9">
        <f>SUM(TN_FINANCIAL)</f>
        <v>0</v>
      </c>
      <c r="L49" s="6"/>
      <c r="V49" s="9"/>
    </row>
    <row r="50" spans="1:22">
      <c r="A50" s="1" t="s">
        <v>71</v>
      </c>
      <c r="B50" s="6">
        <v>0</v>
      </c>
      <c r="C50" s="1">
        <v>0</v>
      </c>
      <c r="D50" s="1">
        <v>222181.258</v>
      </c>
      <c r="E50" s="1">
        <v>0</v>
      </c>
      <c r="F50" s="1">
        <v>111090.629</v>
      </c>
      <c r="G50" s="9">
        <f>SUM(TX_FINANCIAL)</f>
        <v>333271.88699999999</v>
      </c>
      <c r="L50" s="6"/>
      <c r="V50" s="9"/>
    </row>
    <row r="51" spans="1:22">
      <c r="A51" s="1" t="s">
        <v>72</v>
      </c>
      <c r="B51" s="6">
        <v>0</v>
      </c>
      <c r="C51" s="1">
        <v>0</v>
      </c>
      <c r="D51" s="1">
        <v>0</v>
      </c>
      <c r="E51" s="1">
        <v>0</v>
      </c>
      <c r="F51" s="1">
        <v>0</v>
      </c>
      <c r="G51" s="9">
        <f>SUM(UT_FINANCIAL)</f>
        <v>0</v>
      </c>
      <c r="L51" s="6"/>
      <c r="V51" s="9"/>
    </row>
    <row r="52" spans="1:22">
      <c r="A52" s="1" t="s">
        <v>73</v>
      </c>
      <c r="B52" s="6">
        <v>0</v>
      </c>
      <c r="C52" s="1">
        <v>0</v>
      </c>
      <c r="D52" s="1">
        <v>0</v>
      </c>
      <c r="E52" s="1">
        <v>0</v>
      </c>
      <c r="F52" s="1">
        <v>0</v>
      </c>
      <c r="G52" s="9">
        <f>SUM(VT_FINANCIAL)</f>
        <v>0</v>
      </c>
      <c r="L52" s="6"/>
      <c r="V52" s="9"/>
    </row>
    <row r="53" spans="1:22">
      <c r="A53" s="1" t="s">
        <v>74</v>
      </c>
      <c r="B53" s="6">
        <v>0</v>
      </c>
      <c r="C53" s="1">
        <v>0</v>
      </c>
      <c r="D53" s="1">
        <v>0</v>
      </c>
      <c r="E53" s="1">
        <v>0</v>
      </c>
      <c r="F53" s="1">
        <v>-7452.9221187548828</v>
      </c>
      <c r="G53" s="9">
        <f>SUM(VA_FINANCIAL)</f>
        <v>-7452.9221187548828</v>
      </c>
      <c r="L53" s="6"/>
      <c r="V53" s="9"/>
    </row>
    <row r="54" spans="1:22">
      <c r="A54" s="1" t="s">
        <v>75</v>
      </c>
      <c r="B54" s="6">
        <v>0</v>
      </c>
      <c r="C54" s="1">
        <v>0</v>
      </c>
      <c r="D54" s="1">
        <v>0</v>
      </c>
      <c r="E54" s="1">
        <v>0</v>
      </c>
      <c r="F54" s="1">
        <v>0</v>
      </c>
      <c r="G54" s="9">
        <f>SUM(WA_FINANCIAL)</f>
        <v>0</v>
      </c>
      <c r="L54" s="6"/>
      <c r="V54" s="9"/>
    </row>
    <row r="55" spans="1:22">
      <c r="A55" s="1" t="s">
        <v>76</v>
      </c>
      <c r="B55" s="6">
        <v>0</v>
      </c>
      <c r="C55" s="1">
        <v>0</v>
      </c>
      <c r="D55" s="1">
        <v>0</v>
      </c>
      <c r="E55" s="1">
        <v>0</v>
      </c>
      <c r="F55" s="1">
        <v>0</v>
      </c>
      <c r="G55" s="9">
        <f>SUM(WV_FINANCIAL)</f>
        <v>0</v>
      </c>
      <c r="L55" s="6"/>
      <c r="V55" s="9"/>
    </row>
    <row r="56" spans="1:22">
      <c r="A56" s="1" t="s">
        <v>77</v>
      </c>
      <c r="B56" s="6">
        <v>0</v>
      </c>
      <c r="C56" s="1">
        <v>0</v>
      </c>
      <c r="D56" s="1">
        <v>0</v>
      </c>
      <c r="E56" s="1">
        <v>0</v>
      </c>
      <c r="F56" s="1">
        <v>0</v>
      </c>
      <c r="G56" s="9">
        <f>SUM(WI_FINANCIAL)</f>
        <v>0</v>
      </c>
      <c r="L56" s="6"/>
      <c r="V56" s="9"/>
    </row>
    <row r="57" spans="1:22">
      <c r="A57" s="1" t="s">
        <v>78</v>
      </c>
      <c r="B57" s="6">
        <v>0</v>
      </c>
      <c r="C57" s="1">
        <v>0</v>
      </c>
      <c r="D57" s="1">
        <v>0</v>
      </c>
      <c r="E57" s="1">
        <v>0</v>
      </c>
      <c r="F57" s="1">
        <v>0</v>
      </c>
      <c r="G57" s="9">
        <f>SUM(WY_FINANCIAL)</f>
        <v>0</v>
      </c>
      <c r="L57" s="6"/>
      <c r="V57" s="9"/>
    </row>
    <row r="58" spans="1:22">
      <c r="A58" s="1" t="s">
        <v>79</v>
      </c>
      <c r="B58" s="6">
        <v>0</v>
      </c>
      <c r="C58" s="1">
        <v>0</v>
      </c>
      <c r="D58" s="1">
        <v>0</v>
      </c>
      <c r="E58" s="1">
        <v>0</v>
      </c>
      <c r="F58" s="1">
        <v>0</v>
      </c>
      <c r="G58" s="9">
        <f>SUM(OT_FINANCIAL)</f>
        <v>0</v>
      </c>
      <c r="L58" s="6"/>
      <c r="V58" s="9"/>
    </row>
    <row r="59" spans="1:22">
      <c r="B59" s="6"/>
      <c r="G59" s="9"/>
      <c r="L59" s="6"/>
      <c r="V59" s="9"/>
    </row>
    <row r="60" spans="1:22">
      <c r="A60" s="1" t="s">
        <v>8</v>
      </c>
      <c r="B60" s="6">
        <f>SUM(LIFE)</f>
        <v>0</v>
      </c>
      <c r="C60" s="1">
        <f>SUM(ALLOCATED)</f>
        <v>0</v>
      </c>
      <c r="D60" s="1">
        <f>SUM(HEALTH)</f>
        <v>15556733.011320589</v>
      </c>
      <c r="E60" s="1">
        <f>SUM(UNALLOCATED)</f>
        <v>0</v>
      </c>
      <c r="F60" s="1">
        <f>SUM(LTC)</f>
        <v>14439205.889089957</v>
      </c>
      <c r="G60" s="9">
        <f>SUM(ALL_BLOCKS)</f>
        <v>29995938.900410548</v>
      </c>
      <c r="L60" s="6">
        <f>SUM(LIFE_CALLED)</f>
        <v>2859904</v>
      </c>
      <c r="M60" s="1">
        <f>SUM(LIFE_REFUNDED)</f>
        <v>0</v>
      </c>
      <c r="O60" s="1">
        <f>SUM(ALLOC_CALLED)</f>
        <v>279636</v>
      </c>
      <c r="P60" s="1">
        <f>SUM(ALLOC_REFUNDED)</f>
        <v>0</v>
      </c>
      <c r="R60" s="1">
        <f>SUM(HEALTH_CALLED)</f>
        <v>6058138</v>
      </c>
      <c r="S60" s="1">
        <f>SUM(HEALTH_REFUNDED)</f>
        <v>0</v>
      </c>
      <c r="U60" s="1">
        <f>SUM(UNALLOC_CALLED)</f>
        <v>0</v>
      </c>
      <c r="V60" s="9">
        <f>SUM(UNALLOC_REFUNDED)</f>
        <v>0</v>
      </c>
    </row>
    <row r="61" spans="1:22" ht="5.0999999999999996" customHeight="1">
      <c r="B61" s="6"/>
      <c r="G61" s="9"/>
      <c r="L61" s="6"/>
      <c r="V61" s="9"/>
    </row>
    <row r="62" spans="1:22">
      <c r="B62" s="6"/>
      <c r="G62" s="9"/>
      <c r="L62" s="78" t="s">
        <v>80</v>
      </c>
      <c r="M62" s="79"/>
      <c r="N62" s="79"/>
      <c r="O62" s="79"/>
      <c r="P62" s="79"/>
      <c r="Q62" s="79"/>
      <c r="R62" s="79"/>
      <c r="S62" s="79"/>
      <c r="T62" s="79"/>
      <c r="U62" s="79"/>
      <c r="V62" s="80"/>
    </row>
    <row r="63" spans="1:22">
      <c r="B63" s="6"/>
      <c r="G63" s="9"/>
      <c r="L63" s="81"/>
      <c r="M63" s="79"/>
      <c r="N63" s="79"/>
      <c r="O63" s="79"/>
      <c r="P63" s="79"/>
      <c r="Q63" s="79"/>
      <c r="R63" s="79"/>
      <c r="S63" s="79"/>
      <c r="T63" s="79"/>
      <c r="U63" s="79"/>
      <c r="V63" s="80"/>
    </row>
    <row r="64" spans="1:22">
      <c r="B64" s="8"/>
      <c r="C64" s="5"/>
      <c r="D64" s="5"/>
      <c r="E64" s="5"/>
      <c r="F64" s="5"/>
      <c r="G64" s="11"/>
      <c r="L64" s="82"/>
      <c r="M64" s="83"/>
      <c r="N64" s="83"/>
      <c r="O64" s="83"/>
      <c r="P64" s="83"/>
      <c r="Q64" s="83"/>
      <c r="R64" s="83"/>
      <c r="S64" s="83"/>
      <c r="T64" s="83"/>
      <c r="U64" s="83"/>
      <c r="V64" s="84"/>
    </row>
  </sheetData>
  <mergeCells count="8">
    <mergeCell ref="L62:V64"/>
    <mergeCell ref="A1:G1"/>
    <mergeCell ref="B3:G3"/>
    <mergeCell ref="L3:V3"/>
    <mergeCell ref="L4:M4"/>
    <mergeCell ref="O4:P4"/>
    <mergeCell ref="R4:S4"/>
    <mergeCell ref="U4:V4"/>
  </mergeCells>
  <pageMargins left="0" right="0" top="0" bottom="0" header="0" footer="0"/>
  <pageSetup scale="48" orientation="landscape"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pageSetUpPr fitToPage="1"/>
  </sheetPr>
  <dimension ref="A1:V64"/>
  <sheetViews>
    <sheetView zoomScale="75" workbookViewId="0">
      <selection sqref="A1:G1"/>
    </sheetView>
  </sheetViews>
  <sheetFormatPr defaultColWidth="9.109375" defaultRowHeight="14.4"/>
  <cols>
    <col min="1" max="1" width="20" style="1" customWidth="1"/>
    <col min="2" max="7" width="15" style="1" customWidth="1"/>
    <col min="8" max="8" width="1" style="1" customWidth="1"/>
    <col min="9" max="9" width="30" style="1" customWidth="1"/>
    <col min="10" max="10" width="15" style="1" customWidth="1"/>
    <col min="11" max="11" width="1" style="1" customWidth="1"/>
    <col min="12" max="13" width="15" style="1" customWidth="1"/>
    <col min="14" max="14" width="1" style="1" customWidth="1"/>
    <col min="15" max="16" width="15" style="1" customWidth="1"/>
    <col min="17" max="17" width="1" style="1" customWidth="1"/>
    <col min="18" max="19" width="15" style="1" customWidth="1"/>
    <col min="20" max="20" width="1" style="1" customWidth="1"/>
    <col min="21" max="22" width="15" style="1" customWidth="1"/>
    <col min="23" max="23" width="9.109375" style="1" customWidth="1"/>
    <col min="24" max="16384" width="9.109375" style="1"/>
  </cols>
  <sheetData>
    <row r="1" spans="1:22">
      <c r="A1" s="85" t="s">
        <v>164</v>
      </c>
      <c r="B1" s="79"/>
      <c r="C1" s="79"/>
      <c r="D1" s="79"/>
      <c r="E1" s="79"/>
      <c r="F1" s="79"/>
      <c r="G1" s="79"/>
    </row>
    <row r="3" spans="1:22">
      <c r="B3" s="86" t="s">
        <v>1</v>
      </c>
      <c r="C3" s="87"/>
      <c r="D3" s="87"/>
      <c r="E3" s="87"/>
      <c r="F3" s="87"/>
      <c r="G3" s="88"/>
      <c r="L3" s="89" t="s">
        <v>2</v>
      </c>
      <c r="M3" s="90"/>
      <c r="N3" s="90"/>
      <c r="O3" s="90"/>
      <c r="P3" s="90"/>
      <c r="Q3" s="90"/>
      <c r="R3" s="90"/>
      <c r="S3" s="90"/>
      <c r="T3" s="90"/>
      <c r="U3" s="90"/>
      <c r="V3" s="91"/>
    </row>
    <row r="4" spans="1:22">
      <c r="B4" s="6"/>
      <c r="G4" s="9"/>
      <c r="L4" s="92" t="s">
        <v>3</v>
      </c>
      <c r="M4" s="93"/>
      <c r="N4" s="3"/>
      <c r="O4" s="94" t="s">
        <v>4</v>
      </c>
      <c r="P4" s="93"/>
      <c r="Q4" s="3"/>
      <c r="R4" s="94" t="s">
        <v>5</v>
      </c>
      <c r="S4" s="93"/>
      <c r="T4" s="3"/>
      <c r="U4" s="94" t="s">
        <v>6</v>
      </c>
      <c r="V4" s="95"/>
    </row>
    <row r="5" spans="1:22" ht="60" customHeight="1">
      <c r="B5" s="7" t="s">
        <v>3</v>
      </c>
      <c r="C5" s="4" t="s">
        <v>4</v>
      </c>
      <c r="D5" s="4" t="s">
        <v>5</v>
      </c>
      <c r="E5" s="4" t="s">
        <v>6</v>
      </c>
      <c r="F5" s="4" t="s">
        <v>7</v>
      </c>
      <c r="G5" s="10" t="s">
        <v>8</v>
      </c>
      <c r="L5" s="19" t="s">
        <v>9</v>
      </c>
      <c r="M5" s="18" t="s">
        <v>10</v>
      </c>
      <c r="N5" s="18"/>
      <c r="O5" s="18" t="s">
        <v>9</v>
      </c>
      <c r="P5" s="18" t="s">
        <v>10</v>
      </c>
      <c r="Q5" s="18"/>
      <c r="R5" s="18" t="s">
        <v>9</v>
      </c>
      <c r="S5" s="18" t="s">
        <v>10</v>
      </c>
      <c r="T5" s="18"/>
      <c r="U5" s="18" t="s">
        <v>9</v>
      </c>
      <c r="V5" s="20" t="s">
        <v>10</v>
      </c>
    </row>
    <row r="6" spans="1:22">
      <c r="A6" s="1" t="s">
        <v>11</v>
      </c>
      <c r="B6" s="6">
        <v>0</v>
      </c>
      <c r="C6" s="1">
        <v>0</v>
      </c>
      <c r="D6" s="1">
        <v>0</v>
      </c>
      <c r="E6" s="1">
        <v>0</v>
      </c>
      <c r="F6" s="1">
        <v>0</v>
      </c>
      <c r="G6" s="9">
        <f>SUM(AL_FINANCIAL)</f>
        <v>0</v>
      </c>
      <c r="L6" s="6"/>
      <c r="V6" s="9"/>
    </row>
    <row r="7" spans="1:22">
      <c r="A7" s="1" t="s">
        <v>12</v>
      </c>
      <c r="B7" s="6">
        <v>0</v>
      </c>
      <c r="C7" s="1">
        <v>0</v>
      </c>
      <c r="D7" s="1">
        <v>0</v>
      </c>
      <c r="E7" s="1">
        <v>0</v>
      </c>
      <c r="F7" s="1">
        <v>0</v>
      </c>
      <c r="G7" s="9">
        <f>SUM(AK_FINANCIAL)</f>
        <v>0</v>
      </c>
      <c r="I7" s="12"/>
      <c r="J7" s="15"/>
      <c r="L7" s="6"/>
      <c r="V7" s="9"/>
    </row>
    <row r="8" spans="1:22">
      <c r="A8" s="1" t="s">
        <v>13</v>
      </c>
      <c r="B8" s="6">
        <v>0</v>
      </c>
      <c r="C8" s="1">
        <v>0</v>
      </c>
      <c r="D8" s="1">
        <v>0</v>
      </c>
      <c r="E8" s="1">
        <v>0</v>
      </c>
      <c r="F8" s="1">
        <v>0</v>
      </c>
      <c r="G8" s="9">
        <f>SUM(AZ_FINANCIAL)</f>
        <v>0</v>
      </c>
      <c r="I8" s="13" t="s">
        <v>14</v>
      </c>
      <c r="J8" s="16"/>
      <c r="L8" s="6"/>
      <c r="V8" s="9"/>
    </row>
    <row r="9" spans="1:22">
      <c r="A9" s="1" t="s">
        <v>15</v>
      </c>
      <c r="B9" s="6">
        <v>15.051881993896236</v>
      </c>
      <c r="C9" s="1">
        <v>0</v>
      </c>
      <c r="D9" s="1">
        <v>2.9481180061037642</v>
      </c>
      <c r="E9" s="1">
        <v>0</v>
      </c>
      <c r="F9" s="1">
        <v>0</v>
      </c>
      <c r="G9" s="9">
        <f>SUM(AR_FINANCIAL)</f>
        <v>18</v>
      </c>
      <c r="I9" s="13"/>
      <c r="J9" s="16"/>
      <c r="L9" s="6"/>
      <c r="V9" s="9"/>
    </row>
    <row r="10" spans="1:22">
      <c r="A10" s="1" t="s">
        <v>16</v>
      </c>
      <c r="B10" s="6">
        <v>0</v>
      </c>
      <c r="C10" s="1">
        <v>0</v>
      </c>
      <c r="D10" s="1">
        <v>0</v>
      </c>
      <c r="E10" s="1">
        <v>0</v>
      </c>
      <c r="F10" s="1">
        <v>0</v>
      </c>
      <c r="G10" s="9">
        <f>SUM(CA_FINANCIAL)</f>
        <v>0</v>
      </c>
      <c r="I10" s="13" t="s">
        <v>17</v>
      </c>
      <c r="J10" s="16">
        <v>0</v>
      </c>
      <c r="L10" s="6"/>
      <c r="V10" s="9"/>
    </row>
    <row r="11" spans="1:22">
      <c r="A11" s="1" t="s">
        <v>18</v>
      </c>
      <c r="B11" s="6">
        <v>0</v>
      </c>
      <c r="C11" s="1">
        <v>0</v>
      </c>
      <c r="D11" s="1">
        <v>0</v>
      </c>
      <c r="E11" s="1">
        <v>0</v>
      </c>
      <c r="F11" s="1">
        <v>0</v>
      </c>
      <c r="G11" s="9">
        <f>SUM(CO_FINANCIAL)</f>
        <v>0</v>
      </c>
      <c r="I11" s="13"/>
      <c r="J11" s="16"/>
      <c r="L11" s="6"/>
      <c r="V11" s="9"/>
    </row>
    <row r="12" spans="1:22">
      <c r="A12" s="1" t="s">
        <v>19</v>
      </c>
      <c r="B12" s="6">
        <v>0</v>
      </c>
      <c r="C12" s="1">
        <v>0</v>
      </c>
      <c r="D12" s="1">
        <v>0</v>
      </c>
      <c r="E12" s="1">
        <v>0</v>
      </c>
      <c r="F12" s="1">
        <v>0</v>
      </c>
      <c r="G12" s="9">
        <f>SUM(CT_FINANCIAL)</f>
        <v>0</v>
      </c>
      <c r="I12" s="13" t="s">
        <v>20</v>
      </c>
      <c r="J12" s="16"/>
      <c r="L12" s="6"/>
      <c r="V12" s="9"/>
    </row>
    <row r="13" spans="1:22">
      <c r="A13" s="1" t="s">
        <v>21</v>
      </c>
      <c r="B13" s="6">
        <v>26.309859154929576</v>
      </c>
      <c r="C13" s="1">
        <v>0</v>
      </c>
      <c r="D13" s="1">
        <v>1.6901408450704225</v>
      </c>
      <c r="E13" s="1">
        <v>0</v>
      </c>
      <c r="F13" s="1">
        <v>0</v>
      </c>
      <c r="G13" s="9">
        <f>SUM(DE_FINANCIAL)</f>
        <v>28</v>
      </c>
      <c r="I13" s="13" t="s">
        <v>22</v>
      </c>
      <c r="J13" s="16">
        <v>0</v>
      </c>
      <c r="L13" s="6"/>
      <c r="V13" s="9"/>
    </row>
    <row r="14" spans="1:22">
      <c r="A14" s="1" t="s">
        <v>23</v>
      </c>
      <c r="B14" s="6">
        <v>0</v>
      </c>
      <c r="C14" s="1">
        <v>0</v>
      </c>
      <c r="D14" s="1">
        <v>0</v>
      </c>
      <c r="E14" s="1">
        <v>0</v>
      </c>
      <c r="F14" s="1">
        <v>0</v>
      </c>
      <c r="G14" s="9">
        <f>SUM(DC_FINANCIAL)</f>
        <v>0</v>
      </c>
      <c r="I14" s="13" t="s">
        <v>24</v>
      </c>
      <c r="J14" s="16">
        <v>0</v>
      </c>
      <c r="L14" s="6"/>
      <c r="V14" s="9"/>
    </row>
    <row r="15" spans="1:22">
      <c r="A15" s="1" t="s">
        <v>25</v>
      </c>
      <c r="B15" s="6">
        <v>0</v>
      </c>
      <c r="C15" s="1">
        <v>0</v>
      </c>
      <c r="D15" s="1">
        <v>0</v>
      </c>
      <c r="E15" s="1">
        <v>0</v>
      </c>
      <c r="F15" s="1">
        <v>0</v>
      </c>
      <c r="G15" s="9">
        <f>SUM(FL_FINANCIAL)</f>
        <v>0</v>
      </c>
      <c r="I15" s="13" t="s">
        <v>26</v>
      </c>
      <c r="J15" s="16">
        <v>127564.99999999999</v>
      </c>
      <c r="L15" s="6"/>
      <c r="V15" s="9"/>
    </row>
    <row r="16" spans="1:22">
      <c r="A16" s="1" t="s">
        <v>27</v>
      </c>
      <c r="B16" s="6">
        <v>196.81253852249714</v>
      </c>
      <c r="C16" s="1">
        <v>0</v>
      </c>
      <c r="D16" s="1">
        <v>23.187461477502861</v>
      </c>
      <c r="E16" s="1">
        <v>0</v>
      </c>
      <c r="F16" s="1">
        <v>0</v>
      </c>
      <c r="G16" s="9">
        <f>SUM(GA_FINANCIAL)</f>
        <v>220</v>
      </c>
      <c r="I16" s="13" t="s">
        <v>28</v>
      </c>
      <c r="J16" s="16">
        <v>0</v>
      </c>
      <c r="L16" s="6"/>
      <c r="V16" s="9"/>
    </row>
    <row r="17" spans="1:22">
      <c r="A17" s="1" t="s">
        <v>29</v>
      </c>
      <c r="B17" s="6">
        <v>0</v>
      </c>
      <c r="C17" s="1">
        <v>0</v>
      </c>
      <c r="D17" s="1">
        <v>0</v>
      </c>
      <c r="E17" s="1">
        <v>0</v>
      </c>
      <c r="F17" s="1">
        <v>0</v>
      </c>
      <c r="G17" s="9">
        <f>SUM(HI_FINANCIAL)</f>
        <v>0</v>
      </c>
      <c r="I17" s="13"/>
      <c r="J17" s="16"/>
      <c r="L17" s="6"/>
      <c r="V17" s="9"/>
    </row>
    <row r="18" spans="1:22">
      <c r="A18" s="1" t="s">
        <v>30</v>
      </c>
      <c r="B18" s="6">
        <v>0</v>
      </c>
      <c r="C18" s="1">
        <v>0</v>
      </c>
      <c r="D18" s="1">
        <v>0</v>
      </c>
      <c r="E18" s="1">
        <v>0</v>
      </c>
      <c r="F18" s="1">
        <v>0</v>
      </c>
      <c r="G18" s="9">
        <f>SUM(ID_FINANCIAL)</f>
        <v>0</v>
      </c>
      <c r="I18" s="13" t="s">
        <v>31</v>
      </c>
      <c r="J18" s="16"/>
      <c r="L18" s="6"/>
      <c r="V18" s="9"/>
    </row>
    <row r="19" spans="1:22">
      <c r="A19" s="1" t="s">
        <v>32</v>
      </c>
      <c r="B19" s="6">
        <v>49</v>
      </c>
      <c r="C19" s="1">
        <v>0</v>
      </c>
      <c r="D19" s="1">
        <v>0</v>
      </c>
      <c r="E19" s="1">
        <v>0</v>
      </c>
      <c r="F19" s="1">
        <v>0</v>
      </c>
      <c r="G19" s="9">
        <f>SUM(IL_FINANCIAL)</f>
        <v>49</v>
      </c>
      <c r="I19" s="13" t="s">
        <v>33</v>
      </c>
      <c r="J19" s="16">
        <v>0</v>
      </c>
      <c r="L19" s="6"/>
      <c r="V19" s="9"/>
    </row>
    <row r="20" spans="1:22">
      <c r="A20" s="1" t="s">
        <v>34</v>
      </c>
      <c r="B20" s="6">
        <v>100.17907769603445</v>
      </c>
      <c r="C20" s="1">
        <v>0</v>
      </c>
      <c r="D20" s="1">
        <v>8.8209223039655473</v>
      </c>
      <c r="E20" s="1">
        <v>0</v>
      </c>
      <c r="F20" s="1">
        <v>0</v>
      </c>
      <c r="G20" s="9">
        <f>SUM(IN_FINANCIAL)</f>
        <v>109</v>
      </c>
      <c r="I20" s="13" t="s">
        <v>35</v>
      </c>
      <c r="J20" s="16">
        <v>0</v>
      </c>
      <c r="L20" s="6"/>
      <c r="V20" s="9"/>
    </row>
    <row r="21" spans="1:22">
      <c r="A21" s="1" t="s">
        <v>36</v>
      </c>
      <c r="B21" s="6">
        <v>0</v>
      </c>
      <c r="C21" s="1">
        <v>0</v>
      </c>
      <c r="D21" s="1">
        <v>0</v>
      </c>
      <c r="E21" s="1">
        <v>0</v>
      </c>
      <c r="F21" s="1">
        <v>0</v>
      </c>
      <c r="G21" s="9">
        <f>SUM(IA_FINANCIAL)</f>
        <v>0</v>
      </c>
      <c r="I21" s="13" t="s">
        <v>37</v>
      </c>
      <c r="J21" s="16"/>
      <c r="L21" s="6"/>
      <c r="V21" s="9"/>
    </row>
    <row r="22" spans="1:22">
      <c r="A22" s="1" t="s">
        <v>38</v>
      </c>
      <c r="B22" s="6">
        <v>0</v>
      </c>
      <c r="C22" s="1">
        <v>0</v>
      </c>
      <c r="D22" s="1">
        <v>0</v>
      </c>
      <c r="E22" s="1">
        <v>0</v>
      </c>
      <c r="F22" s="1">
        <v>0</v>
      </c>
      <c r="G22" s="9">
        <f>SUM(KS_FINANCIAL)</f>
        <v>0</v>
      </c>
      <c r="I22" s="13" t="s">
        <v>39</v>
      </c>
      <c r="J22" s="16">
        <v>0</v>
      </c>
      <c r="L22" s="6"/>
      <c r="V22" s="9"/>
    </row>
    <row r="23" spans="1:22">
      <c r="A23" s="1" t="s">
        <v>40</v>
      </c>
      <c r="B23" s="6">
        <v>1134.2397198353419</v>
      </c>
      <c r="C23" s="1">
        <v>0</v>
      </c>
      <c r="D23" s="1">
        <v>1083.7602801646581</v>
      </c>
      <c r="E23" s="1">
        <v>0</v>
      </c>
      <c r="F23" s="1">
        <v>0</v>
      </c>
      <c r="G23" s="9">
        <f>SUM(KY_FINANCIAL)</f>
        <v>2218</v>
      </c>
      <c r="I23" s="13" t="s">
        <v>41</v>
      </c>
      <c r="J23" s="16"/>
      <c r="L23" s="6"/>
      <c r="V23" s="9"/>
    </row>
    <row r="24" spans="1:22">
      <c r="A24" s="1" t="s">
        <v>42</v>
      </c>
      <c r="B24" s="6">
        <v>407.84463862242825</v>
      </c>
      <c r="C24" s="1">
        <v>0</v>
      </c>
      <c r="D24" s="1">
        <v>504.15536137757175</v>
      </c>
      <c r="E24" s="1">
        <v>0</v>
      </c>
      <c r="F24" s="1">
        <v>0</v>
      </c>
      <c r="G24" s="9">
        <f>SUM(LA_FINANCIAL)</f>
        <v>912</v>
      </c>
      <c r="I24" s="13" t="s">
        <v>43</v>
      </c>
      <c r="J24" s="16">
        <v>0</v>
      </c>
      <c r="L24" s="6"/>
      <c r="V24" s="9"/>
    </row>
    <row r="25" spans="1:22">
      <c r="A25" s="1" t="s">
        <v>44</v>
      </c>
      <c r="B25" s="6">
        <v>0</v>
      </c>
      <c r="C25" s="1">
        <v>0</v>
      </c>
      <c r="D25" s="1">
        <v>0</v>
      </c>
      <c r="E25" s="1">
        <v>0</v>
      </c>
      <c r="F25" s="1">
        <v>0</v>
      </c>
      <c r="G25" s="9">
        <f>SUM(ME_FINANCIAL)</f>
        <v>0</v>
      </c>
      <c r="I25" s="13"/>
      <c r="J25" s="16"/>
      <c r="L25" s="6"/>
      <c r="V25" s="9"/>
    </row>
    <row r="26" spans="1:22">
      <c r="A26" s="1" t="s">
        <v>45</v>
      </c>
      <c r="B26" s="6">
        <v>308.51986317810849</v>
      </c>
      <c r="C26" s="1">
        <v>0</v>
      </c>
      <c r="D26" s="1">
        <v>16.480136821891502</v>
      </c>
      <c r="E26" s="1">
        <v>0</v>
      </c>
      <c r="F26" s="1">
        <v>0</v>
      </c>
      <c r="G26" s="9">
        <f>SUM(MD_FINANCIAL)</f>
        <v>325</v>
      </c>
      <c r="I26" s="13" t="s">
        <v>46</v>
      </c>
      <c r="J26" s="16">
        <f>SUM(ADD_FINANCIAL)-SUM(LESS_FINANCIAL)</f>
        <v>127564.99999999999</v>
      </c>
      <c r="L26" s="6"/>
      <c r="V26" s="9"/>
    </row>
    <row r="27" spans="1:22">
      <c r="A27" s="1" t="s">
        <v>47</v>
      </c>
      <c r="B27" s="6">
        <v>0</v>
      </c>
      <c r="C27" s="1">
        <v>0</v>
      </c>
      <c r="D27" s="1">
        <v>0</v>
      </c>
      <c r="E27" s="1">
        <v>0</v>
      </c>
      <c r="F27" s="1">
        <v>0</v>
      </c>
      <c r="G27" s="9">
        <f>SUM(MA_FINANCIAL)</f>
        <v>0</v>
      </c>
      <c r="I27" s="13" t="s">
        <v>48</v>
      </c>
      <c r="J27" s="16">
        <f>SUM(ALL_BLOCKS)</f>
        <v>127565</v>
      </c>
      <c r="L27" s="6"/>
      <c r="V27" s="9"/>
    </row>
    <row r="28" spans="1:22">
      <c r="A28" s="1" t="s">
        <v>49</v>
      </c>
      <c r="B28" s="6">
        <v>0</v>
      </c>
      <c r="C28" s="1">
        <v>0</v>
      </c>
      <c r="D28" s="1">
        <v>0</v>
      </c>
      <c r="E28" s="1">
        <v>0</v>
      </c>
      <c r="F28" s="1">
        <v>0</v>
      </c>
      <c r="G28" s="9">
        <f>SUM(MI_FINANCIAL)</f>
        <v>0</v>
      </c>
      <c r="I28" s="14"/>
      <c r="J28" s="17"/>
      <c r="L28" s="6"/>
      <c r="V28" s="9"/>
    </row>
    <row r="29" spans="1:22">
      <c r="A29" s="1" t="s">
        <v>50</v>
      </c>
      <c r="B29" s="6">
        <v>0</v>
      </c>
      <c r="C29" s="1">
        <v>0</v>
      </c>
      <c r="D29" s="1">
        <v>0</v>
      </c>
      <c r="E29" s="1">
        <v>0</v>
      </c>
      <c r="F29" s="1">
        <v>0</v>
      </c>
      <c r="G29" s="9">
        <f>SUM(MN_FINANCIAL)</f>
        <v>0</v>
      </c>
      <c r="L29" s="6"/>
      <c r="V29" s="9"/>
    </row>
    <row r="30" spans="1:22">
      <c r="A30" s="1" t="s">
        <v>51</v>
      </c>
      <c r="B30" s="6">
        <v>16.142095914742452</v>
      </c>
      <c r="C30" s="1">
        <v>0</v>
      </c>
      <c r="D30" s="1">
        <v>15.857904085257548</v>
      </c>
      <c r="E30" s="1">
        <v>0</v>
      </c>
      <c r="F30" s="1">
        <v>0</v>
      </c>
      <c r="G30" s="9">
        <f>SUM(MS_FINANCIAL)</f>
        <v>32</v>
      </c>
      <c r="L30" s="6"/>
      <c r="V30" s="9"/>
    </row>
    <row r="31" spans="1:22">
      <c r="A31" s="1" t="s">
        <v>52</v>
      </c>
      <c r="B31" s="6">
        <v>104.94237260228863</v>
      </c>
      <c r="C31" s="1">
        <v>0</v>
      </c>
      <c r="D31" s="1">
        <v>368.05762739771137</v>
      </c>
      <c r="E31" s="1">
        <v>0</v>
      </c>
      <c r="F31" s="1">
        <v>0</v>
      </c>
      <c r="G31" s="9">
        <f>SUM(MO_FINANCIAL)</f>
        <v>473</v>
      </c>
      <c r="L31" s="6"/>
      <c r="V31" s="9"/>
    </row>
    <row r="32" spans="1:22">
      <c r="A32" s="1" t="s">
        <v>53</v>
      </c>
      <c r="B32" s="6">
        <v>0</v>
      </c>
      <c r="C32" s="1">
        <v>0</v>
      </c>
      <c r="D32" s="1">
        <v>0</v>
      </c>
      <c r="E32" s="1">
        <v>0</v>
      </c>
      <c r="F32" s="1">
        <v>0</v>
      </c>
      <c r="G32" s="9">
        <f>SUM(MT_FINANCIAL)</f>
        <v>0</v>
      </c>
      <c r="L32" s="6"/>
      <c r="V32" s="9"/>
    </row>
    <row r="33" spans="1:22">
      <c r="A33" s="1" t="s">
        <v>54</v>
      </c>
      <c r="B33" s="6">
        <v>3</v>
      </c>
      <c r="C33" s="1">
        <v>0</v>
      </c>
      <c r="D33" s="1">
        <v>0</v>
      </c>
      <c r="E33" s="1">
        <v>0</v>
      </c>
      <c r="F33" s="1">
        <v>0</v>
      </c>
      <c r="G33" s="9">
        <f>SUM(NE_FINANCIAL)</f>
        <v>3</v>
      </c>
      <c r="L33" s="6"/>
      <c r="V33" s="9"/>
    </row>
    <row r="34" spans="1:22">
      <c r="A34" s="1" t="s">
        <v>55</v>
      </c>
      <c r="B34" s="6">
        <v>0</v>
      </c>
      <c r="C34" s="1">
        <v>0</v>
      </c>
      <c r="D34" s="1">
        <v>0</v>
      </c>
      <c r="E34" s="1">
        <v>0</v>
      </c>
      <c r="F34" s="1">
        <v>0</v>
      </c>
      <c r="G34" s="9">
        <f>SUM(NV_FINANCIAL)</f>
        <v>0</v>
      </c>
      <c r="L34" s="6"/>
      <c r="V34" s="9"/>
    </row>
    <row r="35" spans="1:22">
      <c r="A35" s="1" t="s">
        <v>56</v>
      </c>
      <c r="B35" s="6">
        <v>0</v>
      </c>
      <c r="C35" s="1">
        <v>0</v>
      </c>
      <c r="D35" s="1">
        <v>0</v>
      </c>
      <c r="E35" s="1">
        <v>0</v>
      </c>
      <c r="F35" s="1">
        <v>0</v>
      </c>
      <c r="G35" s="9">
        <f>SUM(NH_FINANCIAL)</f>
        <v>0</v>
      </c>
      <c r="L35" s="6"/>
      <c r="V35" s="9"/>
    </row>
    <row r="36" spans="1:22">
      <c r="A36" s="1" t="s">
        <v>57</v>
      </c>
      <c r="B36" s="6">
        <v>0</v>
      </c>
      <c r="C36" s="1">
        <v>0</v>
      </c>
      <c r="D36" s="1">
        <v>0</v>
      </c>
      <c r="E36" s="1">
        <v>0</v>
      </c>
      <c r="F36" s="1">
        <v>0</v>
      </c>
      <c r="G36" s="9">
        <f>SUM(NJ_FINANCIAL)</f>
        <v>0</v>
      </c>
      <c r="L36" s="6"/>
      <c r="V36" s="9"/>
    </row>
    <row r="37" spans="1:22">
      <c r="A37" s="1" t="s">
        <v>58</v>
      </c>
      <c r="B37" s="6">
        <v>0</v>
      </c>
      <c r="C37" s="1">
        <v>0</v>
      </c>
      <c r="D37" s="1">
        <v>0</v>
      </c>
      <c r="E37" s="1">
        <v>0</v>
      </c>
      <c r="F37" s="1">
        <v>0</v>
      </c>
      <c r="G37" s="9">
        <f>SUM(NM_FINANCIAL)</f>
        <v>0</v>
      </c>
      <c r="L37" s="6"/>
      <c r="V37" s="9"/>
    </row>
    <row r="38" spans="1:22">
      <c r="A38" s="1" t="s">
        <v>59</v>
      </c>
      <c r="B38" s="6">
        <v>0</v>
      </c>
      <c r="C38" s="1">
        <v>0</v>
      </c>
      <c r="D38" s="1">
        <v>0</v>
      </c>
      <c r="E38" s="1">
        <v>0</v>
      </c>
      <c r="F38" s="1">
        <v>0</v>
      </c>
      <c r="G38" s="9">
        <f>SUM(NY_FINANCIAL)</f>
        <v>0</v>
      </c>
      <c r="L38" s="6"/>
      <c r="V38" s="9"/>
    </row>
    <row r="39" spans="1:22">
      <c r="A39" s="1" t="s">
        <v>60</v>
      </c>
      <c r="B39" s="6">
        <v>8658.2419994976844</v>
      </c>
      <c r="C39" s="1">
        <v>0</v>
      </c>
      <c r="D39" s="1">
        <v>5067.7580005023146</v>
      </c>
      <c r="E39" s="1">
        <v>0</v>
      </c>
      <c r="F39" s="1">
        <v>0</v>
      </c>
      <c r="G39" s="9">
        <f>SUM(NC_FINANCIAL)</f>
        <v>13726</v>
      </c>
      <c r="L39" s="6"/>
      <c r="V39" s="9"/>
    </row>
    <row r="40" spans="1:22">
      <c r="A40" s="1" t="s">
        <v>61</v>
      </c>
      <c r="B40" s="6">
        <v>1</v>
      </c>
      <c r="C40" s="1">
        <v>0</v>
      </c>
      <c r="D40" s="1">
        <v>0</v>
      </c>
      <c r="E40" s="1">
        <v>0</v>
      </c>
      <c r="F40" s="1">
        <v>0</v>
      </c>
      <c r="G40" s="9">
        <f>SUM(ND_FINANCIAL)</f>
        <v>1</v>
      </c>
      <c r="L40" s="6"/>
      <c r="V40" s="9"/>
    </row>
    <row r="41" spans="1:22">
      <c r="A41" s="1" t="s">
        <v>62</v>
      </c>
      <c r="B41" s="6">
        <v>352.31982337170791</v>
      </c>
      <c r="C41" s="1">
        <v>0</v>
      </c>
      <c r="D41" s="1">
        <v>17.680176628292067</v>
      </c>
      <c r="E41" s="1">
        <v>0</v>
      </c>
      <c r="F41" s="1">
        <v>0</v>
      </c>
      <c r="G41" s="9">
        <f>SUM(OH_FINANCIAL)</f>
        <v>370</v>
      </c>
      <c r="L41" s="6"/>
      <c r="V41" s="9"/>
    </row>
    <row r="42" spans="1:22">
      <c r="A42" s="1" t="s">
        <v>63</v>
      </c>
      <c r="B42" s="6">
        <v>0</v>
      </c>
      <c r="C42" s="1">
        <v>0</v>
      </c>
      <c r="D42" s="1">
        <v>0</v>
      </c>
      <c r="E42" s="1">
        <v>0</v>
      </c>
      <c r="F42" s="1">
        <v>0</v>
      </c>
      <c r="G42" s="9">
        <f>SUM(OK_FINANCIAL)</f>
        <v>0</v>
      </c>
      <c r="L42" s="6"/>
      <c r="V42" s="9"/>
    </row>
    <row r="43" spans="1:22">
      <c r="A43" s="1" t="s">
        <v>64</v>
      </c>
      <c r="B43" s="6">
        <v>0</v>
      </c>
      <c r="C43" s="1">
        <v>0</v>
      </c>
      <c r="D43" s="1">
        <v>0</v>
      </c>
      <c r="E43" s="1">
        <v>0</v>
      </c>
      <c r="F43" s="1">
        <v>0</v>
      </c>
      <c r="G43" s="9">
        <f>SUM(OR_FINANCIAL)</f>
        <v>0</v>
      </c>
      <c r="L43" s="6"/>
      <c r="V43" s="9"/>
    </row>
    <row r="44" spans="1:22">
      <c r="A44" s="1" t="s">
        <v>65</v>
      </c>
      <c r="B44" s="6">
        <v>0</v>
      </c>
      <c r="C44" s="1">
        <v>0</v>
      </c>
      <c r="D44" s="1">
        <v>0</v>
      </c>
      <c r="E44" s="1">
        <v>0</v>
      </c>
      <c r="F44" s="1">
        <v>0</v>
      </c>
      <c r="G44" s="9">
        <f>SUM(PA_FINANCIAL)</f>
        <v>0</v>
      </c>
      <c r="L44" s="6"/>
      <c r="V44" s="9"/>
    </row>
    <row r="45" spans="1:22">
      <c r="A45" s="1" t="s">
        <v>66</v>
      </c>
      <c r="B45" s="6">
        <v>0</v>
      </c>
      <c r="C45" s="1">
        <v>0</v>
      </c>
      <c r="D45" s="1">
        <v>0</v>
      </c>
      <c r="E45" s="1">
        <v>0</v>
      </c>
      <c r="F45" s="1">
        <v>0</v>
      </c>
      <c r="G45" s="9">
        <f>SUM(PR_FINANCIAL)</f>
        <v>0</v>
      </c>
      <c r="L45" s="6"/>
      <c r="V45" s="9"/>
    </row>
    <row r="46" spans="1:22">
      <c r="A46" s="1" t="s">
        <v>67</v>
      </c>
      <c r="B46" s="6">
        <v>0</v>
      </c>
      <c r="C46" s="1">
        <v>0</v>
      </c>
      <c r="D46" s="1">
        <v>0</v>
      </c>
      <c r="E46" s="1">
        <v>0</v>
      </c>
      <c r="F46" s="1">
        <v>0</v>
      </c>
      <c r="G46" s="9">
        <f>SUM(RI_FINANCIAL)</f>
        <v>0</v>
      </c>
      <c r="L46" s="6"/>
      <c r="V46" s="9"/>
    </row>
    <row r="47" spans="1:22">
      <c r="A47" s="1" t="s">
        <v>68</v>
      </c>
      <c r="B47" s="6">
        <v>176.99325626204239</v>
      </c>
      <c r="C47" s="1">
        <v>0</v>
      </c>
      <c r="D47" s="1">
        <v>25.00674373795761</v>
      </c>
      <c r="E47" s="1">
        <v>0</v>
      </c>
      <c r="F47" s="1">
        <v>0</v>
      </c>
      <c r="G47" s="9">
        <f>SUM(SC_FINANCIAL)</f>
        <v>202</v>
      </c>
      <c r="L47" s="6"/>
      <c r="V47" s="9"/>
    </row>
    <row r="48" spans="1:22">
      <c r="A48" s="1" t="s">
        <v>69</v>
      </c>
      <c r="B48" s="6">
        <v>0</v>
      </c>
      <c r="C48" s="1">
        <v>0</v>
      </c>
      <c r="D48" s="1">
        <v>0</v>
      </c>
      <c r="E48" s="1">
        <v>0</v>
      </c>
      <c r="F48" s="1">
        <v>0</v>
      </c>
      <c r="G48" s="9">
        <f>SUM(SD_FINANCIAL)</f>
        <v>0</v>
      </c>
      <c r="L48" s="6"/>
      <c r="V48" s="9"/>
    </row>
    <row r="49" spans="1:22">
      <c r="A49" s="1" t="s">
        <v>70</v>
      </c>
      <c r="B49" s="6">
        <v>5025.0389482047012</v>
      </c>
      <c r="C49" s="1">
        <v>0</v>
      </c>
      <c r="D49" s="1">
        <v>2009.961051795299</v>
      </c>
      <c r="E49" s="1">
        <v>0</v>
      </c>
      <c r="F49" s="1">
        <v>0</v>
      </c>
      <c r="G49" s="9">
        <f>SUM(TN_FINANCIAL)</f>
        <v>7035</v>
      </c>
      <c r="L49" s="6"/>
      <c r="V49" s="9"/>
    </row>
    <row r="50" spans="1:22">
      <c r="A50" s="1" t="s">
        <v>71</v>
      </c>
      <c r="B50" s="6">
        <v>0</v>
      </c>
      <c r="C50" s="1">
        <v>0</v>
      </c>
      <c r="D50" s="1">
        <v>0</v>
      </c>
      <c r="E50" s="1">
        <v>0</v>
      </c>
      <c r="F50" s="1">
        <v>0</v>
      </c>
      <c r="G50" s="9">
        <f>SUM(TX_FINANCIAL)</f>
        <v>0</v>
      </c>
      <c r="L50" s="6"/>
      <c r="V50" s="9"/>
    </row>
    <row r="51" spans="1:22">
      <c r="A51" s="1" t="s">
        <v>72</v>
      </c>
      <c r="B51" s="6">
        <v>0</v>
      </c>
      <c r="C51" s="1">
        <v>0</v>
      </c>
      <c r="D51" s="1">
        <v>0</v>
      </c>
      <c r="E51" s="1">
        <v>0</v>
      </c>
      <c r="F51" s="1">
        <v>0</v>
      </c>
      <c r="G51" s="9">
        <f>SUM(UT_FINANCIAL)</f>
        <v>0</v>
      </c>
      <c r="L51" s="6"/>
      <c r="V51" s="9"/>
    </row>
    <row r="52" spans="1:22">
      <c r="A52" s="1" t="s">
        <v>73</v>
      </c>
      <c r="B52" s="6">
        <v>0</v>
      </c>
      <c r="C52" s="1">
        <v>0</v>
      </c>
      <c r="D52" s="1">
        <v>0</v>
      </c>
      <c r="E52" s="1">
        <v>0</v>
      </c>
      <c r="F52" s="1">
        <v>0</v>
      </c>
      <c r="G52" s="9">
        <f>SUM(VT_FINANCIAL)</f>
        <v>0</v>
      </c>
      <c r="L52" s="6"/>
      <c r="V52" s="9"/>
    </row>
    <row r="53" spans="1:22">
      <c r="A53" s="1" t="s">
        <v>74</v>
      </c>
      <c r="B53" s="6">
        <v>83720.84661547649</v>
      </c>
      <c r="C53" s="1">
        <v>0</v>
      </c>
      <c r="D53" s="1">
        <v>17015.153384523506</v>
      </c>
      <c r="E53" s="1">
        <v>0</v>
      </c>
      <c r="F53" s="1">
        <v>0</v>
      </c>
      <c r="G53" s="9">
        <f>SUM(VA_FINANCIAL)</f>
        <v>100736</v>
      </c>
      <c r="L53" s="6">
        <v>97500</v>
      </c>
      <c r="M53" s="1">
        <v>0</v>
      </c>
      <c r="O53" s="1">
        <v>0</v>
      </c>
      <c r="P53" s="1">
        <v>0</v>
      </c>
      <c r="R53" s="1">
        <v>15000</v>
      </c>
      <c r="S53" s="1">
        <v>0</v>
      </c>
      <c r="U53" s="1">
        <v>0</v>
      </c>
      <c r="V53" s="9">
        <v>0</v>
      </c>
    </row>
    <row r="54" spans="1:22">
      <c r="A54" s="1" t="s">
        <v>75</v>
      </c>
      <c r="B54" s="6">
        <v>0</v>
      </c>
      <c r="C54" s="1">
        <v>0</v>
      </c>
      <c r="D54" s="1">
        <v>0</v>
      </c>
      <c r="E54" s="1">
        <v>0</v>
      </c>
      <c r="F54" s="1">
        <v>0</v>
      </c>
      <c r="G54" s="9">
        <f>SUM(WA_FINANCIAL)</f>
        <v>0</v>
      </c>
      <c r="L54" s="6"/>
      <c r="V54" s="9"/>
    </row>
    <row r="55" spans="1:22">
      <c r="A55" s="1" t="s">
        <v>76</v>
      </c>
      <c r="B55" s="6">
        <v>947.76453636507404</v>
      </c>
      <c r="C55" s="1">
        <v>0</v>
      </c>
      <c r="D55" s="1">
        <v>160.23546363492594</v>
      </c>
      <c r="E55" s="1">
        <v>0</v>
      </c>
      <c r="F55" s="1">
        <v>0</v>
      </c>
      <c r="G55" s="9">
        <f>SUM(WV_FINANCIAL)</f>
        <v>1108</v>
      </c>
      <c r="L55" s="6"/>
      <c r="V55" s="9"/>
    </row>
    <row r="56" spans="1:22">
      <c r="A56" s="1" t="s">
        <v>77</v>
      </c>
      <c r="B56" s="6">
        <v>0</v>
      </c>
      <c r="C56" s="1">
        <v>0</v>
      </c>
      <c r="D56" s="1">
        <v>0</v>
      </c>
      <c r="E56" s="1">
        <v>0</v>
      </c>
      <c r="F56" s="1">
        <v>0</v>
      </c>
      <c r="G56" s="9">
        <f>SUM(WI_FINANCIAL)</f>
        <v>0</v>
      </c>
      <c r="L56" s="6"/>
      <c r="V56" s="9"/>
    </row>
    <row r="57" spans="1:22">
      <c r="A57" s="1" t="s">
        <v>78</v>
      </c>
      <c r="B57" s="6">
        <v>0</v>
      </c>
      <c r="C57" s="1">
        <v>0</v>
      </c>
      <c r="D57" s="1">
        <v>0</v>
      </c>
      <c r="E57" s="1">
        <v>0</v>
      </c>
      <c r="F57" s="1">
        <v>0</v>
      </c>
      <c r="G57" s="9">
        <f>SUM(WY_FINANCIAL)</f>
        <v>0</v>
      </c>
      <c r="L57" s="6"/>
      <c r="V57" s="9"/>
    </row>
    <row r="58" spans="1:22">
      <c r="A58" s="1" t="s">
        <v>79</v>
      </c>
      <c r="B58" s="6">
        <v>0</v>
      </c>
      <c r="C58" s="1">
        <v>0</v>
      </c>
      <c r="D58" s="1">
        <v>0</v>
      </c>
      <c r="E58" s="1">
        <v>0</v>
      </c>
      <c r="F58" s="1">
        <v>0</v>
      </c>
      <c r="G58" s="9">
        <f>SUM(OT_FINANCIAL)</f>
        <v>0</v>
      </c>
      <c r="L58" s="6"/>
      <c r="V58" s="9"/>
    </row>
    <row r="59" spans="1:22">
      <c r="B59" s="6"/>
      <c r="G59" s="9"/>
      <c r="L59" s="6"/>
      <c r="V59" s="9"/>
    </row>
    <row r="60" spans="1:22">
      <c r="A60" s="1" t="s">
        <v>8</v>
      </c>
      <c r="B60" s="6">
        <f>SUM(LIFE)</f>
        <v>101244.24722669797</v>
      </c>
      <c r="C60" s="1">
        <f>SUM(ALLOCATED)</f>
        <v>0</v>
      </c>
      <c r="D60" s="1">
        <f>SUM(HEALTH)</f>
        <v>26320.752773302029</v>
      </c>
      <c r="E60" s="1">
        <f>SUM(UNALLOCATED)</f>
        <v>0</v>
      </c>
      <c r="F60" s="1">
        <f>SUM(LTC)</f>
        <v>0</v>
      </c>
      <c r="G60" s="9">
        <f>SUM(ALL_BLOCKS)</f>
        <v>127565</v>
      </c>
      <c r="L60" s="6">
        <f>SUM(LIFE_CALLED)</f>
        <v>97500</v>
      </c>
      <c r="M60" s="1">
        <f>SUM(LIFE_REFUNDED)</f>
        <v>0</v>
      </c>
      <c r="O60" s="1">
        <f>SUM(ALLOC_CALLED)</f>
        <v>0</v>
      </c>
      <c r="P60" s="1">
        <f>SUM(ALLOC_REFUNDED)</f>
        <v>0</v>
      </c>
      <c r="R60" s="1">
        <f>SUM(HEALTH_CALLED)</f>
        <v>15000</v>
      </c>
      <c r="S60" s="1">
        <f>SUM(HEALTH_REFUNDED)</f>
        <v>0</v>
      </c>
      <c r="U60" s="1">
        <f>SUM(UNALLOC_CALLED)</f>
        <v>0</v>
      </c>
      <c r="V60" s="9">
        <f>SUM(UNALLOC_REFUNDED)</f>
        <v>0</v>
      </c>
    </row>
    <row r="61" spans="1:22" ht="5.0999999999999996" customHeight="1">
      <c r="B61" s="6"/>
      <c r="G61" s="9"/>
      <c r="L61" s="6"/>
      <c r="V61" s="9"/>
    </row>
    <row r="62" spans="1:22">
      <c r="B62" s="6"/>
      <c r="G62" s="9"/>
      <c r="L62" s="78" t="s">
        <v>80</v>
      </c>
      <c r="M62" s="79"/>
      <c r="N62" s="79"/>
      <c r="O62" s="79"/>
      <c r="P62" s="79"/>
      <c r="Q62" s="79"/>
      <c r="R62" s="79"/>
      <c r="S62" s="79"/>
      <c r="T62" s="79"/>
      <c r="U62" s="79"/>
      <c r="V62" s="80"/>
    </row>
    <row r="63" spans="1:22">
      <c r="B63" s="6"/>
      <c r="G63" s="9"/>
      <c r="L63" s="81"/>
      <c r="M63" s="79"/>
      <c r="N63" s="79"/>
      <c r="O63" s="79"/>
      <c r="P63" s="79"/>
      <c r="Q63" s="79"/>
      <c r="R63" s="79"/>
      <c r="S63" s="79"/>
      <c r="T63" s="79"/>
      <c r="U63" s="79"/>
      <c r="V63" s="80"/>
    </row>
    <row r="64" spans="1:22">
      <c r="B64" s="8"/>
      <c r="C64" s="5"/>
      <c r="D64" s="5"/>
      <c r="E64" s="5"/>
      <c r="F64" s="5"/>
      <c r="G64" s="11"/>
      <c r="L64" s="82"/>
      <c r="M64" s="83"/>
      <c r="N64" s="83"/>
      <c r="O64" s="83"/>
      <c r="P64" s="83"/>
      <c r="Q64" s="83"/>
      <c r="R64" s="83"/>
      <c r="S64" s="83"/>
      <c r="T64" s="83"/>
      <c r="U64" s="83"/>
      <c r="V64" s="84"/>
    </row>
  </sheetData>
  <mergeCells count="8">
    <mergeCell ref="L62:V64"/>
    <mergeCell ref="A1:G1"/>
    <mergeCell ref="B3:G3"/>
    <mergeCell ref="L3:V3"/>
    <mergeCell ref="L4:M4"/>
    <mergeCell ref="O4:P4"/>
    <mergeCell ref="R4:S4"/>
    <mergeCell ref="U4:V4"/>
  </mergeCells>
  <pageMargins left="0" right="0" top="0" bottom="0" header="0" footer="0"/>
  <pageSetup scale="48" orientation="landscape"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pageSetUpPr fitToPage="1"/>
  </sheetPr>
  <dimension ref="A1:V64"/>
  <sheetViews>
    <sheetView zoomScale="75" workbookViewId="0">
      <selection sqref="A1:G1"/>
    </sheetView>
  </sheetViews>
  <sheetFormatPr defaultColWidth="9.109375" defaultRowHeight="14.4"/>
  <cols>
    <col min="1" max="1" width="20" style="1" customWidth="1"/>
    <col min="2" max="7" width="15" style="1" customWidth="1"/>
    <col min="8" max="8" width="1" style="1" customWidth="1"/>
    <col min="9" max="9" width="30" style="1" customWidth="1"/>
    <col min="10" max="10" width="15" style="1" customWidth="1"/>
    <col min="11" max="11" width="1" style="1" customWidth="1"/>
    <col min="12" max="13" width="15" style="1" customWidth="1"/>
    <col min="14" max="14" width="1" style="1" customWidth="1"/>
    <col min="15" max="16" width="15" style="1" customWidth="1"/>
    <col min="17" max="17" width="1" style="1" customWidth="1"/>
    <col min="18" max="19" width="15" style="1" customWidth="1"/>
    <col min="20" max="20" width="1" style="1" customWidth="1"/>
    <col min="21" max="22" width="15" style="1" customWidth="1"/>
    <col min="23" max="23" width="9.109375" style="1" customWidth="1"/>
    <col min="24" max="16384" width="9.109375" style="1"/>
  </cols>
  <sheetData>
    <row r="1" spans="1:22">
      <c r="A1" s="85" t="s">
        <v>165</v>
      </c>
      <c r="B1" s="79"/>
      <c r="C1" s="79"/>
      <c r="D1" s="79"/>
      <c r="E1" s="79"/>
      <c r="F1" s="79"/>
      <c r="G1" s="79"/>
    </row>
    <row r="3" spans="1:22">
      <c r="B3" s="86" t="s">
        <v>1</v>
      </c>
      <c r="C3" s="87"/>
      <c r="D3" s="87"/>
      <c r="E3" s="87"/>
      <c r="F3" s="87"/>
      <c r="G3" s="88"/>
      <c r="L3" s="89" t="s">
        <v>2</v>
      </c>
      <c r="M3" s="90"/>
      <c r="N3" s="90"/>
      <c r="O3" s="90"/>
      <c r="P3" s="90"/>
      <c r="Q3" s="90"/>
      <c r="R3" s="90"/>
      <c r="S3" s="90"/>
      <c r="T3" s="90"/>
      <c r="U3" s="90"/>
      <c r="V3" s="91"/>
    </row>
    <row r="4" spans="1:22">
      <c r="B4" s="6"/>
      <c r="G4" s="9"/>
      <c r="L4" s="92" t="s">
        <v>3</v>
      </c>
      <c r="M4" s="93"/>
      <c r="N4" s="3"/>
      <c r="O4" s="94" t="s">
        <v>4</v>
      </c>
      <c r="P4" s="93"/>
      <c r="Q4" s="3"/>
      <c r="R4" s="94" t="s">
        <v>5</v>
      </c>
      <c r="S4" s="93"/>
      <c r="T4" s="3"/>
      <c r="U4" s="94" t="s">
        <v>6</v>
      </c>
      <c r="V4" s="95"/>
    </row>
    <row r="5" spans="1:22" ht="60" customHeight="1">
      <c r="B5" s="7" t="s">
        <v>3</v>
      </c>
      <c r="C5" s="4" t="s">
        <v>4</v>
      </c>
      <c r="D5" s="4" t="s">
        <v>5</v>
      </c>
      <c r="E5" s="4" t="s">
        <v>6</v>
      </c>
      <c r="F5" s="4" t="s">
        <v>7</v>
      </c>
      <c r="G5" s="10" t="s">
        <v>8</v>
      </c>
      <c r="L5" s="19" t="s">
        <v>9</v>
      </c>
      <c r="M5" s="18" t="s">
        <v>10</v>
      </c>
      <c r="N5" s="18"/>
      <c r="O5" s="18" t="s">
        <v>9</v>
      </c>
      <c r="P5" s="18" t="s">
        <v>10</v>
      </c>
      <c r="Q5" s="18"/>
      <c r="R5" s="18" t="s">
        <v>9</v>
      </c>
      <c r="S5" s="18" t="s">
        <v>10</v>
      </c>
      <c r="T5" s="18"/>
      <c r="U5" s="18" t="s">
        <v>9</v>
      </c>
      <c r="V5" s="20" t="s">
        <v>10</v>
      </c>
    </row>
    <row r="6" spans="1:22">
      <c r="A6" s="1" t="s">
        <v>11</v>
      </c>
      <c r="B6" s="6">
        <v>1940.4173473183416</v>
      </c>
      <c r="C6" s="1">
        <v>1581.5406630616956</v>
      </c>
      <c r="D6" s="1">
        <v>1287.029764665376</v>
      </c>
      <c r="E6" s="1">
        <v>0</v>
      </c>
      <c r="F6" s="1">
        <v>0</v>
      </c>
      <c r="G6" s="9">
        <f>SUM(AL_FINANCIAL)</f>
        <v>4808.9877750454134</v>
      </c>
      <c r="L6" s="6"/>
      <c r="V6" s="9"/>
    </row>
    <row r="7" spans="1:22">
      <c r="A7" s="1" t="s">
        <v>12</v>
      </c>
      <c r="B7" s="6">
        <v>0</v>
      </c>
      <c r="C7" s="1">
        <v>0</v>
      </c>
      <c r="D7" s="1">
        <v>0</v>
      </c>
      <c r="E7" s="1">
        <v>0</v>
      </c>
      <c r="F7" s="1">
        <v>0</v>
      </c>
      <c r="G7" s="9">
        <f>SUM(AK_FINANCIAL)</f>
        <v>0</v>
      </c>
      <c r="I7" s="12"/>
      <c r="J7" s="15"/>
      <c r="L7" s="6"/>
      <c r="V7" s="9"/>
    </row>
    <row r="8" spans="1:22">
      <c r="A8" s="1" t="s">
        <v>13</v>
      </c>
      <c r="B8" s="6">
        <v>1259.3143150302649</v>
      </c>
      <c r="C8" s="1">
        <v>1026.4064066158351</v>
      </c>
      <c r="D8" s="1">
        <v>835.27134446259902</v>
      </c>
      <c r="E8" s="1">
        <v>0</v>
      </c>
      <c r="F8" s="1">
        <v>0</v>
      </c>
      <c r="G8" s="9">
        <f>SUM(AZ_FINANCIAL)</f>
        <v>3120.992066108699</v>
      </c>
      <c r="I8" s="13" t="s">
        <v>14</v>
      </c>
      <c r="J8" s="16"/>
      <c r="L8" s="6"/>
      <c r="V8" s="9"/>
    </row>
    <row r="9" spans="1:22">
      <c r="A9" s="1" t="s">
        <v>15</v>
      </c>
      <c r="B9" s="6">
        <v>1276.6646884831009</v>
      </c>
      <c r="C9" s="1">
        <v>1040.5478598309844</v>
      </c>
      <c r="D9" s="1">
        <v>846.77940848435219</v>
      </c>
      <c r="E9" s="1">
        <v>0</v>
      </c>
      <c r="F9" s="1">
        <v>0</v>
      </c>
      <c r="G9" s="9">
        <f>SUM(AR_FINANCIAL)</f>
        <v>3163.9919567984375</v>
      </c>
      <c r="I9" s="13"/>
      <c r="J9" s="16"/>
      <c r="L9" s="6"/>
      <c r="V9" s="9"/>
    </row>
    <row r="10" spans="1:22">
      <c r="A10" s="1" t="s">
        <v>16</v>
      </c>
      <c r="B10" s="6">
        <v>0</v>
      </c>
      <c r="C10" s="1">
        <v>0</v>
      </c>
      <c r="D10" s="1">
        <v>0</v>
      </c>
      <c r="E10" s="1">
        <v>0</v>
      </c>
      <c r="F10" s="1">
        <v>0</v>
      </c>
      <c r="G10" s="9">
        <f>SUM(CA_FINANCIAL)</f>
        <v>0</v>
      </c>
      <c r="I10" s="13" t="s">
        <v>17</v>
      </c>
      <c r="J10" s="16">
        <v>0</v>
      </c>
      <c r="L10" s="6"/>
      <c r="V10" s="9"/>
    </row>
    <row r="11" spans="1:22">
      <c r="A11" s="1" t="s">
        <v>18</v>
      </c>
      <c r="B11" s="6">
        <v>430.1278628075176</v>
      </c>
      <c r="C11" s="1">
        <v>350.57649133370086</v>
      </c>
      <c r="D11" s="1">
        <v>285.29293598113765</v>
      </c>
      <c r="E11" s="1">
        <v>0</v>
      </c>
      <c r="F11" s="1">
        <v>0</v>
      </c>
      <c r="G11" s="9">
        <f>SUM(CO_FINANCIAL)</f>
        <v>1065.9972901223562</v>
      </c>
      <c r="I11" s="13"/>
      <c r="J11" s="16"/>
      <c r="L11" s="6"/>
      <c r="V11" s="9"/>
    </row>
    <row r="12" spans="1:22">
      <c r="A12" s="1" t="s">
        <v>19</v>
      </c>
      <c r="B12" s="6">
        <v>0</v>
      </c>
      <c r="C12" s="1">
        <v>0</v>
      </c>
      <c r="D12" s="1">
        <v>0</v>
      </c>
      <c r="E12" s="1">
        <v>0</v>
      </c>
      <c r="F12" s="1">
        <v>0</v>
      </c>
      <c r="G12" s="9">
        <f>SUM(CT_FINANCIAL)</f>
        <v>0</v>
      </c>
      <c r="I12" s="13" t="s">
        <v>20</v>
      </c>
      <c r="J12" s="16"/>
      <c r="L12" s="6"/>
      <c r="V12" s="9"/>
    </row>
    <row r="13" spans="1:22">
      <c r="A13" s="1" t="s">
        <v>21</v>
      </c>
      <c r="B13" s="6">
        <v>323.20114269120222</v>
      </c>
      <c r="C13" s="1">
        <v>263.42567500778085</v>
      </c>
      <c r="D13" s="1">
        <v>214.37114607963537</v>
      </c>
      <c r="E13" s="1">
        <v>0</v>
      </c>
      <c r="F13" s="1">
        <v>0</v>
      </c>
      <c r="G13" s="9">
        <f>SUM(DE_FINANCIAL)</f>
        <v>800.99796377861844</v>
      </c>
      <c r="I13" s="13" t="s">
        <v>22</v>
      </c>
      <c r="J13" s="16">
        <v>0</v>
      </c>
      <c r="L13" s="6"/>
      <c r="V13" s="9"/>
    </row>
    <row r="14" spans="1:22">
      <c r="A14" s="1" t="s">
        <v>23</v>
      </c>
      <c r="B14" s="6">
        <v>518.49371829986876</v>
      </c>
      <c r="C14" s="1">
        <v>422.59924142946119</v>
      </c>
      <c r="D14" s="1">
        <v>343.90377367332263</v>
      </c>
      <c r="E14" s="1">
        <v>0</v>
      </c>
      <c r="F14" s="1">
        <v>0</v>
      </c>
      <c r="G14" s="9">
        <f>SUM(DC_FINANCIAL)</f>
        <v>1284.9967334026526</v>
      </c>
      <c r="I14" s="13" t="s">
        <v>24</v>
      </c>
      <c r="J14" s="16">
        <v>0</v>
      </c>
      <c r="L14" s="6"/>
      <c r="V14" s="9"/>
    </row>
    <row r="15" spans="1:22">
      <c r="A15" s="1" t="s">
        <v>25</v>
      </c>
      <c r="B15" s="6">
        <v>28858.109519693859</v>
      </c>
      <c r="C15" s="1">
        <v>23520.854277848292</v>
      </c>
      <c r="D15" s="1">
        <v>19140.854391529985</v>
      </c>
      <c r="E15" s="1">
        <v>0</v>
      </c>
      <c r="F15" s="1">
        <v>0</v>
      </c>
      <c r="G15" s="9">
        <f>SUM(FL_FINANCIAL)</f>
        <v>71519.818189072132</v>
      </c>
      <c r="I15" s="13" t="s">
        <v>26</v>
      </c>
      <c r="J15" s="16">
        <v>566459.56000000006</v>
      </c>
      <c r="L15" s="6"/>
      <c r="V15" s="9"/>
    </row>
    <row r="16" spans="1:22">
      <c r="A16" s="1" t="s">
        <v>27</v>
      </c>
      <c r="B16" s="6">
        <v>14736.923014370508</v>
      </c>
      <c r="C16" s="1">
        <v>12011.355715741794</v>
      </c>
      <c r="D16" s="1">
        <v>9774.6284248021493</v>
      </c>
      <c r="E16" s="1">
        <v>0</v>
      </c>
      <c r="F16" s="1">
        <v>0</v>
      </c>
      <c r="G16" s="9">
        <f>SUM(GA_FINANCIAL)</f>
        <v>36522.90715491445</v>
      </c>
      <c r="I16" s="13" t="s">
        <v>28</v>
      </c>
      <c r="J16" s="16">
        <v>0</v>
      </c>
      <c r="L16" s="6"/>
      <c r="V16" s="9"/>
    </row>
    <row r="17" spans="1:22">
      <c r="A17" s="1" t="s">
        <v>29</v>
      </c>
      <c r="B17" s="6">
        <v>0</v>
      </c>
      <c r="C17" s="1">
        <v>0</v>
      </c>
      <c r="D17" s="1">
        <v>0</v>
      </c>
      <c r="E17" s="1">
        <v>0</v>
      </c>
      <c r="F17" s="1">
        <v>0</v>
      </c>
      <c r="G17" s="9">
        <f>SUM(HI_FINANCIAL)</f>
        <v>0</v>
      </c>
      <c r="I17" s="13"/>
      <c r="J17" s="16"/>
      <c r="L17" s="6"/>
      <c r="V17" s="9"/>
    </row>
    <row r="18" spans="1:22">
      <c r="A18" s="1" t="s">
        <v>30</v>
      </c>
      <c r="B18" s="6">
        <v>0</v>
      </c>
      <c r="C18" s="1">
        <v>0</v>
      </c>
      <c r="D18" s="1">
        <v>0</v>
      </c>
      <c r="E18" s="1">
        <v>0</v>
      </c>
      <c r="F18" s="1">
        <v>0</v>
      </c>
      <c r="G18" s="9">
        <f>SUM(ID_FINANCIAL)</f>
        <v>0</v>
      </c>
      <c r="I18" s="13" t="s">
        <v>31</v>
      </c>
      <c r="J18" s="16"/>
      <c r="L18" s="6"/>
      <c r="V18" s="9"/>
    </row>
    <row r="19" spans="1:22">
      <c r="A19" s="1" t="s">
        <v>32</v>
      </c>
      <c r="B19" s="6">
        <v>2021.1167587268812</v>
      </c>
      <c r="C19" s="1">
        <v>1647.3148640623897</v>
      </c>
      <c r="D19" s="1">
        <v>1340.5556438363217</v>
      </c>
      <c r="E19" s="1">
        <v>0</v>
      </c>
      <c r="F19" s="1">
        <v>0</v>
      </c>
      <c r="G19" s="9">
        <f>SUM(IL_FINANCIAL)</f>
        <v>5008.9872666255924</v>
      </c>
      <c r="I19" s="13" t="s">
        <v>33</v>
      </c>
      <c r="J19" s="16">
        <v>0</v>
      </c>
      <c r="L19" s="6"/>
      <c r="V19" s="9"/>
    </row>
    <row r="20" spans="1:22">
      <c r="A20" s="1" t="s">
        <v>34</v>
      </c>
      <c r="B20" s="6">
        <v>4762.8792613320238</v>
      </c>
      <c r="C20" s="1">
        <v>3881.9933430609799</v>
      </c>
      <c r="D20" s="1">
        <v>3159.0973886691827</v>
      </c>
      <c r="E20" s="1">
        <v>0</v>
      </c>
      <c r="F20" s="1">
        <v>0</v>
      </c>
      <c r="G20" s="9">
        <f>SUM(IN_FINANCIAL)</f>
        <v>11803.969993062186</v>
      </c>
      <c r="I20" s="13" t="s">
        <v>35</v>
      </c>
      <c r="J20" s="16">
        <v>0</v>
      </c>
      <c r="L20" s="6"/>
      <c r="V20" s="9"/>
    </row>
    <row r="21" spans="1:22">
      <c r="A21" s="1" t="s">
        <v>36</v>
      </c>
      <c r="B21" s="6">
        <v>532.21261823932048</v>
      </c>
      <c r="C21" s="1">
        <v>433.78085559957913</v>
      </c>
      <c r="D21" s="1">
        <v>353.00317313238327</v>
      </c>
      <c r="E21" s="1">
        <v>0</v>
      </c>
      <c r="F21" s="1">
        <v>0</v>
      </c>
      <c r="G21" s="9">
        <f>SUM(IA_FINANCIAL)</f>
        <v>1318.9966469712829</v>
      </c>
      <c r="I21" s="13" t="s">
        <v>37</v>
      </c>
      <c r="J21" s="16"/>
      <c r="L21" s="6"/>
      <c r="V21" s="9"/>
    </row>
    <row r="22" spans="1:22">
      <c r="A22" s="1" t="s">
        <v>38</v>
      </c>
      <c r="B22" s="6">
        <v>358.30538665391708</v>
      </c>
      <c r="C22" s="1">
        <v>292.03745244308288</v>
      </c>
      <c r="D22" s="1">
        <v>237.65490351899643</v>
      </c>
      <c r="E22" s="1">
        <v>0</v>
      </c>
      <c r="F22" s="1">
        <v>0</v>
      </c>
      <c r="G22" s="9">
        <f>SUM(KS_FINANCIAL)</f>
        <v>887.99774261599646</v>
      </c>
      <c r="I22" s="13" t="s">
        <v>39</v>
      </c>
      <c r="J22" s="16">
        <v>0</v>
      </c>
      <c r="L22" s="6"/>
      <c r="V22" s="9"/>
    </row>
    <row r="23" spans="1:22">
      <c r="A23" s="1" t="s">
        <v>40</v>
      </c>
      <c r="B23" s="6">
        <v>3179.5568094964715</v>
      </c>
      <c r="C23" s="1">
        <v>2591.5035194273569</v>
      </c>
      <c r="D23" s="1">
        <v>2108.9196393352395</v>
      </c>
      <c r="E23" s="1">
        <v>0</v>
      </c>
      <c r="F23" s="1">
        <v>0</v>
      </c>
      <c r="G23" s="9">
        <f>SUM(KY_FINANCIAL)</f>
        <v>7879.9799682590674</v>
      </c>
      <c r="I23" s="13" t="s">
        <v>41</v>
      </c>
      <c r="J23" s="16"/>
      <c r="L23" s="6"/>
      <c r="V23" s="9"/>
    </row>
    <row r="24" spans="1:22">
      <c r="A24" s="1" t="s">
        <v>42</v>
      </c>
      <c r="B24" s="6">
        <v>8782.113446534353</v>
      </c>
      <c r="C24" s="1">
        <v>7157.8774239005625</v>
      </c>
      <c r="D24" s="1">
        <v>5824.9538007781075</v>
      </c>
      <c r="E24" s="1">
        <v>0</v>
      </c>
      <c r="F24" s="1">
        <v>0</v>
      </c>
      <c r="G24" s="9">
        <f>SUM(LA_FINANCIAL)</f>
        <v>21764.944671213023</v>
      </c>
      <c r="I24" s="13" t="s">
        <v>43</v>
      </c>
      <c r="J24" s="16">
        <v>0</v>
      </c>
      <c r="L24" s="6"/>
      <c r="V24" s="9"/>
    </row>
    <row r="25" spans="1:22">
      <c r="A25" s="1" t="s">
        <v>44</v>
      </c>
      <c r="B25" s="6">
        <v>0</v>
      </c>
      <c r="C25" s="1">
        <v>0</v>
      </c>
      <c r="D25" s="1">
        <v>0</v>
      </c>
      <c r="E25" s="1">
        <v>0</v>
      </c>
      <c r="F25" s="1">
        <v>0</v>
      </c>
      <c r="G25" s="9">
        <f>SUM(ME_FINANCIAL)</f>
        <v>0</v>
      </c>
      <c r="I25" s="13"/>
      <c r="J25" s="16"/>
      <c r="L25" s="6"/>
      <c r="V25" s="9"/>
    </row>
    <row r="26" spans="1:22">
      <c r="A26" s="1" t="s">
        <v>45</v>
      </c>
      <c r="B26" s="6">
        <v>4628.1112442797621</v>
      </c>
      <c r="C26" s="1">
        <v>3772.1504273898199</v>
      </c>
      <c r="D26" s="1">
        <v>3069.7091704537042</v>
      </c>
      <c r="E26" s="1">
        <v>0</v>
      </c>
      <c r="F26" s="1">
        <v>0</v>
      </c>
      <c r="G26" s="9">
        <f>SUM(MD_FINANCIAL)</f>
        <v>11469.970842123286</v>
      </c>
      <c r="I26" s="13" t="s">
        <v>46</v>
      </c>
      <c r="J26" s="16">
        <f>SUM(ADD_FINANCIAL)-SUM(LESS_FINANCIAL)</f>
        <v>566459.56000000006</v>
      </c>
      <c r="L26" s="6"/>
      <c r="V26" s="9"/>
    </row>
    <row r="27" spans="1:22">
      <c r="A27" s="1" t="s">
        <v>47</v>
      </c>
      <c r="B27" s="6">
        <v>0</v>
      </c>
      <c r="C27" s="1">
        <v>0</v>
      </c>
      <c r="D27" s="1">
        <v>0</v>
      </c>
      <c r="E27" s="1">
        <v>0</v>
      </c>
      <c r="F27" s="1">
        <v>0</v>
      </c>
      <c r="G27" s="9">
        <f>SUM(MA_FINANCIAL)</f>
        <v>0</v>
      </c>
      <c r="I27" s="13" t="s">
        <v>48</v>
      </c>
      <c r="J27" s="16">
        <f>SUM(ALL_BLOCKS)</f>
        <v>566459.56000000017</v>
      </c>
      <c r="L27" s="6"/>
      <c r="V27" s="9"/>
    </row>
    <row r="28" spans="1:22">
      <c r="A28" s="1" t="s">
        <v>49</v>
      </c>
      <c r="B28" s="6">
        <v>6101.2789995426574</v>
      </c>
      <c r="C28" s="1">
        <v>4972.8584666574952</v>
      </c>
      <c r="D28" s="1">
        <v>4046.8240947193081</v>
      </c>
      <c r="E28" s="1">
        <v>0</v>
      </c>
      <c r="F28" s="1">
        <v>0</v>
      </c>
      <c r="G28" s="9">
        <f>SUM(MI_FINANCIAL)</f>
        <v>15120.961560919461</v>
      </c>
      <c r="I28" s="14"/>
      <c r="J28" s="17"/>
      <c r="L28" s="6"/>
      <c r="V28" s="9"/>
    </row>
    <row r="29" spans="1:22">
      <c r="A29" s="1" t="s">
        <v>50</v>
      </c>
      <c r="B29" s="6">
        <v>76.260943781070196</v>
      </c>
      <c r="C29" s="1">
        <v>62.156619945656153</v>
      </c>
      <c r="D29" s="1">
        <v>50.581955816543164</v>
      </c>
      <c r="E29" s="1">
        <v>0</v>
      </c>
      <c r="F29" s="1">
        <v>0</v>
      </c>
      <c r="G29" s="9">
        <f>SUM(MN_FINANCIAL)</f>
        <v>188.99951954326951</v>
      </c>
      <c r="L29" s="6"/>
      <c r="V29" s="9"/>
    </row>
    <row r="30" spans="1:22">
      <c r="A30" s="1" t="s">
        <v>51</v>
      </c>
      <c r="B30" s="6">
        <v>2863.2151167749948</v>
      </c>
      <c r="C30" s="1">
        <v>2333.6686515046349</v>
      </c>
      <c r="D30" s="1">
        <v>1899.0981929851332</v>
      </c>
      <c r="E30" s="1">
        <v>0</v>
      </c>
      <c r="F30" s="1">
        <v>0</v>
      </c>
      <c r="G30" s="9">
        <f>SUM(MS_FINANCIAL)</f>
        <v>7095.9819612647625</v>
      </c>
      <c r="L30" s="6"/>
      <c r="V30" s="9"/>
    </row>
    <row r="31" spans="1:22">
      <c r="A31" s="1" t="s">
        <v>52</v>
      </c>
      <c r="B31" s="6">
        <v>1798.7898802963539</v>
      </c>
      <c r="C31" s="1">
        <v>1466.1069403054769</v>
      </c>
      <c r="D31" s="1">
        <v>1193.0918467203676</v>
      </c>
      <c r="E31" s="1">
        <v>0</v>
      </c>
      <c r="F31" s="1">
        <v>0</v>
      </c>
      <c r="G31" s="9">
        <f>SUM(MO_FINANCIAL)</f>
        <v>4457.9886673221981</v>
      </c>
      <c r="L31" s="6"/>
      <c r="V31" s="9"/>
    </row>
    <row r="32" spans="1:22">
      <c r="A32" s="1" t="s">
        <v>53</v>
      </c>
      <c r="B32" s="6">
        <v>0</v>
      </c>
      <c r="C32" s="1">
        <v>0</v>
      </c>
      <c r="D32" s="1">
        <v>0</v>
      </c>
      <c r="E32" s="1">
        <v>0</v>
      </c>
      <c r="F32" s="1">
        <v>0</v>
      </c>
      <c r="G32" s="9">
        <f>SUM(MT_FINANCIAL)</f>
        <v>0</v>
      </c>
      <c r="L32" s="6"/>
      <c r="V32" s="9"/>
    </row>
    <row r="33" spans="1:22">
      <c r="A33" s="1" t="s">
        <v>54</v>
      </c>
      <c r="B33" s="6">
        <v>345.79697788559344</v>
      </c>
      <c r="C33" s="1">
        <v>281.84245128797528</v>
      </c>
      <c r="D33" s="1">
        <v>229.35839224749998</v>
      </c>
      <c r="E33" s="1">
        <v>0</v>
      </c>
      <c r="F33" s="1">
        <v>0</v>
      </c>
      <c r="G33" s="9">
        <f>SUM(NE_FINANCIAL)</f>
        <v>856.99782142106869</v>
      </c>
      <c r="L33" s="6"/>
      <c r="V33" s="9"/>
    </row>
    <row r="34" spans="1:22">
      <c r="A34" s="1" t="s">
        <v>55</v>
      </c>
      <c r="B34" s="6">
        <v>0</v>
      </c>
      <c r="C34" s="1">
        <v>0</v>
      </c>
      <c r="D34" s="1">
        <v>0</v>
      </c>
      <c r="E34" s="1">
        <v>0</v>
      </c>
      <c r="F34" s="1">
        <v>0</v>
      </c>
      <c r="G34" s="9">
        <f>SUM(NV_FINANCIAL)</f>
        <v>0</v>
      </c>
      <c r="L34" s="6"/>
      <c r="V34" s="9"/>
    </row>
    <row r="35" spans="1:22">
      <c r="A35" s="1" t="s">
        <v>56</v>
      </c>
      <c r="B35" s="6">
        <v>0</v>
      </c>
      <c r="C35" s="1">
        <v>0</v>
      </c>
      <c r="D35" s="1">
        <v>0</v>
      </c>
      <c r="E35" s="1">
        <v>0</v>
      </c>
      <c r="F35" s="1">
        <v>0</v>
      </c>
      <c r="G35" s="9">
        <f>SUM(NH_FINANCIAL)</f>
        <v>0</v>
      </c>
      <c r="L35" s="6"/>
      <c r="V35" s="9"/>
    </row>
    <row r="36" spans="1:22">
      <c r="A36" s="1" t="s">
        <v>57</v>
      </c>
      <c r="B36" s="6">
        <v>466.8460949984032</v>
      </c>
      <c r="C36" s="1">
        <v>380.50375278901674</v>
      </c>
      <c r="D36" s="1">
        <v>309.64721100391762</v>
      </c>
      <c r="E36" s="1">
        <v>0</v>
      </c>
      <c r="F36" s="1">
        <v>0</v>
      </c>
      <c r="G36" s="9">
        <f>SUM(NJ_FINANCIAL)</f>
        <v>1156.9970587913376</v>
      </c>
      <c r="L36" s="6"/>
      <c r="V36" s="9"/>
    </row>
    <row r="37" spans="1:22">
      <c r="A37" s="1" t="s">
        <v>58</v>
      </c>
      <c r="B37" s="6">
        <v>369.19980719406993</v>
      </c>
      <c r="C37" s="1">
        <v>300.91696957817658</v>
      </c>
      <c r="D37" s="1">
        <v>244.88089720707399</v>
      </c>
      <c r="E37" s="1">
        <v>0</v>
      </c>
      <c r="F37" s="1">
        <v>0</v>
      </c>
      <c r="G37" s="9">
        <f>SUM(NM_FINANCIAL)</f>
        <v>914.99767397932055</v>
      </c>
      <c r="L37" s="6"/>
      <c r="V37" s="9"/>
    </row>
    <row r="38" spans="1:22">
      <c r="A38" s="1" t="s">
        <v>59</v>
      </c>
      <c r="B38" s="6">
        <v>0</v>
      </c>
      <c r="C38" s="1">
        <v>0</v>
      </c>
      <c r="D38" s="1">
        <v>0</v>
      </c>
      <c r="E38" s="1">
        <v>0</v>
      </c>
      <c r="F38" s="1">
        <v>0</v>
      </c>
      <c r="G38" s="9">
        <f>SUM(NY_FINANCIAL)</f>
        <v>0</v>
      </c>
      <c r="L38" s="6"/>
      <c r="V38" s="9"/>
    </row>
    <row r="39" spans="1:22">
      <c r="A39" s="1" t="s">
        <v>60</v>
      </c>
      <c r="B39" s="6">
        <v>34066.449532001025</v>
      </c>
      <c r="C39" s="1">
        <v>27765.921210433109</v>
      </c>
      <c r="D39" s="1">
        <v>22595.41463322279</v>
      </c>
      <c r="E39" s="1">
        <v>0</v>
      </c>
      <c r="F39" s="1">
        <v>0</v>
      </c>
      <c r="G39" s="9">
        <f>SUM(NC_FINANCIAL)</f>
        <v>84427.785375656924</v>
      </c>
      <c r="L39" s="6">
        <v>63000</v>
      </c>
      <c r="M39" s="1">
        <v>0</v>
      </c>
      <c r="O39" s="1">
        <v>40500</v>
      </c>
      <c r="P39" s="1">
        <v>0</v>
      </c>
      <c r="R39" s="1">
        <v>46500</v>
      </c>
      <c r="S39" s="1">
        <v>0</v>
      </c>
      <c r="U39" s="1">
        <v>0</v>
      </c>
      <c r="V39" s="9">
        <v>0</v>
      </c>
    </row>
    <row r="40" spans="1:22">
      <c r="A40" s="1" t="s">
        <v>61</v>
      </c>
      <c r="B40" s="6">
        <v>0</v>
      </c>
      <c r="C40" s="1">
        <v>0</v>
      </c>
      <c r="D40" s="1">
        <v>0</v>
      </c>
      <c r="E40" s="1">
        <v>0</v>
      </c>
      <c r="F40" s="1">
        <v>0</v>
      </c>
      <c r="G40" s="9">
        <f>SUM(ND_FINANCIAL)</f>
        <v>0</v>
      </c>
      <c r="L40" s="6"/>
      <c r="V40" s="9"/>
    </row>
    <row r="41" spans="1:22">
      <c r="A41" s="1" t="s">
        <v>62</v>
      </c>
      <c r="B41" s="6">
        <v>17996.775738218479</v>
      </c>
      <c r="C41" s="1">
        <v>14668.304565164844</v>
      </c>
      <c r="D41" s="1">
        <v>11936.806313912477</v>
      </c>
      <c r="E41" s="1">
        <v>0</v>
      </c>
      <c r="F41" s="1">
        <v>0</v>
      </c>
      <c r="G41" s="9">
        <f>SUM(OH_FINANCIAL)</f>
        <v>44601.886617295801</v>
      </c>
      <c r="L41" s="6"/>
      <c r="V41" s="9"/>
    </row>
    <row r="42" spans="1:22">
      <c r="A42" s="1" t="s">
        <v>63</v>
      </c>
      <c r="B42" s="6">
        <v>3411.9711143530658</v>
      </c>
      <c r="C42" s="1">
        <v>2780.9332183093566</v>
      </c>
      <c r="D42" s="1">
        <v>2263.0741713475609</v>
      </c>
      <c r="E42" s="1">
        <v>0</v>
      </c>
      <c r="F42" s="1">
        <v>0</v>
      </c>
      <c r="G42" s="9">
        <f>SUM(OK_FINANCIAL)</f>
        <v>8455.9785040099832</v>
      </c>
      <c r="L42" s="6"/>
      <c r="V42" s="9"/>
    </row>
    <row r="43" spans="1:22">
      <c r="A43" s="1" t="s">
        <v>64</v>
      </c>
      <c r="B43" s="6">
        <v>0</v>
      </c>
      <c r="C43" s="1">
        <v>0</v>
      </c>
      <c r="D43" s="1">
        <v>0</v>
      </c>
      <c r="E43" s="1">
        <v>0</v>
      </c>
      <c r="F43" s="1">
        <v>0</v>
      </c>
      <c r="G43" s="9">
        <f>SUM(OR_FINANCIAL)</f>
        <v>0</v>
      </c>
      <c r="L43" s="6"/>
      <c r="V43" s="9"/>
    </row>
    <row r="44" spans="1:22">
      <c r="A44" s="1" t="s">
        <v>65</v>
      </c>
      <c r="B44" s="6">
        <v>17021.523351346277</v>
      </c>
      <c r="C44" s="1">
        <v>13873.423346071455</v>
      </c>
      <c r="D44" s="1">
        <v>11289.946064131605</v>
      </c>
      <c r="E44" s="1">
        <v>0</v>
      </c>
      <c r="F44" s="1">
        <v>0</v>
      </c>
      <c r="G44" s="9">
        <f>SUM(PA_FINANCIAL)</f>
        <v>42184.892761549338</v>
      </c>
      <c r="L44" s="6"/>
      <c r="V44" s="9"/>
    </row>
    <row r="45" spans="1:22">
      <c r="A45" s="1" t="s">
        <v>66</v>
      </c>
      <c r="B45" s="6">
        <v>0</v>
      </c>
      <c r="C45" s="1">
        <v>0</v>
      </c>
      <c r="D45" s="1">
        <v>0</v>
      </c>
      <c r="E45" s="1">
        <v>0</v>
      </c>
      <c r="F45" s="1">
        <v>0</v>
      </c>
      <c r="G45" s="9">
        <f>SUM(PR_FINANCIAL)</f>
        <v>0</v>
      </c>
      <c r="L45" s="6"/>
      <c r="V45" s="9"/>
    </row>
    <row r="46" spans="1:22">
      <c r="A46" s="1" t="s">
        <v>67</v>
      </c>
      <c r="B46" s="6">
        <v>0</v>
      </c>
      <c r="C46" s="1">
        <v>0</v>
      </c>
      <c r="D46" s="1">
        <v>0</v>
      </c>
      <c r="E46" s="1">
        <v>0</v>
      </c>
      <c r="F46" s="1">
        <v>0</v>
      </c>
      <c r="G46" s="9">
        <f>SUM(RI_FINANCIAL)</f>
        <v>0</v>
      </c>
      <c r="L46" s="6"/>
      <c r="V46" s="9"/>
    </row>
    <row r="47" spans="1:22">
      <c r="A47" s="1" t="s">
        <v>68</v>
      </c>
      <c r="B47" s="6">
        <v>12017.756346959759</v>
      </c>
      <c r="C47" s="1">
        <v>9795.0940130234012</v>
      </c>
      <c r="D47" s="1">
        <v>7971.0739261371527</v>
      </c>
      <c r="E47" s="1">
        <v>0</v>
      </c>
      <c r="F47" s="1">
        <v>0</v>
      </c>
      <c r="G47" s="9">
        <f>SUM(SC_FINANCIAL)</f>
        <v>29783.924286120313</v>
      </c>
      <c r="L47" s="6"/>
      <c r="V47" s="9"/>
    </row>
    <row r="48" spans="1:22">
      <c r="A48" s="1" t="s">
        <v>69</v>
      </c>
      <c r="B48" s="6">
        <v>0</v>
      </c>
      <c r="C48" s="1">
        <v>0</v>
      </c>
      <c r="D48" s="1">
        <v>0</v>
      </c>
      <c r="E48" s="1">
        <v>0</v>
      </c>
      <c r="F48" s="1">
        <v>0</v>
      </c>
      <c r="G48" s="9">
        <f>SUM(SD_FINANCIAL)</f>
        <v>0</v>
      </c>
      <c r="L48" s="6"/>
      <c r="V48" s="9"/>
    </row>
    <row r="49" spans="1:22">
      <c r="A49" s="1" t="s">
        <v>70</v>
      </c>
      <c r="B49" s="6">
        <v>9388.166026212486</v>
      </c>
      <c r="C49" s="1">
        <v>7651.8416734157754</v>
      </c>
      <c r="D49" s="1">
        <v>6226.9331533519044</v>
      </c>
      <c r="E49" s="1">
        <v>0</v>
      </c>
      <c r="F49" s="1">
        <v>0</v>
      </c>
      <c r="G49" s="9">
        <f>SUM(TN_FINANCIAL)</f>
        <v>23266.940852980166</v>
      </c>
      <c r="L49" s="6"/>
      <c r="V49" s="9"/>
    </row>
    <row r="50" spans="1:22">
      <c r="A50" s="1" t="s">
        <v>71</v>
      </c>
      <c r="B50" s="6">
        <v>16852.861581502428</v>
      </c>
      <c r="C50" s="1">
        <v>13735.955265980003</v>
      </c>
      <c r="D50" s="1">
        <v>11178.076976664332</v>
      </c>
      <c r="E50" s="1">
        <v>0</v>
      </c>
      <c r="F50" s="1">
        <v>0</v>
      </c>
      <c r="G50" s="9">
        <f>SUM(TX_FINANCIAL)</f>
        <v>41766.893824146762</v>
      </c>
      <c r="L50" s="6"/>
      <c r="V50" s="9"/>
    </row>
    <row r="51" spans="1:22">
      <c r="A51" s="1" t="s">
        <v>72</v>
      </c>
      <c r="B51" s="6">
        <v>0</v>
      </c>
      <c r="C51" s="1">
        <v>0</v>
      </c>
      <c r="D51" s="1">
        <v>0</v>
      </c>
      <c r="E51" s="1">
        <v>0</v>
      </c>
      <c r="F51" s="1">
        <v>0</v>
      </c>
      <c r="G51" s="9">
        <f>SUM(UT_FINANCIAL)</f>
        <v>0</v>
      </c>
      <c r="L51" s="6"/>
      <c r="V51" s="9"/>
    </row>
    <row r="52" spans="1:22">
      <c r="A52" s="1" t="s">
        <v>73</v>
      </c>
      <c r="B52" s="6">
        <v>0</v>
      </c>
      <c r="C52" s="1">
        <v>0</v>
      </c>
      <c r="D52" s="1">
        <v>0</v>
      </c>
      <c r="E52" s="1">
        <v>0</v>
      </c>
      <c r="F52" s="1">
        <v>0</v>
      </c>
      <c r="G52" s="9">
        <f>SUM(VT_FINANCIAL)</f>
        <v>0</v>
      </c>
      <c r="L52" s="6"/>
      <c r="V52" s="9"/>
    </row>
    <row r="53" spans="1:22">
      <c r="A53" s="1" t="s">
        <v>74</v>
      </c>
      <c r="B53" s="6">
        <v>26782.520658266214</v>
      </c>
      <c r="C53" s="1">
        <v>21829.141828110434</v>
      </c>
      <c r="D53" s="1">
        <v>17764.168779253276</v>
      </c>
      <c r="E53" s="1">
        <v>0</v>
      </c>
      <c r="F53" s="1">
        <v>0</v>
      </c>
      <c r="G53" s="9">
        <f>SUM(VA_FINANCIAL)</f>
        <v>66375.831265629924</v>
      </c>
      <c r="L53" s="6"/>
      <c r="V53" s="9"/>
    </row>
    <row r="54" spans="1:22">
      <c r="A54" s="1" t="s">
        <v>75</v>
      </c>
      <c r="B54" s="6">
        <v>0</v>
      </c>
      <c r="C54" s="1">
        <v>0</v>
      </c>
      <c r="D54" s="1">
        <v>0</v>
      </c>
      <c r="E54" s="1">
        <v>0</v>
      </c>
      <c r="F54" s="1">
        <v>0</v>
      </c>
      <c r="G54" s="9">
        <f>SUM(WA_FINANCIAL)</f>
        <v>0</v>
      </c>
      <c r="L54" s="6"/>
      <c r="V54" s="9"/>
    </row>
    <row r="55" spans="1:22">
      <c r="A55" s="1" t="s">
        <v>76</v>
      </c>
      <c r="B55" s="6">
        <v>1667.2498397004342</v>
      </c>
      <c r="C55" s="1">
        <v>1358.8949926743451</v>
      </c>
      <c r="D55" s="1">
        <v>1105.8446636717269</v>
      </c>
      <c r="E55" s="1">
        <v>0</v>
      </c>
      <c r="F55" s="1">
        <v>0</v>
      </c>
      <c r="G55" s="9">
        <f>SUM(WV_FINANCIAL)</f>
        <v>4131.9894960465062</v>
      </c>
      <c r="L55" s="6"/>
      <c r="V55" s="9"/>
    </row>
    <row r="56" spans="1:22">
      <c r="A56" s="1" t="s">
        <v>77</v>
      </c>
      <c r="B56" s="6">
        <v>3731.1372864738414</v>
      </c>
      <c r="C56" s="1">
        <v>3041.0701832671025</v>
      </c>
      <c r="D56" s="1">
        <v>2474.7690234686493</v>
      </c>
      <c r="E56" s="1">
        <v>0</v>
      </c>
      <c r="F56" s="1">
        <v>0</v>
      </c>
      <c r="G56" s="9">
        <f>SUM(WI_FINANCIAL)</f>
        <v>9246.9764932095932</v>
      </c>
      <c r="L56" s="6"/>
      <c r="V56" s="9"/>
    </row>
    <row r="57" spans="1:22">
      <c r="A57" s="1" t="s">
        <v>78</v>
      </c>
      <c r="B57" s="6">
        <v>0</v>
      </c>
      <c r="C57" s="1">
        <v>0</v>
      </c>
      <c r="D57" s="1">
        <v>0</v>
      </c>
      <c r="E57" s="1">
        <v>0</v>
      </c>
      <c r="F57" s="1">
        <v>0</v>
      </c>
      <c r="G57" s="9">
        <f>SUM(WY_FINANCIAL)</f>
        <v>0</v>
      </c>
      <c r="L57" s="6"/>
      <c r="V57" s="9"/>
    </row>
    <row r="58" spans="1:22">
      <c r="A58" s="1" t="s">
        <v>79</v>
      </c>
      <c r="B58" s="6">
        <v>0</v>
      </c>
      <c r="C58" s="1">
        <v>0</v>
      </c>
      <c r="D58" s="1">
        <v>0</v>
      </c>
      <c r="E58" s="1">
        <v>0</v>
      </c>
      <c r="F58" s="1">
        <v>0</v>
      </c>
      <c r="G58" s="9">
        <f>SUM(OT_FINANCIAL)</f>
        <v>0</v>
      </c>
      <c r="L58" s="6"/>
      <c r="V58" s="9"/>
    </row>
    <row r="59" spans="1:22">
      <c r="B59" s="6"/>
      <c r="G59" s="9"/>
      <c r="L59" s="6"/>
      <c r="V59" s="9"/>
    </row>
    <row r="60" spans="1:22">
      <c r="A60" s="1" t="s">
        <v>8</v>
      </c>
      <c r="B60" s="6">
        <f>SUM(LIFE)</f>
        <v>228565.34642946458</v>
      </c>
      <c r="C60" s="1">
        <f>SUM(ALLOCATED)</f>
        <v>186292.59836527158</v>
      </c>
      <c r="D60" s="1">
        <f>SUM(HEALTH)</f>
        <v>151601.61520526381</v>
      </c>
      <c r="E60" s="1">
        <f>SUM(UNALLOCATED)</f>
        <v>0</v>
      </c>
      <c r="F60" s="1">
        <f>SUM(LTC)</f>
        <v>0</v>
      </c>
      <c r="G60" s="9">
        <f>SUM(ALL_BLOCKS)</f>
        <v>566459.56000000017</v>
      </c>
      <c r="L60" s="6">
        <f>SUM(LIFE_CALLED)</f>
        <v>63000</v>
      </c>
      <c r="M60" s="1">
        <f>SUM(LIFE_REFUNDED)</f>
        <v>0</v>
      </c>
      <c r="O60" s="1">
        <f>SUM(ALLOC_CALLED)</f>
        <v>40500</v>
      </c>
      <c r="P60" s="1">
        <f>SUM(ALLOC_REFUNDED)</f>
        <v>0</v>
      </c>
      <c r="R60" s="1">
        <f>SUM(HEALTH_CALLED)</f>
        <v>46500</v>
      </c>
      <c r="S60" s="1">
        <f>SUM(HEALTH_REFUNDED)</f>
        <v>0</v>
      </c>
      <c r="U60" s="1">
        <f>SUM(UNALLOC_CALLED)</f>
        <v>0</v>
      </c>
      <c r="V60" s="9">
        <f>SUM(UNALLOC_REFUNDED)</f>
        <v>0</v>
      </c>
    </row>
    <row r="61" spans="1:22" ht="5.0999999999999996" customHeight="1">
      <c r="B61" s="6"/>
      <c r="G61" s="9"/>
      <c r="L61" s="6"/>
      <c r="V61" s="9"/>
    </row>
    <row r="62" spans="1:22">
      <c r="B62" s="6"/>
      <c r="G62" s="9"/>
      <c r="L62" s="78" t="s">
        <v>80</v>
      </c>
      <c r="M62" s="79"/>
      <c r="N62" s="79"/>
      <c r="O62" s="79"/>
      <c r="P62" s="79"/>
      <c r="Q62" s="79"/>
      <c r="R62" s="79"/>
      <c r="S62" s="79"/>
      <c r="T62" s="79"/>
      <c r="U62" s="79"/>
      <c r="V62" s="80"/>
    </row>
    <row r="63" spans="1:22">
      <c r="B63" s="6"/>
      <c r="G63" s="9"/>
      <c r="L63" s="81"/>
      <c r="M63" s="79"/>
      <c r="N63" s="79"/>
      <c r="O63" s="79"/>
      <c r="P63" s="79"/>
      <c r="Q63" s="79"/>
      <c r="R63" s="79"/>
      <c r="S63" s="79"/>
      <c r="T63" s="79"/>
      <c r="U63" s="79"/>
      <c r="V63" s="80"/>
    </row>
    <row r="64" spans="1:22">
      <c r="B64" s="8"/>
      <c r="C64" s="5"/>
      <c r="D64" s="5"/>
      <c r="E64" s="5"/>
      <c r="F64" s="5"/>
      <c r="G64" s="11"/>
      <c r="L64" s="82"/>
      <c r="M64" s="83"/>
      <c r="N64" s="83"/>
      <c r="O64" s="83"/>
      <c r="P64" s="83"/>
      <c r="Q64" s="83"/>
      <c r="R64" s="83"/>
      <c r="S64" s="83"/>
      <c r="T64" s="83"/>
      <c r="U64" s="83"/>
      <c r="V64" s="84"/>
    </row>
  </sheetData>
  <mergeCells count="8">
    <mergeCell ref="L62:V64"/>
    <mergeCell ref="A1:G1"/>
    <mergeCell ref="B3:G3"/>
    <mergeCell ref="L3:V3"/>
    <mergeCell ref="L4:M4"/>
    <mergeCell ref="O4:P4"/>
    <mergeCell ref="R4:S4"/>
    <mergeCell ref="U4:V4"/>
  </mergeCells>
  <pageMargins left="0" right="0" top="0" bottom="0" header="0" footer="0"/>
  <pageSetup scale="48" orientation="landscape"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pageSetUpPr fitToPage="1"/>
  </sheetPr>
  <dimension ref="A1:V64"/>
  <sheetViews>
    <sheetView zoomScale="75" workbookViewId="0">
      <selection sqref="A1:G1"/>
    </sheetView>
  </sheetViews>
  <sheetFormatPr defaultColWidth="9.109375" defaultRowHeight="14.4"/>
  <cols>
    <col min="1" max="1" width="20" style="1" customWidth="1"/>
    <col min="2" max="7" width="15" style="1" customWidth="1"/>
    <col min="8" max="8" width="1" style="1" customWidth="1"/>
    <col min="9" max="9" width="30" style="1" customWidth="1"/>
    <col min="10" max="10" width="15" style="1" customWidth="1"/>
    <col min="11" max="11" width="1" style="1" customWidth="1"/>
    <col min="12" max="13" width="15" style="1" customWidth="1"/>
    <col min="14" max="14" width="1" style="1" customWidth="1"/>
    <col min="15" max="16" width="15" style="1" customWidth="1"/>
    <col min="17" max="17" width="1" style="1" customWidth="1"/>
    <col min="18" max="19" width="15" style="1" customWidth="1"/>
    <col min="20" max="20" width="1" style="1" customWidth="1"/>
    <col min="21" max="22" width="15" style="1" customWidth="1"/>
    <col min="23" max="23" width="9.109375" style="1" customWidth="1"/>
    <col min="24" max="16384" width="9.109375" style="1"/>
  </cols>
  <sheetData>
    <row r="1" spans="1:22">
      <c r="A1" s="85" t="s">
        <v>166</v>
      </c>
      <c r="B1" s="79"/>
      <c r="C1" s="79"/>
      <c r="D1" s="79"/>
      <c r="E1" s="79"/>
      <c r="F1" s="79"/>
      <c r="G1" s="79"/>
    </row>
    <row r="3" spans="1:22">
      <c r="B3" s="86" t="s">
        <v>1</v>
      </c>
      <c r="C3" s="87"/>
      <c r="D3" s="87"/>
      <c r="E3" s="87"/>
      <c r="F3" s="87"/>
      <c r="G3" s="88"/>
      <c r="L3" s="89" t="s">
        <v>2</v>
      </c>
      <c r="M3" s="90"/>
      <c r="N3" s="90"/>
      <c r="O3" s="90"/>
      <c r="P3" s="90"/>
      <c r="Q3" s="90"/>
      <c r="R3" s="90"/>
      <c r="S3" s="90"/>
      <c r="T3" s="90"/>
      <c r="U3" s="90"/>
      <c r="V3" s="91"/>
    </row>
    <row r="4" spans="1:22">
      <c r="B4" s="6"/>
      <c r="G4" s="9"/>
      <c r="L4" s="92" t="s">
        <v>3</v>
      </c>
      <c r="M4" s="93"/>
      <c r="N4" s="3"/>
      <c r="O4" s="94" t="s">
        <v>4</v>
      </c>
      <c r="P4" s="93"/>
      <c r="Q4" s="3"/>
      <c r="R4" s="94" t="s">
        <v>5</v>
      </c>
      <c r="S4" s="93"/>
      <c r="T4" s="3"/>
      <c r="U4" s="94" t="s">
        <v>6</v>
      </c>
      <c r="V4" s="95"/>
    </row>
    <row r="5" spans="1:22" ht="60" customHeight="1">
      <c r="B5" s="7" t="s">
        <v>3</v>
      </c>
      <c r="C5" s="4" t="s">
        <v>4</v>
      </c>
      <c r="D5" s="4" t="s">
        <v>5</v>
      </c>
      <c r="E5" s="4" t="s">
        <v>6</v>
      </c>
      <c r="F5" s="4" t="s">
        <v>7</v>
      </c>
      <c r="G5" s="10" t="s">
        <v>8</v>
      </c>
      <c r="L5" s="19" t="s">
        <v>9</v>
      </c>
      <c r="M5" s="18" t="s">
        <v>10</v>
      </c>
      <c r="N5" s="18"/>
      <c r="O5" s="18" t="s">
        <v>9</v>
      </c>
      <c r="P5" s="18" t="s">
        <v>10</v>
      </c>
      <c r="Q5" s="18"/>
      <c r="R5" s="18" t="s">
        <v>9</v>
      </c>
      <c r="S5" s="18" t="s">
        <v>10</v>
      </c>
      <c r="T5" s="18"/>
      <c r="U5" s="18" t="s">
        <v>9</v>
      </c>
      <c r="V5" s="20" t="s">
        <v>10</v>
      </c>
    </row>
    <row r="6" spans="1:22">
      <c r="A6" s="1" t="s">
        <v>11</v>
      </c>
      <c r="B6" s="6">
        <v>24421101.876655452</v>
      </c>
      <c r="C6" s="1">
        <v>36083.798507027423</v>
      </c>
      <c r="D6" s="1">
        <v>0</v>
      </c>
      <c r="E6" s="1">
        <v>0</v>
      </c>
      <c r="F6" s="1">
        <v>0</v>
      </c>
      <c r="G6" s="9">
        <f>SUM(AL_FINANCIAL)</f>
        <v>24457185.675162479</v>
      </c>
      <c r="L6" s="6"/>
      <c r="V6" s="9"/>
    </row>
    <row r="7" spans="1:22">
      <c r="A7" s="1" t="s">
        <v>12</v>
      </c>
      <c r="B7" s="6">
        <v>0</v>
      </c>
      <c r="C7" s="1">
        <v>0</v>
      </c>
      <c r="D7" s="1">
        <v>0</v>
      </c>
      <c r="E7" s="1">
        <v>0</v>
      </c>
      <c r="F7" s="1">
        <v>0</v>
      </c>
      <c r="G7" s="9">
        <f>SUM(AK_FINANCIAL)</f>
        <v>0</v>
      </c>
      <c r="I7" s="12"/>
      <c r="J7" s="15"/>
      <c r="L7" s="6"/>
      <c r="V7" s="9"/>
    </row>
    <row r="8" spans="1:22">
      <c r="A8" s="1" t="s">
        <v>13</v>
      </c>
      <c r="B8" s="6">
        <v>2950732.3136748904</v>
      </c>
      <c r="C8" s="1">
        <v>0</v>
      </c>
      <c r="D8" s="1">
        <v>0</v>
      </c>
      <c r="E8" s="1">
        <v>0</v>
      </c>
      <c r="F8" s="1">
        <v>0</v>
      </c>
      <c r="G8" s="9">
        <f>SUM(AZ_FINANCIAL)</f>
        <v>2950732.3136748904</v>
      </c>
      <c r="I8" s="13" t="s">
        <v>14</v>
      </c>
      <c r="J8" s="16"/>
      <c r="L8" s="6"/>
      <c r="V8" s="9"/>
    </row>
    <row r="9" spans="1:22">
      <c r="A9" s="1" t="s">
        <v>15</v>
      </c>
      <c r="B9" s="6">
        <v>859979.88303302531</v>
      </c>
      <c r="C9" s="1">
        <v>0</v>
      </c>
      <c r="D9" s="1">
        <v>0</v>
      </c>
      <c r="E9" s="1">
        <v>0</v>
      </c>
      <c r="F9" s="1">
        <v>0</v>
      </c>
      <c r="G9" s="9">
        <f>SUM(AR_FINANCIAL)</f>
        <v>859979.88303302531</v>
      </c>
      <c r="I9" s="13"/>
      <c r="J9" s="16"/>
      <c r="L9" s="6"/>
      <c r="V9" s="9"/>
    </row>
    <row r="10" spans="1:22">
      <c r="A10" s="1" t="s">
        <v>16</v>
      </c>
      <c r="B10" s="6">
        <v>0</v>
      </c>
      <c r="C10" s="1">
        <v>0</v>
      </c>
      <c r="D10" s="1">
        <v>0</v>
      </c>
      <c r="E10" s="1">
        <v>0</v>
      </c>
      <c r="F10" s="1">
        <v>0</v>
      </c>
      <c r="G10" s="9">
        <f>SUM(CA_FINANCIAL)</f>
        <v>0</v>
      </c>
      <c r="I10" s="13" t="s">
        <v>17</v>
      </c>
      <c r="J10" s="16">
        <v>120100162.28</v>
      </c>
      <c r="L10" s="6"/>
      <c r="V10" s="9"/>
    </row>
    <row r="11" spans="1:22">
      <c r="A11" s="1" t="s">
        <v>18</v>
      </c>
      <c r="B11" s="6">
        <v>839465.15692238521</v>
      </c>
      <c r="C11" s="1">
        <v>0</v>
      </c>
      <c r="D11" s="1">
        <v>0</v>
      </c>
      <c r="E11" s="1">
        <v>0</v>
      </c>
      <c r="F11" s="1">
        <v>0</v>
      </c>
      <c r="G11" s="9">
        <f>SUM(CO_FINANCIAL)</f>
        <v>839465.15692238521</v>
      </c>
      <c r="I11" s="13"/>
      <c r="J11" s="16"/>
      <c r="L11" s="6"/>
      <c r="V11" s="9"/>
    </row>
    <row r="12" spans="1:22">
      <c r="A12" s="1" t="s">
        <v>19</v>
      </c>
      <c r="B12" s="6">
        <v>0</v>
      </c>
      <c r="C12" s="1">
        <v>0</v>
      </c>
      <c r="D12" s="1">
        <v>0</v>
      </c>
      <c r="E12" s="1">
        <v>0</v>
      </c>
      <c r="F12" s="1">
        <v>0</v>
      </c>
      <c r="G12" s="9">
        <f>SUM(CT_FINANCIAL)</f>
        <v>0</v>
      </c>
      <c r="I12" s="13" t="s">
        <v>20</v>
      </c>
      <c r="J12" s="16"/>
      <c r="L12" s="6"/>
      <c r="V12" s="9"/>
    </row>
    <row r="13" spans="1:22">
      <c r="A13" s="1" t="s">
        <v>21</v>
      </c>
      <c r="B13" s="6">
        <v>0</v>
      </c>
      <c r="C13" s="1">
        <v>0</v>
      </c>
      <c r="D13" s="1">
        <v>0</v>
      </c>
      <c r="E13" s="1">
        <v>0</v>
      </c>
      <c r="F13" s="1">
        <v>0</v>
      </c>
      <c r="G13" s="9">
        <f>SUM(DE_FINANCIAL)</f>
        <v>0</v>
      </c>
      <c r="I13" s="13" t="s">
        <v>22</v>
      </c>
      <c r="J13" s="16">
        <v>17271587</v>
      </c>
      <c r="L13" s="6"/>
      <c r="V13" s="9"/>
    </row>
    <row r="14" spans="1:22">
      <c r="A14" s="1" t="s">
        <v>23</v>
      </c>
      <c r="B14" s="6">
        <v>0</v>
      </c>
      <c r="C14" s="1">
        <v>0</v>
      </c>
      <c r="D14" s="1">
        <v>0</v>
      </c>
      <c r="E14" s="1">
        <v>0</v>
      </c>
      <c r="F14" s="1">
        <v>0</v>
      </c>
      <c r="G14" s="9">
        <f>SUM(DC_FINANCIAL)</f>
        <v>0</v>
      </c>
      <c r="I14" s="13" t="s">
        <v>24</v>
      </c>
      <c r="J14" s="16">
        <v>0</v>
      </c>
      <c r="L14" s="6"/>
      <c r="V14" s="9"/>
    </row>
    <row r="15" spans="1:22">
      <c r="A15" s="1" t="s">
        <v>25</v>
      </c>
      <c r="B15" s="6">
        <v>2253948.3563816994</v>
      </c>
      <c r="C15" s="1">
        <v>19752.92556872977</v>
      </c>
      <c r="D15" s="1">
        <v>90.666068965086154</v>
      </c>
      <c r="E15" s="1">
        <v>0</v>
      </c>
      <c r="F15" s="1">
        <v>0</v>
      </c>
      <c r="G15" s="9">
        <f>SUM(FL_FINANCIAL)</f>
        <v>2273791.9480193942</v>
      </c>
      <c r="I15" s="13" t="s">
        <v>26</v>
      </c>
      <c r="J15" s="16">
        <v>7637902.0000000019</v>
      </c>
      <c r="L15" s="6"/>
      <c r="V15" s="9"/>
    </row>
    <row r="16" spans="1:22">
      <c r="A16" s="1" t="s">
        <v>27</v>
      </c>
      <c r="B16" s="6">
        <v>7235123.983088945</v>
      </c>
      <c r="C16" s="1">
        <v>-375.51718891067407</v>
      </c>
      <c r="D16" s="1">
        <v>0</v>
      </c>
      <c r="E16" s="1">
        <v>0</v>
      </c>
      <c r="F16" s="1">
        <v>0</v>
      </c>
      <c r="G16" s="9">
        <f>SUM(GA_FINANCIAL)</f>
        <v>7234748.4659000346</v>
      </c>
      <c r="I16" s="13" t="s">
        <v>28</v>
      </c>
      <c r="J16" s="16">
        <v>100590284.45791845</v>
      </c>
      <c r="L16" s="6"/>
      <c r="V16" s="9"/>
    </row>
    <row r="17" spans="1:22">
      <c r="A17" s="1" t="s">
        <v>29</v>
      </c>
      <c r="B17" s="6">
        <v>0</v>
      </c>
      <c r="C17" s="1">
        <v>0</v>
      </c>
      <c r="D17" s="1">
        <v>0</v>
      </c>
      <c r="E17" s="1">
        <v>0</v>
      </c>
      <c r="F17" s="1">
        <v>0</v>
      </c>
      <c r="G17" s="9">
        <f>SUM(HI_FINANCIAL)</f>
        <v>0</v>
      </c>
      <c r="I17" s="13"/>
      <c r="J17" s="16"/>
      <c r="L17" s="6"/>
      <c r="V17" s="9"/>
    </row>
    <row r="18" spans="1:22">
      <c r="A18" s="1" t="s">
        <v>30</v>
      </c>
      <c r="B18" s="6">
        <v>0</v>
      </c>
      <c r="C18" s="1">
        <v>0</v>
      </c>
      <c r="D18" s="1">
        <v>0</v>
      </c>
      <c r="E18" s="1">
        <v>0</v>
      </c>
      <c r="F18" s="1">
        <v>0</v>
      </c>
      <c r="G18" s="9">
        <f>SUM(ID_FINANCIAL)</f>
        <v>0</v>
      </c>
      <c r="I18" s="13" t="s">
        <v>31</v>
      </c>
      <c r="J18" s="16"/>
      <c r="L18" s="6"/>
      <c r="V18" s="9"/>
    </row>
    <row r="19" spans="1:22">
      <c r="A19" s="1" t="s">
        <v>32</v>
      </c>
      <c r="B19" s="6">
        <v>0</v>
      </c>
      <c r="C19" s="1">
        <v>0</v>
      </c>
      <c r="D19" s="1">
        <v>0</v>
      </c>
      <c r="E19" s="1">
        <v>0</v>
      </c>
      <c r="F19" s="1">
        <v>0</v>
      </c>
      <c r="G19" s="9">
        <f>SUM(IL_FINANCIAL)</f>
        <v>0</v>
      </c>
      <c r="I19" s="13" t="s">
        <v>33</v>
      </c>
      <c r="J19" s="16">
        <v>19500000.000000007</v>
      </c>
      <c r="L19" s="6"/>
      <c r="V19" s="9"/>
    </row>
    <row r="20" spans="1:22">
      <c r="A20" s="1" t="s">
        <v>34</v>
      </c>
      <c r="B20" s="6">
        <v>1584935.9886152663</v>
      </c>
      <c r="C20" s="1">
        <v>0</v>
      </c>
      <c r="D20" s="1">
        <v>0</v>
      </c>
      <c r="E20" s="1">
        <v>0</v>
      </c>
      <c r="F20" s="1">
        <v>0</v>
      </c>
      <c r="G20" s="9">
        <f>SUM(IN_FINANCIAL)</f>
        <v>1584935.9886152663</v>
      </c>
      <c r="I20" s="13" t="s">
        <v>35</v>
      </c>
      <c r="J20" s="16">
        <v>100600162.28000003</v>
      </c>
      <c r="L20" s="6"/>
      <c r="V20" s="9"/>
    </row>
    <row r="21" spans="1:22">
      <c r="A21" s="1" t="s">
        <v>36</v>
      </c>
      <c r="B21" s="6">
        <v>0</v>
      </c>
      <c r="C21" s="1">
        <v>0</v>
      </c>
      <c r="D21" s="1">
        <v>0</v>
      </c>
      <c r="E21" s="1">
        <v>0</v>
      </c>
      <c r="F21" s="1">
        <v>0</v>
      </c>
      <c r="G21" s="9">
        <f>SUM(IA_FINANCIAL)</f>
        <v>0</v>
      </c>
      <c r="I21" s="13" t="s">
        <v>37</v>
      </c>
      <c r="J21" s="16"/>
      <c r="L21" s="6"/>
      <c r="V21" s="9"/>
    </row>
    <row r="22" spans="1:22">
      <c r="A22" s="1" t="s">
        <v>38</v>
      </c>
      <c r="B22" s="6">
        <v>0</v>
      </c>
      <c r="C22" s="1">
        <v>0</v>
      </c>
      <c r="D22" s="1">
        <v>0</v>
      </c>
      <c r="E22" s="1">
        <v>0</v>
      </c>
      <c r="F22" s="1">
        <v>0</v>
      </c>
      <c r="G22" s="9">
        <f>SUM(KS_FINANCIAL)</f>
        <v>0</v>
      </c>
      <c r="I22" s="13" t="s">
        <v>39</v>
      </c>
      <c r="J22" s="16">
        <v>0</v>
      </c>
      <c r="L22" s="6"/>
      <c r="V22" s="9"/>
    </row>
    <row r="23" spans="1:22">
      <c r="A23" s="1" t="s">
        <v>40</v>
      </c>
      <c r="B23" s="6">
        <v>1472859.7606040626</v>
      </c>
      <c r="C23" s="1">
        <v>5013.2488177156965</v>
      </c>
      <c r="D23" s="1">
        <v>0</v>
      </c>
      <c r="E23" s="1">
        <v>0</v>
      </c>
      <c r="F23" s="1">
        <v>0</v>
      </c>
      <c r="G23" s="9">
        <f>SUM(KY_FINANCIAL)</f>
        <v>1477873.0094217784</v>
      </c>
      <c r="I23" s="13" t="s">
        <v>41</v>
      </c>
      <c r="J23" s="16"/>
      <c r="L23" s="6"/>
      <c r="V23" s="9"/>
    </row>
    <row r="24" spans="1:22">
      <c r="A24" s="1" t="s">
        <v>42</v>
      </c>
      <c r="B24" s="6">
        <v>41086242.09273316</v>
      </c>
      <c r="C24" s="1">
        <v>19060.142483552881</v>
      </c>
      <c r="D24" s="1">
        <v>12053.515745153152</v>
      </c>
      <c r="E24" s="1">
        <v>0</v>
      </c>
      <c r="F24" s="1">
        <v>0</v>
      </c>
      <c r="G24" s="9">
        <f>SUM(LA_FINANCIAL)</f>
        <v>41117355.75096187</v>
      </c>
      <c r="I24" s="13" t="s">
        <v>43</v>
      </c>
      <c r="J24" s="16">
        <v>0</v>
      </c>
      <c r="L24" s="6">
        <v>0</v>
      </c>
      <c r="M24" s="1">
        <v>0</v>
      </c>
      <c r="O24" s="1">
        <v>0</v>
      </c>
      <c r="P24" s="1">
        <v>0</v>
      </c>
      <c r="R24" s="1">
        <v>0</v>
      </c>
      <c r="S24" s="1">
        <v>0</v>
      </c>
      <c r="U24" s="1">
        <v>0</v>
      </c>
      <c r="V24" s="9">
        <v>0</v>
      </c>
    </row>
    <row r="25" spans="1:22">
      <c r="A25" s="1" t="s">
        <v>44</v>
      </c>
      <c r="B25" s="6">
        <v>0</v>
      </c>
      <c r="C25" s="1">
        <v>0</v>
      </c>
      <c r="D25" s="1">
        <v>0</v>
      </c>
      <c r="E25" s="1">
        <v>0</v>
      </c>
      <c r="F25" s="1">
        <v>0</v>
      </c>
      <c r="G25" s="9">
        <f>SUM(ME_FINANCIAL)</f>
        <v>0</v>
      </c>
      <c r="I25" s="13"/>
      <c r="J25" s="16"/>
      <c r="L25" s="6"/>
      <c r="V25" s="9"/>
    </row>
    <row r="26" spans="1:22">
      <c r="A26" s="1" t="s">
        <v>45</v>
      </c>
      <c r="B26" s="6">
        <v>0</v>
      </c>
      <c r="C26" s="1">
        <v>0</v>
      </c>
      <c r="D26" s="1">
        <v>0</v>
      </c>
      <c r="E26" s="1">
        <v>0</v>
      </c>
      <c r="F26" s="1">
        <v>0</v>
      </c>
      <c r="G26" s="9">
        <f>SUM(MD_FINANCIAL)</f>
        <v>0</v>
      </c>
      <c r="I26" s="13" t="s">
        <v>46</v>
      </c>
      <c r="J26" s="16">
        <f>SUM(ADD_FINANCIAL)-SUM(LESS_FINANCIAL)</f>
        <v>125499773.45791841</v>
      </c>
      <c r="L26" s="6"/>
      <c r="V26" s="9"/>
    </row>
    <row r="27" spans="1:22">
      <c r="A27" s="1" t="s">
        <v>47</v>
      </c>
      <c r="B27" s="6">
        <v>0</v>
      </c>
      <c r="C27" s="1">
        <v>0</v>
      </c>
      <c r="D27" s="1">
        <v>0</v>
      </c>
      <c r="E27" s="1">
        <v>0</v>
      </c>
      <c r="F27" s="1">
        <v>0</v>
      </c>
      <c r="G27" s="9">
        <f>SUM(MA_FINANCIAL)</f>
        <v>0</v>
      </c>
      <c r="I27" s="13" t="s">
        <v>48</v>
      </c>
      <c r="J27" s="16">
        <f>SUM(ALL_BLOCKS)</f>
        <v>125499773.45791847</v>
      </c>
      <c r="L27" s="6"/>
      <c r="V27" s="9"/>
    </row>
    <row r="28" spans="1:22">
      <c r="A28" s="1" t="s">
        <v>49</v>
      </c>
      <c r="B28" s="6">
        <v>0</v>
      </c>
      <c r="C28" s="1">
        <v>0</v>
      </c>
      <c r="D28" s="1">
        <v>0</v>
      </c>
      <c r="E28" s="1">
        <v>0</v>
      </c>
      <c r="F28" s="1">
        <v>0</v>
      </c>
      <c r="G28" s="9">
        <f>SUM(MI_FINANCIAL)</f>
        <v>0</v>
      </c>
      <c r="I28" s="14"/>
      <c r="J28" s="17"/>
      <c r="L28" s="6"/>
      <c r="V28" s="9"/>
    </row>
    <row r="29" spans="1:22">
      <c r="A29" s="1" t="s">
        <v>50</v>
      </c>
      <c r="B29" s="6">
        <v>0</v>
      </c>
      <c r="C29" s="1">
        <v>0</v>
      </c>
      <c r="D29" s="1">
        <v>0</v>
      </c>
      <c r="E29" s="1">
        <v>0</v>
      </c>
      <c r="F29" s="1">
        <v>0</v>
      </c>
      <c r="G29" s="9">
        <f>SUM(MN_FINANCIAL)</f>
        <v>0</v>
      </c>
      <c r="L29" s="6"/>
      <c r="V29" s="9"/>
    </row>
    <row r="30" spans="1:22">
      <c r="A30" s="1" t="s">
        <v>51</v>
      </c>
      <c r="B30" s="6">
        <v>4922699.011393697</v>
      </c>
      <c r="C30" s="1">
        <v>22123.567499447367</v>
      </c>
      <c r="D30" s="1">
        <v>0</v>
      </c>
      <c r="E30" s="1">
        <v>0</v>
      </c>
      <c r="F30" s="1">
        <v>0</v>
      </c>
      <c r="G30" s="9">
        <f>SUM(MS_FINANCIAL)</f>
        <v>4944822.5788931446</v>
      </c>
      <c r="L30" s="6"/>
      <c r="V30" s="9"/>
    </row>
    <row r="31" spans="1:22">
      <c r="A31" s="1" t="s">
        <v>52</v>
      </c>
      <c r="B31" s="6">
        <v>0</v>
      </c>
      <c r="C31" s="1">
        <v>0</v>
      </c>
      <c r="D31" s="1">
        <v>0</v>
      </c>
      <c r="E31" s="1">
        <v>0</v>
      </c>
      <c r="F31" s="1">
        <v>0</v>
      </c>
      <c r="G31" s="9">
        <f>SUM(MO_FINANCIAL)</f>
        <v>0</v>
      </c>
      <c r="L31" s="6"/>
      <c r="V31" s="9"/>
    </row>
    <row r="32" spans="1:22">
      <c r="A32" s="1" t="s">
        <v>53</v>
      </c>
      <c r="B32" s="6">
        <v>0</v>
      </c>
      <c r="C32" s="1">
        <v>0</v>
      </c>
      <c r="D32" s="1">
        <v>0</v>
      </c>
      <c r="E32" s="1">
        <v>0</v>
      </c>
      <c r="F32" s="1">
        <v>0</v>
      </c>
      <c r="G32" s="9">
        <f>SUM(MT_FINANCIAL)</f>
        <v>0</v>
      </c>
      <c r="L32" s="6"/>
      <c r="V32" s="9"/>
    </row>
    <row r="33" spans="1:22">
      <c r="A33" s="1" t="s">
        <v>54</v>
      </c>
      <c r="B33" s="6">
        <v>0</v>
      </c>
      <c r="C33" s="1">
        <v>0</v>
      </c>
      <c r="D33" s="1">
        <v>0</v>
      </c>
      <c r="E33" s="1">
        <v>0</v>
      </c>
      <c r="F33" s="1">
        <v>0</v>
      </c>
      <c r="G33" s="9">
        <f>SUM(NE_FINANCIAL)</f>
        <v>0</v>
      </c>
      <c r="L33" s="6"/>
      <c r="V33" s="9"/>
    </row>
    <row r="34" spans="1:22">
      <c r="A34" s="1" t="s">
        <v>55</v>
      </c>
      <c r="B34" s="6">
        <v>0</v>
      </c>
      <c r="C34" s="1">
        <v>0</v>
      </c>
      <c r="D34" s="1">
        <v>0</v>
      </c>
      <c r="E34" s="1">
        <v>0</v>
      </c>
      <c r="F34" s="1">
        <v>0</v>
      </c>
      <c r="G34" s="9">
        <f>SUM(NV_FINANCIAL)</f>
        <v>0</v>
      </c>
      <c r="L34" s="6"/>
      <c r="V34" s="9"/>
    </row>
    <row r="35" spans="1:22">
      <c r="A35" s="1" t="s">
        <v>56</v>
      </c>
      <c r="B35" s="6">
        <v>0</v>
      </c>
      <c r="C35" s="1">
        <v>0</v>
      </c>
      <c r="D35" s="1">
        <v>0</v>
      </c>
      <c r="E35" s="1">
        <v>0</v>
      </c>
      <c r="F35" s="1">
        <v>0</v>
      </c>
      <c r="G35" s="9">
        <f>SUM(NH_FINANCIAL)</f>
        <v>0</v>
      </c>
      <c r="L35" s="6"/>
      <c r="V35" s="9"/>
    </row>
    <row r="36" spans="1:22">
      <c r="A36" s="1" t="s">
        <v>57</v>
      </c>
      <c r="B36" s="6">
        <v>0</v>
      </c>
      <c r="C36" s="1">
        <v>0</v>
      </c>
      <c r="D36" s="1">
        <v>0</v>
      </c>
      <c r="E36" s="1">
        <v>0</v>
      </c>
      <c r="F36" s="1">
        <v>0</v>
      </c>
      <c r="G36" s="9">
        <f>SUM(NJ_FINANCIAL)</f>
        <v>0</v>
      </c>
      <c r="L36" s="6"/>
      <c r="V36" s="9"/>
    </row>
    <row r="37" spans="1:22">
      <c r="A37" s="1" t="s">
        <v>58</v>
      </c>
      <c r="B37" s="6">
        <v>718323.2930830128</v>
      </c>
      <c r="C37" s="1">
        <v>0</v>
      </c>
      <c r="D37" s="1">
        <v>0</v>
      </c>
      <c r="E37" s="1">
        <v>0</v>
      </c>
      <c r="F37" s="1">
        <v>0</v>
      </c>
      <c r="G37" s="9">
        <f>SUM(NM_FINANCIAL)</f>
        <v>718323.2930830128</v>
      </c>
      <c r="L37" s="6"/>
      <c r="V37" s="9"/>
    </row>
    <row r="38" spans="1:22">
      <c r="A38" s="1" t="s">
        <v>59</v>
      </c>
      <c r="B38" s="6">
        <v>0</v>
      </c>
      <c r="C38" s="1">
        <v>0</v>
      </c>
      <c r="D38" s="1">
        <v>0</v>
      </c>
      <c r="E38" s="1">
        <v>0</v>
      </c>
      <c r="F38" s="1">
        <v>0</v>
      </c>
      <c r="G38" s="9">
        <f>SUM(NY_FINANCIAL)</f>
        <v>0</v>
      </c>
      <c r="L38" s="6"/>
      <c r="V38" s="9"/>
    </row>
    <row r="39" spans="1:22">
      <c r="A39" s="1" t="s">
        <v>60</v>
      </c>
      <c r="B39" s="6">
        <v>4906000.0881153392</v>
      </c>
      <c r="C39" s="1">
        <v>867.73024607841489</v>
      </c>
      <c r="D39" s="1">
        <v>64.895278489175539</v>
      </c>
      <c r="E39" s="1">
        <v>0</v>
      </c>
      <c r="F39" s="1">
        <v>0</v>
      </c>
      <c r="G39" s="9">
        <f>SUM(NC_FINANCIAL)</f>
        <v>4906932.7136399066</v>
      </c>
      <c r="L39" s="6">
        <v>5900000</v>
      </c>
      <c r="M39" s="1">
        <v>0</v>
      </c>
      <c r="O39" s="1">
        <v>0</v>
      </c>
      <c r="P39" s="1">
        <v>0</v>
      </c>
      <c r="R39" s="1">
        <v>0</v>
      </c>
      <c r="S39" s="1">
        <v>0</v>
      </c>
      <c r="U39" s="1">
        <v>0</v>
      </c>
      <c r="V39" s="9">
        <v>0</v>
      </c>
    </row>
    <row r="40" spans="1:22">
      <c r="A40" s="1" t="s">
        <v>61</v>
      </c>
      <c r="B40" s="6">
        <v>0</v>
      </c>
      <c r="C40" s="1">
        <v>0</v>
      </c>
      <c r="D40" s="1">
        <v>0</v>
      </c>
      <c r="E40" s="1">
        <v>0</v>
      </c>
      <c r="F40" s="1">
        <v>0</v>
      </c>
      <c r="G40" s="9">
        <f>SUM(ND_FINANCIAL)</f>
        <v>0</v>
      </c>
      <c r="L40" s="6"/>
      <c r="V40" s="9"/>
    </row>
    <row r="41" spans="1:22">
      <c r="A41" s="1" t="s">
        <v>62</v>
      </c>
      <c r="B41" s="6">
        <v>1276291.1105788404</v>
      </c>
      <c r="C41" s="1">
        <v>0</v>
      </c>
      <c r="D41" s="1">
        <v>0</v>
      </c>
      <c r="E41" s="1">
        <v>0</v>
      </c>
      <c r="F41" s="1">
        <v>0</v>
      </c>
      <c r="G41" s="9">
        <f>SUM(OH_FINANCIAL)</f>
        <v>1276291.1105788404</v>
      </c>
      <c r="L41" s="6">
        <v>1100000</v>
      </c>
      <c r="M41" s="1">
        <v>0</v>
      </c>
      <c r="O41" s="1">
        <v>0</v>
      </c>
      <c r="P41" s="1">
        <v>0</v>
      </c>
      <c r="R41" s="1">
        <v>0</v>
      </c>
      <c r="S41" s="1">
        <v>0</v>
      </c>
      <c r="U41" s="1">
        <v>0</v>
      </c>
      <c r="V41" s="9">
        <v>0</v>
      </c>
    </row>
    <row r="42" spans="1:22">
      <c r="A42" s="1" t="s">
        <v>63</v>
      </c>
      <c r="B42" s="6">
        <v>2375086.5847235699</v>
      </c>
      <c r="C42" s="1">
        <v>0</v>
      </c>
      <c r="D42" s="1">
        <v>0</v>
      </c>
      <c r="E42" s="1">
        <v>0</v>
      </c>
      <c r="F42" s="1">
        <v>0</v>
      </c>
      <c r="G42" s="9">
        <f>SUM(OK_FINANCIAL)</f>
        <v>2375086.5847235699</v>
      </c>
      <c r="L42" s="6">
        <v>3400000</v>
      </c>
      <c r="M42" s="1">
        <v>0</v>
      </c>
      <c r="O42" s="1">
        <v>0</v>
      </c>
      <c r="P42" s="1">
        <v>0</v>
      </c>
      <c r="R42" s="1">
        <v>0</v>
      </c>
      <c r="S42" s="1">
        <v>0</v>
      </c>
      <c r="U42" s="1">
        <v>0</v>
      </c>
      <c r="V42" s="9">
        <v>0</v>
      </c>
    </row>
    <row r="43" spans="1:22">
      <c r="A43" s="1" t="s">
        <v>64</v>
      </c>
      <c r="B43" s="6">
        <v>0</v>
      </c>
      <c r="C43" s="1">
        <v>0</v>
      </c>
      <c r="D43" s="1">
        <v>0</v>
      </c>
      <c r="E43" s="1">
        <v>0</v>
      </c>
      <c r="F43" s="1">
        <v>0</v>
      </c>
      <c r="G43" s="9">
        <f>SUM(OR_FINANCIAL)</f>
        <v>0</v>
      </c>
      <c r="L43" s="6"/>
      <c r="V43" s="9"/>
    </row>
    <row r="44" spans="1:22">
      <c r="A44" s="1" t="s">
        <v>65</v>
      </c>
      <c r="B44" s="6">
        <v>0</v>
      </c>
      <c r="C44" s="1">
        <v>0</v>
      </c>
      <c r="D44" s="1">
        <v>0</v>
      </c>
      <c r="E44" s="1">
        <v>0</v>
      </c>
      <c r="F44" s="1">
        <v>0</v>
      </c>
      <c r="G44" s="9">
        <f>SUM(PA_FINANCIAL)</f>
        <v>0</v>
      </c>
      <c r="L44" s="6"/>
      <c r="V44" s="9"/>
    </row>
    <row r="45" spans="1:22">
      <c r="A45" s="1" t="s">
        <v>66</v>
      </c>
      <c r="B45" s="6">
        <v>0</v>
      </c>
      <c r="C45" s="1">
        <v>0</v>
      </c>
      <c r="D45" s="1">
        <v>0</v>
      </c>
      <c r="E45" s="1">
        <v>0</v>
      </c>
      <c r="F45" s="1">
        <v>0</v>
      </c>
      <c r="G45" s="9">
        <f>SUM(PR_FINANCIAL)</f>
        <v>0</v>
      </c>
      <c r="L45" s="6"/>
      <c r="V45" s="9"/>
    </row>
    <row r="46" spans="1:22">
      <c r="A46" s="1" t="s">
        <v>67</v>
      </c>
      <c r="B46" s="6">
        <v>0</v>
      </c>
      <c r="C46" s="1">
        <v>0</v>
      </c>
      <c r="D46" s="1">
        <v>0</v>
      </c>
      <c r="E46" s="1">
        <v>0</v>
      </c>
      <c r="F46" s="1">
        <v>0</v>
      </c>
      <c r="G46" s="9">
        <f>SUM(RI_FINANCIAL)</f>
        <v>0</v>
      </c>
      <c r="L46" s="6"/>
      <c r="V46" s="9"/>
    </row>
    <row r="47" spans="1:22">
      <c r="A47" s="1" t="s">
        <v>68</v>
      </c>
      <c r="B47" s="6">
        <v>1034919.1990199166</v>
      </c>
      <c r="C47" s="1">
        <v>0</v>
      </c>
      <c r="D47" s="1">
        <v>0</v>
      </c>
      <c r="E47" s="1">
        <v>0</v>
      </c>
      <c r="F47" s="1">
        <v>0</v>
      </c>
      <c r="G47" s="9">
        <f>SUM(SC_FINANCIAL)</f>
        <v>1034919.1990199166</v>
      </c>
      <c r="L47" s="6">
        <v>0</v>
      </c>
      <c r="M47" s="1">
        <v>0</v>
      </c>
      <c r="O47" s="1">
        <v>0</v>
      </c>
      <c r="P47" s="1">
        <v>0</v>
      </c>
      <c r="R47" s="1">
        <v>0</v>
      </c>
      <c r="S47" s="1">
        <v>0</v>
      </c>
      <c r="U47" s="1">
        <v>0</v>
      </c>
      <c r="V47" s="9">
        <v>0</v>
      </c>
    </row>
    <row r="48" spans="1:22">
      <c r="A48" s="1" t="s">
        <v>69</v>
      </c>
      <c r="B48" s="6">
        <v>0</v>
      </c>
      <c r="C48" s="1">
        <v>0</v>
      </c>
      <c r="D48" s="1">
        <v>0</v>
      </c>
      <c r="E48" s="1">
        <v>0</v>
      </c>
      <c r="F48" s="1">
        <v>0</v>
      </c>
      <c r="G48" s="9">
        <f>SUM(SD_FINANCIAL)</f>
        <v>0</v>
      </c>
      <c r="L48" s="6"/>
      <c r="V48" s="9"/>
    </row>
    <row r="49" spans="1:22">
      <c r="A49" s="1" t="s">
        <v>70</v>
      </c>
      <c r="B49" s="6">
        <v>11755079.918339739</v>
      </c>
      <c r="C49" s="1">
        <v>1301.3047246125911</v>
      </c>
      <c r="D49" s="1">
        <v>0</v>
      </c>
      <c r="E49" s="1">
        <v>0</v>
      </c>
      <c r="F49" s="1">
        <v>0</v>
      </c>
      <c r="G49" s="9">
        <f>SUM(TN_FINANCIAL)</f>
        <v>11756381.223064352</v>
      </c>
      <c r="L49" s="6">
        <v>15756068</v>
      </c>
      <c r="M49" s="1">
        <v>0</v>
      </c>
      <c r="O49" s="1">
        <v>0</v>
      </c>
      <c r="P49" s="1">
        <v>0</v>
      </c>
      <c r="R49" s="1">
        <v>0</v>
      </c>
      <c r="S49" s="1">
        <v>0</v>
      </c>
      <c r="U49" s="1">
        <v>0</v>
      </c>
      <c r="V49" s="9">
        <v>0</v>
      </c>
    </row>
    <row r="50" spans="1:22">
      <c r="A50" s="1" t="s">
        <v>71</v>
      </c>
      <c r="B50" s="6">
        <v>10855524.963919919</v>
      </c>
      <c r="C50" s="1">
        <v>32.111605347812493</v>
      </c>
      <c r="D50" s="1">
        <v>41.274104386220536</v>
      </c>
      <c r="E50" s="1">
        <v>0</v>
      </c>
      <c r="F50" s="1">
        <v>0</v>
      </c>
      <c r="G50" s="9">
        <f>SUM(TX_FINANCIAL)</f>
        <v>10855598.349629654</v>
      </c>
      <c r="L50" s="6"/>
      <c r="V50" s="9"/>
    </row>
    <row r="51" spans="1:22">
      <c r="A51" s="1" t="s">
        <v>72</v>
      </c>
      <c r="B51" s="6">
        <v>0</v>
      </c>
      <c r="C51" s="1">
        <v>0</v>
      </c>
      <c r="D51" s="1">
        <v>0</v>
      </c>
      <c r="E51" s="1">
        <v>0</v>
      </c>
      <c r="F51" s="1">
        <v>0</v>
      </c>
      <c r="G51" s="9">
        <f>SUM(UT_FINANCIAL)</f>
        <v>0</v>
      </c>
      <c r="L51" s="6"/>
      <c r="V51" s="9"/>
    </row>
    <row r="52" spans="1:22">
      <c r="A52" s="1" t="s">
        <v>73</v>
      </c>
      <c r="B52" s="6">
        <v>0</v>
      </c>
      <c r="C52" s="1">
        <v>0</v>
      </c>
      <c r="D52" s="1">
        <v>0</v>
      </c>
      <c r="E52" s="1">
        <v>0</v>
      </c>
      <c r="F52" s="1">
        <v>0</v>
      </c>
      <c r="G52" s="9">
        <f>SUM(VT_FINANCIAL)</f>
        <v>0</v>
      </c>
      <c r="L52" s="6"/>
      <c r="V52" s="9"/>
    </row>
    <row r="53" spans="1:22">
      <c r="A53" s="1" t="s">
        <v>74</v>
      </c>
      <c r="B53" s="6">
        <v>4835350.2135749422</v>
      </c>
      <c r="C53" s="1">
        <v>0</v>
      </c>
      <c r="D53" s="1">
        <v>0</v>
      </c>
      <c r="E53" s="1">
        <v>0</v>
      </c>
      <c r="F53" s="1">
        <v>0</v>
      </c>
      <c r="G53" s="9">
        <f>SUM(VA_FINANCIAL)</f>
        <v>4835350.2135749422</v>
      </c>
      <c r="L53" s="6"/>
      <c r="V53" s="9"/>
    </row>
    <row r="54" spans="1:22">
      <c r="A54" s="1" t="s">
        <v>75</v>
      </c>
      <c r="B54" s="6">
        <v>0</v>
      </c>
      <c r="C54" s="1">
        <v>0</v>
      </c>
      <c r="D54" s="1">
        <v>0</v>
      </c>
      <c r="E54" s="1">
        <v>0</v>
      </c>
      <c r="F54" s="1">
        <v>0</v>
      </c>
      <c r="G54" s="9">
        <f>SUM(WA_FINANCIAL)</f>
        <v>0</v>
      </c>
      <c r="L54" s="6"/>
      <c r="V54" s="9"/>
    </row>
    <row r="55" spans="1:22">
      <c r="A55" s="1" t="s">
        <v>76</v>
      </c>
      <c r="B55" s="6">
        <v>0</v>
      </c>
      <c r="C55" s="1">
        <v>0</v>
      </c>
      <c r="D55" s="1">
        <v>0</v>
      </c>
      <c r="E55" s="1">
        <v>0</v>
      </c>
      <c r="F55" s="1">
        <v>0</v>
      </c>
      <c r="G55" s="9">
        <f>SUM(WV_FINANCIAL)</f>
        <v>0</v>
      </c>
      <c r="L55" s="6"/>
      <c r="V55" s="9"/>
    </row>
    <row r="56" spans="1:22">
      <c r="A56" s="1" t="s">
        <v>77</v>
      </c>
      <c r="B56" s="6">
        <v>0</v>
      </c>
      <c r="C56" s="1">
        <v>0</v>
      </c>
      <c r="D56" s="1">
        <v>0</v>
      </c>
      <c r="E56" s="1">
        <v>0</v>
      </c>
      <c r="F56" s="1">
        <v>0</v>
      </c>
      <c r="G56" s="9">
        <f>SUM(WI_FINANCIAL)</f>
        <v>0</v>
      </c>
      <c r="L56" s="6"/>
      <c r="V56" s="9"/>
    </row>
    <row r="57" spans="1:22">
      <c r="A57" s="1" t="s">
        <v>78</v>
      </c>
      <c r="B57" s="6">
        <v>0</v>
      </c>
      <c r="C57" s="1">
        <v>0</v>
      </c>
      <c r="D57" s="1">
        <v>0</v>
      </c>
      <c r="E57" s="1">
        <v>0</v>
      </c>
      <c r="F57" s="1">
        <v>0</v>
      </c>
      <c r="G57" s="9">
        <f>SUM(WY_FINANCIAL)</f>
        <v>0</v>
      </c>
      <c r="L57" s="6"/>
      <c r="V57" s="9"/>
    </row>
    <row r="58" spans="1:22">
      <c r="A58" s="1" t="s">
        <v>79</v>
      </c>
      <c r="B58" s="6">
        <v>0</v>
      </c>
      <c r="C58" s="1">
        <v>0</v>
      </c>
      <c r="D58" s="1">
        <v>0</v>
      </c>
      <c r="E58" s="1">
        <v>0</v>
      </c>
      <c r="F58" s="1">
        <v>0</v>
      </c>
      <c r="G58" s="9">
        <f>SUM(OT_FINANCIAL)</f>
        <v>0</v>
      </c>
      <c r="L58" s="6"/>
      <c r="V58" s="9"/>
    </row>
    <row r="59" spans="1:22">
      <c r="B59" s="6"/>
      <c r="G59" s="9"/>
      <c r="L59" s="6"/>
      <c r="V59" s="9"/>
    </row>
    <row r="60" spans="1:22">
      <c r="A60" s="1" t="s">
        <v>8</v>
      </c>
      <c r="B60" s="6">
        <f>SUM(LIFE)</f>
        <v>125383663.79445788</v>
      </c>
      <c r="C60" s="1">
        <f>SUM(ALLOCATED)</f>
        <v>103859.3122636013</v>
      </c>
      <c r="D60" s="1">
        <f>SUM(HEALTH)</f>
        <v>12250.351196993633</v>
      </c>
      <c r="E60" s="1">
        <f>SUM(UNALLOCATED)</f>
        <v>0</v>
      </c>
      <c r="F60" s="1">
        <f>SUM(LTC)</f>
        <v>0</v>
      </c>
      <c r="G60" s="9">
        <f>SUM(ALL_BLOCKS)</f>
        <v>125499773.45791847</v>
      </c>
      <c r="L60" s="6">
        <f>SUM(LIFE_CALLED)</f>
        <v>26156068</v>
      </c>
      <c r="M60" s="1">
        <f>SUM(LIFE_REFUNDED)</f>
        <v>0</v>
      </c>
      <c r="O60" s="1">
        <f>SUM(ALLOC_CALLED)</f>
        <v>0</v>
      </c>
      <c r="P60" s="1">
        <f>SUM(ALLOC_REFUNDED)</f>
        <v>0</v>
      </c>
      <c r="R60" s="1">
        <f>SUM(HEALTH_CALLED)</f>
        <v>0</v>
      </c>
      <c r="S60" s="1">
        <f>SUM(HEALTH_REFUNDED)</f>
        <v>0</v>
      </c>
      <c r="U60" s="1">
        <f>SUM(UNALLOC_CALLED)</f>
        <v>0</v>
      </c>
      <c r="V60" s="9">
        <f>SUM(UNALLOC_REFUNDED)</f>
        <v>0</v>
      </c>
    </row>
    <row r="61" spans="1:22" ht="5.0999999999999996" customHeight="1">
      <c r="B61" s="6"/>
      <c r="G61" s="9"/>
      <c r="L61" s="6"/>
      <c r="V61" s="9"/>
    </row>
    <row r="62" spans="1:22">
      <c r="B62" s="6"/>
      <c r="G62" s="9"/>
      <c r="L62" s="78" t="s">
        <v>80</v>
      </c>
      <c r="M62" s="79"/>
      <c r="N62" s="79"/>
      <c r="O62" s="79"/>
      <c r="P62" s="79"/>
      <c r="Q62" s="79"/>
      <c r="R62" s="79"/>
      <c r="S62" s="79"/>
      <c r="T62" s="79"/>
      <c r="U62" s="79"/>
      <c r="V62" s="80"/>
    </row>
    <row r="63" spans="1:22">
      <c r="B63" s="6"/>
      <c r="G63" s="9"/>
      <c r="L63" s="81"/>
      <c r="M63" s="79"/>
      <c r="N63" s="79"/>
      <c r="O63" s="79"/>
      <c r="P63" s="79"/>
      <c r="Q63" s="79"/>
      <c r="R63" s="79"/>
      <c r="S63" s="79"/>
      <c r="T63" s="79"/>
      <c r="U63" s="79"/>
      <c r="V63" s="80"/>
    </row>
    <row r="64" spans="1:22">
      <c r="B64" s="8"/>
      <c r="C64" s="5"/>
      <c r="D64" s="5"/>
      <c r="E64" s="5"/>
      <c r="F64" s="5"/>
      <c r="G64" s="11"/>
      <c r="L64" s="82"/>
      <c r="M64" s="83"/>
      <c r="N64" s="83"/>
      <c r="O64" s="83"/>
      <c r="P64" s="83"/>
      <c r="Q64" s="83"/>
      <c r="R64" s="83"/>
      <c r="S64" s="83"/>
      <c r="T64" s="83"/>
      <c r="U64" s="83"/>
      <c r="V64" s="84"/>
    </row>
  </sheetData>
  <mergeCells count="8">
    <mergeCell ref="L62:V64"/>
    <mergeCell ref="A1:G1"/>
    <mergeCell ref="B3:G3"/>
    <mergeCell ref="L3:V3"/>
    <mergeCell ref="L4:M4"/>
    <mergeCell ref="O4:P4"/>
    <mergeCell ref="R4:S4"/>
    <mergeCell ref="U4:V4"/>
  </mergeCells>
  <pageMargins left="0" right="0" top="0" bottom="0" header="0" footer="0"/>
  <pageSetup scale="48" orientation="landscape"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pageSetUpPr fitToPage="1"/>
  </sheetPr>
  <dimension ref="A1:V64"/>
  <sheetViews>
    <sheetView zoomScale="75" workbookViewId="0">
      <selection sqref="A1:G1"/>
    </sheetView>
  </sheetViews>
  <sheetFormatPr defaultColWidth="9.109375" defaultRowHeight="14.4"/>
  <cols>
    <col min="1" max="1" width="20" style="1" customWidth="1"/>
    <col min="2" max="7" width="15" style="1" customWidth="1"/>
    <col min="8" max="8" width="1" style="1" customWidth="1"/>
    <col min="9" max="9" width="30" style="1" customWidth="1"/>
    <col min="10" max="10" width="15" style="1" customWidth="1"/>
    <col min="11" max="11" width="1" style="1" customWidth="1"/>
    <col min="12" max="13" width="15" style="1" customWidth="1"/>
    <col min="14" max="14" width="1" style="1" customWidth="1"/>
    <col min="15" max="16" width="15" style="1" customWidth="1"/>
    <col min="17" max="17" width="1" style="1" customWidth="1"/>
    <col min="18" max="19" width="15" style="1" customWidth="1"/>
    <col min="20" max="20" width="1" style="1" customWidth="1"/>
    <col min="21" max="22" width="15" style="1" customWidth="1"/>
    <col min="23" max="23" width="9.109375" style="1" customWidth="1"/>
    <col min="24" max="16384" width="9.109375" style="1"/>
  </cols>
  <sheetData>
    <row r="1" spans="1:22">
      <c r="A1" s="85" t="s">
        <v>167</v>
      </c>
      <c r="B1" s="79"/>
      <c r="C1" s="79"/>
      <c r="D1" s="79"/>
      <c r="E1" s="79"/>
      <c r="F1" s="79"/>
      <c r="G1" s="79"/>
    </row>
    <row r="3" spans="1:22">
      <c r="B3" s="86" t="s">
        <v>1</v>
      </c>
      <c r="C3" s="87"/>
      <c r="D3" s="87"/>
      <c r="E3" s="87"/>
      <c r="F3" s="87"/>
      <c r="G3" s="88"/>
      <c r="L3" s="89" t="s">
        <v>2</v>
      </c>
      <c r="M3" s="90"/>
      <c r="N3" s="90"/>
      <c r="O3" s="90"/>
      <c r="P3" s="90"/>
      <c r="Q3" s="90"/>
      <c r="R3" s="90"/>
      <c r="S3" s="90"/>
      <c r="T3" s="90"/>
      <c r="U3" s="90"/>
      <c r="V3" s="91"/>
    </row>
    <row r="4" spans="1:22">
      <c r="B4" s="6"/>
      <c r="G4" s="9"/>
      <c r="L4" s="92" t="s">
        <v>3</v>
      </c>
      <c r="M4" s="93"/>
      <c r="N4" s="3"/>
      <c r="O4" s="94" t="s">
        <v>4</v>
      </c>
      <c r="P4" s="93"/>
      <c r="Q4" s="3"/>
      <c r="R4" s="94" t="s">
        <v>5</v>
      </c>
      <c r="S4" s="93"/>
      <c r="T4" s="3"/>
      <c r="U4" s="94" t="s">
        <v>6</v>
      </c>
      <c r="V4" s="95"/>
    </row>
    <row r="5" spans="1:22" ht="60" customHeight="1">
      <c r="B5" s="7" t="s">
        <v>3</v>
      </c>
      <c r="C5" s="4" t="s">
        <v>4</v>
      </c>
      <c r="D5" s="4" t="s">
        <v>5</v>
      </c>
      <c r="E5" s="4" t="s">
        <v>6</v>
      </c>
      <c r="F5" s="4" t="s">
        <v>7</v>
      </c>
      <c r="G5" s="10" t="s">
        <v>8</v>
      </c>
      <c r="L5" s="19" t="s">
        <v>9</v>
      </c>
      <c r="M5" s="18" t="s">
        <v>10</v>
      </c>
      <c r="N5" s="18"/>
      <c r="O5" s="18" t="s">
        <v>9</v>
      </c>
      <c r="P5" s="18" t="s">
        <v>10</v>
      </c>
      <c r="Q5" s="18"/>
      <c r="R5" s="18" t="s">
        <v>9</v>
      </c>
      <c r="S5" s="18" t="s">
        <v>10</v>
      </c>
      <c r="T5" s="18"/>
      <c r="U5" s="18" t="s">
        <v>9</v>
      </c>
      <c r="V5" s="20" t="s">
        <v>10</v>
      </c>
    </row>
    <row r="6" spans="1:22">
      <c r="A6" s="1" t="s">
        <v>11</v>
      </c>
      <c r="B6" s="6">
        <v>0</v>
      </c>
      <c r="C6" s="1">
        <v>40414.998633997246</v>
      </c>
      <c r="D6" s="1">
        <v>0</v>
      </c>
      <c r="E6" s="1">
        <v>0</v>
      </c>
      <c r="F6" s="1">
        <v>0</v>
      </c>
      <c r="G6" s="9">
        <f>SUM(AL_FINANCIAL)</f>
        <v>40414.998633997246</v>
      </c>
      <c r="L6" s="6"/>
      <c r="V6" s="9"/>
    </row>
    <row r="7" spans="1:22">
      <c r="A7" s="1" t="s">
        <v>12</v>
      </c>
      <c r="B7" s="6">
        <v>0</v>
      </c>
      <c r="C7" s="1">
        <v>98.999996653859398</v>
      </c>
      <c r="D7" s="1">
        <v>0</v>
      </c>
      <c r="E7" s="1">
        <v>0</v>
      </c>
      <c r="F7" s="1">
        <v>0</v>
      </c>
      <c r="G7" s="9">
        <f>SUM(AK_FINANCIAL)</f>
        <v>98.999996653859398</v>
      </c>
      <c r="I7" s="12"/>
      <c r="J7" s="15"/>
      <c r="L7" s="6"/>
      <c r="V7" s="9"/>
    </row>
    <row r="8" spans="1:22">
      <c r="A8" s="1" t="s">
        <v>13</v>
      </c>
      <c r="B8" s="6">
        <v>0</v>
      </c>
      <c r="C8" s="1">
        <v>86870.99706381232</v>
      </c>
      <c r="D8" s="1">
        <v>0</v>
      </c>
      <c r="E8" s="1">
        <v>0</v>
      </c>
      <c r="F8" s="1">
        <v>0</v>
      </c>
      <c r="G8" s="9">
        <f>SUM(AZ_FINANCIAL)</f>
        <v>86870.99706381232</v>
      </c>
      <c r="I8" s="13" t="s">
        <v>14</v>
      </c>
      <c r="J8" s="16"/>
      <c r="L8" s="6"/>
      <c r="V8" s="9"/>
    </row>
    <row r="9" spans="1:22">
      <c r="A9" s="1" t="s">
        <v>15</v>
      </c>
      <c r="B9" s="6">
        <v>0</v>
      </c>
      <c r="C9" s="1">
        <v>7671.9997406910034</v>
      </c>
      <c r="D9" s="1">
        <v>0</v>
      </c>
      <c r="E9" s="1">
        <v>0</v>
      </c>
      <c r="F9" s="1">
        <v>0</v>
      </c>
      <c r="G9" s="9">
        <f>SUM(AR_FINANCIAL)</f>
        <v>7671.9997406910034</v>
      </c>
      <c r="I9" s="13"/>
      <c r="J9" s="16"/>
      <c r="L9" s="6"/>
      <c r="V9" s="9"/>
    </row>
    <row r="10" spans="1:22">
      <c r="A10" s="1" t="s">
        <v>16</v>
      </c>
      <c r="B10" s="6">
        <v>0</v>
      </c>
      <c r="C10" s="1">
        <v>526264.98221255874</v>
      </c>
      <c r="D10" s="1">
        <v>0</v>
      </c>
      <c r="E10" s="1">
        <v>0</v>
      </c>
      <c r="F10" s="1">
        <v>0</v>
      </c>
      <c r="G10" s="9">
        <f>SUM(CA_FINANCIAL)</f>
        <v>526264.98221255874</v>
      </c>
      <c r="I10" s="13" t="s">
        <v>17</v>
      </c>
      <c r="J10" s="16">
        <v>1173666777</v>
      </c>
      <c r="L10" s="6"/>
      <c r="V10" s="9"/>
    </row>
    <row r="11" spans="1:22">
      <c r="A11" s="1" t="s">
        <v>18</v>
      </c>
      <c r="B11" s="6">
        <v>0</v>
      </c>
      <c r="C11" s="1">
        <v>18491.999374981493</v>
      </c>
      <c r="D11" s="1">
        <v>0</v>
      </c>
      <c r="E11" s="1">
        <v>0</v>
      </c>
      <c r="F11" s="1">
        <v>0</v>
      </c>
      <c r="G11" s="9">
        <f>SUM(CO_FINANCIAL)</f>
        <v>18491.999374981493</v>
      </c>
      <c r="I11" s="13"/>
      <c r="J11" s="16"/>
      <c r="L11" s="6">
        <v>0</v>
      </c>
      <c r="M11" s="1">
        <v>0</v>
      </c>
      <c r="O11" s="1">
        <v>40000</v>
      </c>
      <c r="P11" s="1">
        <v>0</v>
      </c>
      <c r="R11" s="1">
        <v>0</v>
      </c>
      <c r="S11" s="1">
        <v>0</v>
      </c>
      <c r="U11" s="1">
        <v>0</v>
      </c>
      <c r="V11" s="9">
        <v>0</v>
      </c>
    </row>
    <row r="12" spans="1:22">
      <c r="A12" s="1" t="s">
        <v>19</v>
      </c>
      <c r="B12" s="6">
        <v>0</v>
      </c>
      <c r="C12" s="1">
        <v>51466.998260446278</v>
      </c>
      <c r="D12" s="1">
        <v>0</v>
      </c>
      <c r="E12" s="1">
        <v>0</v>
      </c>
      <c r="F12" s="1">
        <v>0</v>
      </c>
      <c r="G12" s="9">
        <f>SUM(CT_FINANCIAL)</f>
        <v>51466.998260446278</v>
      </c>
      <c r="I12" s="13" t="s">
        <v>20</v>
      </c>
      <c r="J12" s="16"/>
      <c r="L12" s="6"/>
      <c r="V12" s="9"/>
    </row>
    <row r="13" spans="1:22">
      <c r="A13" s="1" t="s">
        <v>21</v>
      </c>
      <c r="B13" s="6">
        <v>0</v>
      </c>
      <c r="C13" s="1">
        <v>284.99999036717099</v>
      </c>
      <c r="D13" s="1">
        <v>0</v>
      </c>
      <c r="E13" s="1">
        <v>0</v>
      </c>
      <c r="F13" s="1">
        <v>0</v>
      </c>
      <c r="G13" s="9">
        <f>SUM(DE_FINANCIAL)</f>
        <v>284.99999036717099</v>
      </c>
      <c r="I13" s="13" t="s">
        <v>22</v>
      </c>
      <c r="J13" s="16">
        <v>0</v>
      </c>
      <c r="L13" s="6"/>
      <c r="V13" s="9"/>
    </row>
    <row r="14" spans="1:22">
      <c r="A14" s="1" t="s">
        <v>23</v>
      </c>
      <c r="B14" s="6">
        <v>0</v>
      </c>
      <c r="C14" s="1">
        <v>632.99997860497979</v>
      </c>
      <c r="D14" s="1">
        <v>0</v>
      </c>
      <c r="E14" s="1">
        <v>0</v>
      </c>
      <c r="F14" s="1">
        <v>0</v>
      </c>
      <c r="G14" s="9">
        <f>SUM(DC_FINANCIAL)</f>
        <v>632.99997860497979</v>
      </c>
      <c r="I14" s="13" t="s">
        <v>24</v>
      </c>
      <c r="J14" s="16">
        <v>0</v>
      </c>
      <c r="L14" s="6"/>
      <c r="V14" s="9"/>
    </row>
    <row r="15" spans="1:22">
      <c r="A15" s="1" t="s">
        <v>25</v>
      </c>
      <c r="B15" s="6">
        <v>0</v>
      </c>
      <c r="C15" s="1">
        <v>268084.99093888787</v>
      </c>
      <c r="D15" s="1">
        <v>0</v>
      </c>
      <c r="E15" s="1">
        <v>0</v>
      </c>
      <c r="F15" s="1">
        <v>0</v>
      </c>
      <c r="G15" s="9">
        <f>SUM(FL_FINANCIAL)</f>
        <v>268084.99093888787</v>
      </c>
      <c r="I15" s="13" t="s">
        <v>26</v>
      </c>
      <c r="J15" s="16">
        <v>3028888.897625369</v>
      </c>
      <c r="L15" s="6"/>
      <c r="V15" s="9"/>
    </row>
    <row r="16" spans="1:22">
      <c r="A16" s="1" t="s">
        <v>27</v>
      </c>
      <c r="B16" s="6">
        <v>0</v>
      </c>
      <c r="C16" s="1">
        <v>57841.998044975095</v>
      </c>
      <c r="D16" s="1">
        <v>0</v>
      </c>
      <c r="E16" s="1">
        <v>0</v>
      </c>
      <c r="F16" s="1">
        <v>0</v>
      </c>
      <c r="G16" s="9">
        <f>SUM(GA_FINANCIAL)</f>
        <v>57841.998044975095</v>
      </c>
      <c r="I16" s="13" t="s">
        <v>28</v>
      </c>
      <c r="J16" s="16">
        <v>0</v>
      </c>
      <c r="L16" s="6"/>
      <c r="V16" s="9"/>
    </row>
    <row r="17" spans="1:22">
      <c r="A17" s="1" t="s">
        <v>29</v>
      </c>
      <c r="B17" s="6">
        <v>0</v>
      </c>
      <c r="C17" s="1">
        <v>55843.998112506306</v>
      </c>
      <c r="D17" s="1">
        <v>0</v>
      </c>
      <c r="E17" s="1">
        <v>0</v>
      </c>
      <c r="F17" s="1">
        <v>0</v>
      </c>
      <c r="G17" s="9">
        <f>SUM(HI_FINANCIAL)</f>
        <v>55843.998112506306</v>
      </c>
      <c r="I17" s="13"/>
      <c r="J17" s="16"/>
      <c r="L17" s="6"/>
      <c r="V17" s="9"/>
    </row>
    <row r="18" spans="1:22">
      <c r="A18" s="1" t="s">
        <v>30</v>
      </c>
      <c r="B18" s="6">
        <v>0</v>
      </c>
      <c r="C18" s="1">
        <v>3823.9998707510945</v>
      </c>
      <c r="D18" s="1">
        <v>0</v>
      </c>
      <c r="E18" s="1">
        <v>0</v>
      </c>
      <c r="F18" s="1">
        <v>0</v>
      </c>
      <c r="G18" s="9">
        <f>SUM(ID_FINANCIAL)</f>
        <v>3823.9998707510945</v>
      </c>
      <c r="I18" s="13" t="s">
        <v>31</v>
      </c>
      <c r="J18" s="16"/>
      <c r="L18" s="6"/>
      <c r="V18" s="9"/>
    </row>
    <row r="19" spans="1:22">
      <c r="A19" s="1" t="s">
        <v>32</v>
      </c>
      <c r="B19" s="6">
        <v>0</v>
      </c>
      <c r="C19" s="1">
        <v>107684.9963603116</v>
      </c>
      <c r="D19" s="1">
        <v>0</v>
      </c>
      <c r="E19" s="1">
        <v>0</v>
      </c>
      <c r="F19" s="1">
        <v>0</v>
      </c>
      <c r="G19" s="9">
        <f>SUM(IL_FINANCIAL)</f>
        <v>107684.9963603116</v>
      </c>
      <c r="I19" s="13" t="s">
        <v>33</v>
      </c>
      <c r="J19" s="16">
        <v>0</v>
      </c>
      <c r="L19" s="6">
        <v>0</v>
      </c>
      <c r="M19" s="1">
        <v>0</v>
      </c>
      <c r="O19" s="1">
        <v>120000</v>
      </c>
      <c r="P19" s="1">
        <v>0</v>
      </c>
      <c r="R19" s="1">
        <v>0</v>
      </c>
      <c r="S19" s="1">
        <v>0</v>
      </c>
      <c r="U19" s="1">
        <v>0</v>
      </c>
      <c r="V19" s="9">
        <v>0</v>
      </c>
    </row>
    <row r="20" spans="1:22">
      <c r="A20" s="1" t="s">
        <v>34</v>
      </c>
      <c r="B20" s="6">
        <v>0</v>
      </c>
      <c r="C20" s="1">
        <v>274188.99073257629</v>
      </c>
      <c r="D20" s="1">
        <v>0</v>
      </c>
      <c r="E20" s="1">
        <v>0</v>
      </c>
      <c r="F20" s="1">
        <v>0</v>
      </c>
      <c r="G20" s="9">
        <f>SUM(IN_FINANCIAL)</f>
        <v>274188.99073257629</v>
      </c>
      <c r="I20" s="13" t="s">
        <v>35</v>
      </c>
      <c r="J20" s="16">
        <v>1173666777</v>
      </c>
      <c r="L20" s="6"/>
      <c r="V20" s="9"/>
    </row>
    <row r="21" spans="1:22">
      <c r="A21" s="1" t="s">
        <v>36</v>
      </c>
      <c r="B21" s="6">
        <v>0</v>
      </c>
      <c r="C21" s="1">
        <v>14277.999517412167</v>
      </c>
      <c r="D21" s="1">
        <v>0</v>
      </c>
      <c r="E21" s="1">
        <v>0</v>
      </c>
      <c r="F21" s="1">
        <v>0</v>
      </c>
      <c r="G21" s="9">
        <f>SUM(IA_FINANCIAL)</f>
        <v>14277.999517412167</v>
      </c>
      <c r="I21" s="13" t="s">
        <v>37</v>
      </c>
      <c r="J21" s="16"/>
      <c r="L21" s="6"/>
      <c r="V21" s="9"/>
    </row>
    <row r="22" spans="1:22">
      <c r="A22" s="1" t="s">
        <v>38</v>
      </c>
      <c r="B22" s="6">
        <v>0</v>
      </c>
      <c r="C22" s="1">
        <v>16018.99945856741</v>
      </c>
      <c r="D22" s="1">
        <v>0</v>
      </c>
      <c r="E22" s="1">
        <v>0</v>
      </c>
      <c r="F22" s="1">
        <v>0</v>
      </c>
      <c r="G22" s="9">
        <f>SUM(KS_FINANCIAL)</f>
        <v>16018.99945856741</v>
      </c>
      <c r="I22" s="13" t="s">
        <v>39</v>
      </c>
      <c r="J22" s="16">
        <v>0</v>
      </c>
      <c r="L22" s="6"/>
      <c r="V22" s="9"/>
    </row>
    <row r="23" spans="1:22">
      <c r="A23" s="1" t="s">
        <v>40</v>
      </c>
      <c r="B23" s="6">
        <v>0</v>
      </c>
      <c r="C23" s="1">
        <v>15932.999461474159</v>
      </c>
      <c r="D23" s="1">
        <v>0</v>
      </c>
      <c r="E23" s="1">
        <v>0</v>
      </c>
      <c r="F23" s="1">
        <v>0</v>
      </c>
      <c r="G23" s="9">
        <f>SUM(KY_FINANCIAL)</f>
        <v>15932.999461474159</v>
      </c>
      <c r="I23" s="13" t="s">
        <v>41</v>
      </c>
      <c r="J23" s="16"/>
      <c r="L23" s="6"/>
      <c r="V23" s="9"/>
    </row>
    <row r="24" spans="1:22">
      <c r="A24" s="1" t="s">
        <v>42</v>
      </c>
      <c r="B24" s="6">
        <v>0</v>
      </c>
      <c r="C24" s="1">
        <v>13443.999545600866</v>
      </c>
      <c r="D24" s="1">
        <v>0</v>
      </c>
      <c r="E24" s="1">
        <v>0</v>
      </c>
      <c r="F24" s="1">
        <v>0</v>
      </c>
      <c r="G24" s="9">
        <f>SUM(LA_FINANCIAL)</f>
        <v>13443.999545600866</v>
      </c>
      <c r="I24" s="13" t="s">
        <v>43</v>
      </c>
      <c r="J24" s="16">
        <v>0</v>
      </c>
      <c r="L24" s="6"/>
      <c r="V24" s="9"/>
    </row>
    <row r="25" spans="1:22">
      <c r="A25" s="1" t="s">
        <v>44</v>
      </c>
      <c r="B25" s="6">
        <v>0</v>
      </c>
      <c r="C25" s="1">
        <v>5466.9998152186799</v>
      </c>
      <c r="D25" s="1">
        <v>0</v>
      </c>
      <c r="E25" s="1">
        <v>0</v>
      </c>
      <c r="F25" s="1">
        <v>0</v>
      </c>
      <c r="G25" s="9">
        <f>SUM(ME_FINANCIAL)</f>
        <v>5466.9998152186799</v>
      </c>
      <c r="I25" s="13"/>
      <c r="J25" s="16"/>
      <c r="L25" s="6"/>
      <c r="V25" s="9"/>
    </row>
    <row r="26" spans="1:22">
      <c r="A26" s="1" t="s">
        <v>45</v>
      </c>
      <c r="B26" s="6">
        <v>0</v>
      </c>
      <c r="C26" s="1">
        <v>21206.999283216122</v>
      </c>
      <c r="D26" s="1">
        <v>0</v>
      </c>
      <c r="E26" s="1">
        <v>0</v>
      </c>
      <c r="F26" s="1">
        <v>0</v>
      </c>
      <c r="G26" s="9">
        <f>SUM(MD_FINANCIAL)</f>
        <v>21206.999283216122</v>
      </c>
      <c r="I26" s="13" t="s">
        <v>46</v>
      </c>
      <c r="J26" s="16">
        <f>SUM(ADD_FINANCIAL)-SUM(LESS_FINANCIAL)</f>
        <v>3028888.8976254463</v>
      </c>
      <c r="L26" s="6"/>
      <c r="V26" s="9"/>
    </row>
    <row r="27" spans="1:22">
      <c r="A27" s="1" t="s">
        <v>47</v>
      </c>
      <c r="B27" s="6">
        <v>0</v>
      </c>
      <c r="C27" s="1">
        <v>29612.998999098367</v>
      </c>
      <c r="D27" s="1">
        <v>0</v>
      </c>
      <c r="E27" s="1">
        <v>0</v>
      </c>
      <c r="F27" s="1">
        <v>0</v>
      </c>
      <c r="G27" s="9">
        <f>SUM(MA_FINANCIAL)</f>
        <v>29612.998999098367</v>
      </c>
      <c r="I27" s="13" t="s">
        <v>48</v>
      </c>
      <c r="J27" s="16">
        <f>SUM(ALL_BLOCKS)</f>
        <v>3028888.897625369</v>
      </c>
      <c r="L27" s="6"/>
      <c r="V27" s="9"/>
    </row>
    <row r="28" spans="1:22">
      <c r="A28" s="1" t="s">
        <v>49</v>
      </c>
      <c r="B28" s="6">
        <v>0</v>
      </c>
      <c r="C28" s="1">
        <v>366077.98762678326</v>
      </c>
      <c r="D28" s="1">
        <v>0</v>
      </c>
      <c r="E28" s="1">
        <v>0</v>
      </c>
      <c r="F28" s="1">
        <v>0</v>
      </c>
      <c r="G28" s="9">
        <f>SUM(MI_FINANCIAL)</f>
        <v>366077.98762678326</v>
      </c>
      <c r="I28" s="14"/>
      <c r="J28" s="17"/>
      <c r="L28" s="6"/>
      <c r="V28" s="9"/>
    </row>
    <row r="29" spans="1:22">
      <c r="A29" s="1" t="s">
        <v>50</v>
      </c>
      <c r="B29" s="6">
        <v>0</v>
      </c>
      <c r="C29" s="1">
        <v>33742.998859506843</v>
      </c>
      <c r="D29" s="1">
        <v>0</v>
      </c>
      <c r="E29" s="1">
        <v>0</v>
      </c>
      <c r="F29" s="1">
        <v>0</v>
      </c>
      <c r="G29" s="9">
        <f>SUM(MN_FINANCIAL)</f>
        <v>33742.998859506843</v>
      </c>
      <c r="L29" s="6"/>
      <c r="V29" s="9"/>
    </row>
    <row r="30" spans="1:22">
      <c r="A30" s="1" t="s">
        <v>51</v>
      </c>
      <c r="B30" s="6">
        <v>0</v>
      </c>
      <c r="C30" s="1">
        <v>11982.999594981789</v>
      </c>
      <c r="D30" s="1">
        <v>0</v>
      </c>
      <c r="E30" s="1">
        <v>0</v>
      </c>
      <c r="F30" s="1">
        <v>0</v>
      </c>
      <c r="G30" s="9">
        <f>SUM(MS_FINANCIAL)</f>
        <v>11982.999594981789</v>
      </c>
      <c r="L30" s="6"/>
      <c r="V30" s="9"/>
    </row>
    <row r="31" spans="1:22">
      <c r="A31" s="1" t="s">
        <v>52</v>
      </c>
      <c r="B31" s="6">
        <v>0</v>
      </c>
      <c r="C31" s="1">
        <v>22513.999239040306</v>
      </c>
      <c r="D31" s="1">
        <v>0</v>
      </c>
      <c r="E31" s="1">
        <v>0</v>
      </c>
      <c r="F31" s="1">
        <v>0</v>
      </c>
      <c r="G31" s="9">
        <f>SUM(MO_FINANCIAL)</f>
        <v>22513.999239040306</v>
      </c>
      <c r="L31" s="6"/>
      <c r="V31" s="9"/>
    </row>
    <row r="32" spans="1:22">
      <c r="A32" s="1" t="s">
        <v>53</v>
      </c>
      <c r="B32" s="6">
        <v>0</v>
      </c>
      <c r="C32" s="1">
        <v>7324.9997524193941</v>
      </c>
      <c r="D32" s="1">
        <v>0</v>
      </c>
      <c r="E32" s="1">
        <v>0</v>
      </c>
      <c r="F32" s="1">
        <v>0</v>
      </c>
      <c r="G32" s="9">
        <f>SUM(MT_FINANCIAL)</f>
        <v>7324.9997524193941</v>
      </c>
      <c r="L32" s="6"/>
      <c r="V32" s="9"/>
    </row>
    <row r="33" spans="1:22">
      <c r="A33" s="1" t="s">
        <v>54</v>
      </c>
      <c r="B33" s="6">
        <v>0</v>
      </c>
      <c r="C33" s="1">
        <v>4424.9998504376554</v>
      </c>
      <c r="D33" s="1">
        <v>0</v>
      </c>
      <c r="E33" s="1">
        <v>0</v>
      </c>
      <c r="F33" s="1">
        <v>0</v>
      </c>
      <c r="G33" s="9">
        <f>SUM(NE_FINANCIAL)</f>
        <v>4424.9998504376554</v>
      </c>
      <c r="L33" s="6"/>
      <c r="V33" s="9"/>
    </row>
    <row r="34" spans="1:22">
      <c r="A34" s="1" t="s">
        <v>55</v>
      </c>
      <c r="B34" s="6">
        <v>0</v>
      </c>
      <c r="C34" s="1">
        <v>11215.999620905928</v>
      </c>
      <c r="D34" s="1">
        <v>0</v>
      </c>
      <c r="E34" s="1">
        <v>0</v>
      </c>
      <c r="F34" s="1">
        <v>0</v>
      </c>
      <c r="G34" s="9">
        <f>SUM(NV_FINANCIAL)</f>
        <v>11215.999620905928</v>
      </c>
      <c r="L34" s="6"/>
      <c r="V34" s="9"/>
    </row>
    <row r="35" spans="1:22">
      <c r="A35" s="1" t="s">
        <v>56</v>
      </c>
      <c r="B35" s="6">
        <v>0</v>
      </c>
      <c r="C35" s="1">
        <v>252.99999144875179</v>
      </c>
      <c r="D35" s="1">
        <v>0</v>
      </c>
      <c r="E35" s="1">
        <v>0</v>
      </c>
      <c r="F35" s="1">
        <v>0</v>
      </c>
      <c r="G35" s="9">
        <f>SUM(NH_FINANCIAL)</f>
        <v>252.99999144875179</v>
      </c>
      <c r="L35" s="6"/>
      <c r="V35" s="9"/>
    </row>
    <row r="36" spans="1:22">
      <c r="A36" s="1" t="s">
        <v>57</v>
      </c>
      <c r="B36" s="6">
        <v>0</v>
      </c>
      <c r="C36" s="1">
        <v>0</v>
      </c>
      <c r="D36" s="1">
        <v>0</v>
      </c>
      <c r="E36" s="1">
        <v>0</v>
      </c>
      <c r="F36" s="1">
        <v>0</v>
      </c>
      <c r="G36" s="9">
        <f>SUM(NJ_FINANCIAL)</f>
        <v>0</v>
      </c>
      <c r="L36" s="6"/>
      <c r="V36" s="9"/>
    </row>
    <row r="37" spans="1:22">
      <c r="A37" s="1" t="s">
        <v>58</v>
      </c>
      <c r="B37" s="6">
        <v>0</v>
      </c>
      <c r="C37" s="1">
        <v>4887.999834788533</v>
      </c>
      <c r="D37" s="1">
        <v>0</v>
      </c>
      <c r="E37" s="1">
        <v>0</v>
      </c>
      <c r="F37" s="1">
        <v>0</v>
      </c>
      <c r="G37" s="9">
        <f>SUM(NM_FINANCIAL)</f>
        <v>4887.999834788533</v>
      </c>
      <c r="L37" s="6"/>
      <c r="V37" s="9"/>
    </row>
    <row r="38" spans="1:22">
      <c r="A38" s="1" t="s">
        <v>59</v>
      </c>
      <c r="B38" s="6">
        <v>0</v>
      </c>
      <c r="C38" s="1">
        <v>0</v>
      </c>
      <c r="D38" s="1">
        <v>0</v>
      </c>
      <c r="E38" s="1">
        <v>0</v>
      </c>
      <c r="F38" s="1">
        <v>0</v>
      </c>
      <c r="G38" s="9">
        <f>SUM(NY_FINANCIAL)</f>
        <v>0</v>
      </c>
      <c r="L38" s="6"/>
      <c r="V38" s="9"/>
    </row>
    <row r="39" spans="1:22">
      <c r="A39" s="1" t="s">
        <v>60</v>
      </c>
      <c r="B39" s="6">
        <v>0</v>
      </c>
      <c r="C39" s="1">
        <v>147437.99501668406</v>
      </c>
      <c r="D39" s="1">
        <v>0</v>
      </c>
      <c r="E39" s="1">
        <v>0</v>
      </c>
      <c r="F39" s="1">
        <v>0</v>
      </c>
      <c r="G39" s="9">
        <f>SUM(NC_FINANCIAL)</f>
        <v>147437.99501668406</v>
      </c>
      <c r="L39" s="6">
        <v>0</v>
      </c>
      <c r="M39" s="1">
        <v>0</v>
      </c>
      <c r="O39" s="1">
        <v>250000</v>
      </c>
      <c r="P39" s="1">
        <v>0</v>
      </c>
      <c r="R39" s="1">
        <v>0</v>
      </c>
      <c r="S39" s="1">
        <v>0</v>
      </c>
      <c r="U39" s="1">
        <v>0</v>
      </c>
      <c r="V39" s="9">
        <v>0</v>
      </c>
    </row>
    <row r="40" spans="1:22">
      <c r="A40" s="1" t="s">
        <v>61</v>
      </c>
      <c r="B40" s="6">
        <v>0</v>
      </c>
      <c r="C40" s="1">
        <v>11212.999621007328</v>
      </c>
      <c r="D40" s="1">
        <v>0</v>
      </c>
      <c r="E40" s="1">
        <v>0</v>
      </c>
      <c r="F40" s="1">
        <v>0</v>
      </c>
      <c r="G40" s="9">
        <f>SUM(ND_FINANCIAL)</f>
        <v>11212.999621007328</v>
      </c>
      <c r="L40" s="6"/>
      <c r="V40" s="9"/>
    </row>
    <row r="41" spans="1:22">
      <c r="A41" s="1" t="s">
        <v>62</v>
      </c>
      <c r="B41" s="6">
        <v>0</v>
      </c>
      <c r="C41" s="1">
        <v>249073.99158144824</v>
      </c>
      <c r="D41" s="1">
        <v>0</v>
      </c>
      <c r="E41" s="1">
        <v>0</v>
      </c>
      <c r="F41" s="1">
        <v>0</v>
      </c>
      <c r="G41" s="9">
        <f>SUM(OH_FINANCIAL)</f>
        <v>249073.99158144824</v>
      </c>
      <c r="L41" s="6"/>
      <c r="V41" s="9"/>
    </row>
    <row r="42" spans="1:22">
      <c r="A42" s="1" t="s">
        <v>63</v>
      </c>
      <c r="B42" s="6">
        <v>0</v>
      </c>
      <c r="C42" s="1">
        <v>5995.9997973387972</v>
      </c>
      <c r="D42" s="1">
        <v>0</v>
      </c>
      <c r="E42" s="1">
        <v>0</v>
      </c>
      <c r="F42" s="1">
        <v>0</v>
      </c>
      <c r="G42" s="9">
        <f>SUM(OK_FINANCIAL)</f>
        <v>5995.9997973387972</v>
      </c>
      <c r="L42" s="6"/>
      <c r="V42" s="9"/>
    </row>
    <row r="43" spans="1:22">
      <c r="A43" s="1" t="s">
        <v>64</v>
      </c>
      <c r="B43" s="6">
        <v>0</v>
      </c>
      <c r="C43" s="1">
        <v>1457.9999507204748</v>
      </c>
      <c r="D43" s="1">
        <v>0</v>
      </c>
      <c r="E43" s="1">
        <v>0</v>
      </c>
      <c r="F43" s="1">
        <v>0</v>
      </c>
      <c r="G43" s="9">
        <f>SUM(OR_FINANCIAL)</f>
        <v>1457.9999507204748</v>
      </c>
      <c r="L43" s="6"/>
      <c r="V43" s="9"/>
    </row>
    <row r="44" spans="1:22">
      <c r="A44" s="1" t="s">
        <v>65</v>
      </c>
      <c r="B44" s="6">
        <v>0</v>
      </c>
      <c r="C44" s="1">
        <v>20511.999306706708</v>
      </c>
      <c r="D44" s="1">
        <v>0</v>
      </c>
      <c r="E44" s="1">
        <v>0</v>
      </c>
      <c r="F44" s="1">
        <v>0</v>
      </c>
      <c r="G44" s="9">
        <f>SUM(PA_FINANCIAL)</f>
        <v>20511.999306706708</v>
      </c>
      <c r="L44" s="6"/>
      <c r="V44" s="9"/>
    </row>
    <row r="45" spans="1:22">
      <c r="A45" s="1" t="s">
        <v>66</v>
      </c>
      <c r="B45" s="6">
        <v>0</v>
      </c>
      <c r="C45" s="1">
        <v>0</v>
      </c>
      <c r="D45" s="1">
        <v>0</v>
      </c>
      <c r="E45" s="1">
        <v>0</v>
      </c>
      <c r="F45" s="1">
        <v>0</v>
      </c>
      <c r="G45" s="9">
        <f>SUM(PR_FINANCIAL)</f>
        <v>0</v>
      </c>
      <c r="L45" s="6"/>
      <c r="V45" s="9"/>
    </row>
    <row r="46" spans="1:22">
      <c r="A46" s="1" t="s">
        <v>67</v>
      </c>
      <c r="B46" s="6">
        <v>0</v>
      </c>
      <c r="C46" s="1">
        <v>1920.9999350713524</v>
      </c>
      <c r="D46" s="1">
        <v>0</v>
      </c>
      <c r="E46" s="1">
        <v>0</v>
      </c>
      <c r="F46" s="1">
        <v>0</v>
      </c>
      <c r="G46" s="9">
        <f>SUM(RI_FINANCIAL)</f>
        <v>1920.9999350713524</v>
      </c>
      <c r="L46" s="6"/>
      <c r="V46" s="9"/>
    </row>
    <row r="47" spans="1:22">
      <c r="A47" s="1" t="s">
        <v>68</v>
      </c>
      <c r="B47" s="6">
        <v>0</v>
      </c>
      <c r="C47" s="1">
        <v>49519.998326253713</v>
      </c>
      <c r="D47" s="1">
        <v>0</v>
      </c>
      <c r="E47" s="1">
        <v>0</v>
      </c>
      <c r="F47" s="1">
        <v>0</v>
      </c>
      <c r="G47" s="9">
        <f>SUM(SC_FINANCIAL)</f>
        <v>49519.998326253713</v>
      </c>
      <c r="L47" s="6"/>
      <c r="V47" s="9"/>
    </row>
    <row r="48" spans="1:22">
      <c r="A48" s="1" t="s">
        <v>69</v>
      </c>
      <c r="B48" s="6">
        <v>0</v>
      </c>
      <c r="C48" s="1">
        <v>4067.9998625040407</v>
      </c>
      <c r="D48" s="1">
        <v>0</v>
      </c>
      <c r="E48" s="1">
        <v>0</v>
      </c>
      <c r="F48" s="1">
        <v>0</v>
      </c>
      <c r="G48" s="9">
        <f>SUM(SD_FINANCIAL)</f>
        <v>4067.9998625040407</v>
      </c>
      <c r="L48" s="6"/>
      <c r="V48" s="9"/>
    </row>
    <row r="49" spans="1:22">
      <c r="A49" s="1" t="s">
        <v>70</v>
      </c>
      <c r="B49" s="6">
        <v>0</v>
      </c>
      <c r="C49" s="1">
        <v>45909.998448269544</v>
      </c>
      <c r="D49" s="1">
        <v>0</v>
      </c>
      <c r="E49" s="1">
        <v>0</v>
      </c>
      <c r="F49" s="1">
        <v>0</v>
      </c>
      <c r="G49" s="9">
        <f>SUM(TN_FINANCIAL)</f>
        <v>45909.998448269544</v>
      </c>
      <c r="L49" s="6"/>
      <c r="V49" s="9"/>
    </row>
    <row r="50" spans="1:22">
      <c r="A50" s="1" t="s">
        <v>71</v>
      </c>
      <c r="B50" s="6">
        <v>0</v>
      </c>
      <c r="C50" s="1">
        <v>198853.99327885412</v>
      </c>
      <c r="D50" s="1">
        <v>0</v>
      </c>
      <c r="E50" s="1">
        <v>0</v>
      </c>
      <c r="F50" s="1">
        <v>0</v>
      </c>
      <c r="G50" s="9">
        <f>SUM(TX_FINANCIAL)</f>
        <v>198853.99327885412</v>
      </c>
      <c r="L50" s="6"/>
      <c r="V50" s="9"/>
    </row>
    <row r="51" spans="1:22">
      <c r="A51" s="1" t="s">
        <v>72</v>
      </c>
      <c r="B51" s="6">
        <v>0</v>
      </c>
      <c r="C51" s="1">
        <v>24845.999160220108</v>
      </c>
      <c r="D51" s="1">
        <v>0</v>
      </c>
      <c r="E51" s="1">
        <v>0</v>
      </c>
      <c r="F51" s="1">
        <v>0</v>
      </c>
      <c r="G51" s="9">
        <f>SUM(UT_FINANCIAL)</f>
        <v>24845.999160220108</v>
      </c>
      <c r="L51" s="6"/>
      <c r="V51" s="9"/>
    </row>
    <row r="52" spans="1:22">
      <c r="A52" s="1" t="s">
        <v>73</v>
      </c>
      <c r="B52" s="6">
        <v>0</v>
      </c>
      <c r="C52" s="1">
        <v>364.99998766321897</v>
      </c>
      <c r="D52" s="1">
        <v>0</v>
      </c>
      <c r="E52" s="1">
        <v>0</v>
      </c>
      <c r="F52" s="1">
        <v>0</v>
      </c>
      <c r="G52" s="9">
        <f>SUM(VT_FINANCIAL)</f>
        <v>364.99998766321897</v>
      </c>
      <c r="L52" s="6"/>
      <c r="V52" s="9"/>
    </row>
    <row r="53" spans="1:22">
      <c r="A53" s="1" t="s">
        <v>74</v>
      </c>
      <c r="B53" s="6">
        <v>0</v>
      </c>
      <c r="C53" s="1">
        <v>60966.997939351975</v>
      </c>
      <c r="D53" s="1">
        <v>0</v>
      </c>
      <c r="E53" s="1">
        <v>0</v>
      </c>
      <c r="F53" s="1">
        <v>0</v>
      </c>
      <c r="G53" s="9">
        <f>SUM(VA_FINANCIAL)</f>
        <v>60966.997939351975</v>
      </c>
      <c r="L53" s="6"/>
      <c r="V53" s="9"/>
    </row>
    <row r="54" spans="1:22">
      <c r="A54" s="1" t="s">
        <v>75</v>
      </c>
      <c r="B54" s="6">
        <v>0</v>
      </c>
      <c r="C54" s="1">
        <v>7672.9997406572038</v>
      </c>
      <c r="D54" s="1">
        <v>0</v>
      </c>
      <c r="E54" s="1">
        <v>0</v>
      </c>
      <c r="F54" s="1">
        <v>0</v>
      </c>
      <c r="G54" s="9">
        <f>SUM(WA_FINANCIAL)</f>
        <v>7672.9997406572038</v>
      </c>
      <c r="L54" s="6"/>
      <c r="V54" s="9"/>
    </row>
    <row r="55" spans="1:22">
      <c r="A55" s="1" t="s">
        <v>76</v>
      </c>
      <c r="B55" s="6">
        <v>0</v>
      </c>
      <c r="C55" s="1">
        <v>30704.99896218942</v>
      </c>
      <c r="D55" s="1">
        <v>0</v>
      </c>
      <c r="E55" s="1">
        <v>0</v>
      </c>
      <c r="F55" s="1">
        <v>0</v>
      </c>
      <c r="G55" s="9">
        <f>SUM(WV_FINANCIAL)</f>
        <v>30704.99896218942</v>
      </c>
      <c r="L55" s="6"/>
      <c r="V55" s="9"/>
    </row>
    <row r="56" spans="1:22">
      <c r="A56" s="1" t="s">
        <v>77</v>
      </c>
      <c r="B56" s="6">
        <v>0</v>
      </c>
      <c r="C56" s="1">
        <v>88112.997021833464</v>
      </c>
      <c r="D56" s="1">
        <v>0</v>
      </c>
      <c r="E56" s="1">
        <v>0</v>
      </c>
      <c r="F56" s="1">
        <v>0</v>
      </c>
      <c r="G56" s="9">
        <f>SUM(WI_FINANCIAL)</f>
        <v>88112.997021833464</v>
      </c>
      <c r="L56" s="6"/>
      <c r="V56" s="9"/>
    </row>
    <row r="57" spans="1:22">
      <c r="A57" s="1" t="s">
        <v>78</v>
      </c>
      <c r="B57" s="6">
        <v>0</v>
      </c>
      <c r="C57" s="1">
        <v>2201.9999255737212</v>
      </c>
      <c r="D57" s="1">
        <v>0</v>
      </c>
      <c r="E57" s="1">
        <v>0</v>
      </c>
      <c r="F57" s="1">
        <v>0</v>
      </c>
      <c r="G57" s="9">
        <f>SUM(WY_FINANCIAL)</f>
        <v>2201.9999255737212</v>
      </c>
      <c r="L57" s="6">
        <v>0</v>
      </c>
      <c r="M57" s="1">
        <v>0</v>
      </c>
      <c r="O57" s="1">
        <v>28000</v>
      </c>
      <c r="P57" s="1">
        <v>0</v>
      </c>
      <c r="R57" s="1">
        <v>0</v>
      </c>
      <c r="S57" s="1">
        <v>0</v>
      </c>
      <c r="U57" s="1">
        <v>0</v>
      </c>
      <c r="V57" s="9">
        <v>0</v>
      </c>
    </row>
    <row r="58" spans="1:22">
      <c r="A58" s="1" t="s">
        <v>79</v>
      </c>
      <c r="B58" s="6">
        <v>0</v>
      </c>
      <c r="C58" s="1">
        <v>0</v>
      </c>
      <c r="D58" s="1">
        <v>0</v>
      </c>
      <c r="E58" s="1">
        <v>0</v>
      </c>
      <c r="F58" s="1">
        <v>0</v>
      </c>
      <c r="G58" s="9">
        <f>SUM(OT_FINANCIAL)</f>
        <v>0</v>
      </c>
      <c r="L58" s="6"/>
      <c r="V58" s="9"/>
    </row>
    <row r="59" spans="1:22">
      <c r="B59" s="6"/>
      <c r="G59" s="9"/>
      <c r="L59" s="6"/>
      <c r="V59" s="9"/>
    </row>
    <row r="60" spans="1:22">
      <c r="A60" s="1" t="s">
        <v>8</v>
      </c>
      <c r="B60" s="6">
        <f>SUM(LIFE)</f>
        <v>0</v>
      </c>
      <c r="C60" s="1">
        <f>SUM(ALLOCATED)</f>
        <v>3028888.897625369</v>
      </c>
      <c r="D60" s="1">
        <f>SUM(HEALTH)</f>
        <v>0</v>
      </c>
      <c r="E60" s="1">
        <f>SUM(UNALLOCATED)</f>
        <v>0</v>
      </c>
      <c r="F60" s="1">
        <f>SUM(LTC)</f>
        <v>0</v>
      </c>
      <c r="G60" s="9">
        <f>SUM(ALL_BLOCKS)</f>
        <v>3028888.897625369</v>
      </c>
      <c r="L60" s="6">
        <f>SUM(LIFE_CALLED)</f>
        <v>0</v>
      </c>
      <c r="M60" s="1">
        <f>SUM(LIFE_REFUNDED)</f>
        <v>0</v>
      </c>
      <c r="O60" s="1">
        <f>SUM(ALLOC_CALLED)</f>
        <v>438000</v>
      </c>
      <c r="P60" s="1">
        <f>SUM(ALLOC_REFUNDED)</f>
        <v>0</v>
      </c>
      <c r="R60" s="1">
        <f>SUM(HEALTH_CALLED)</f>
        <v>0</v>
      </c>
      <c r="S60" s="1">
        <f>SUM(HEALTH_REFUNDED)</f>
        <v>0</v>
      </c>
      <c r="U60" s="1">
        <f>SUM(UNALLOC_CALLED)</f>
        <v>0</v>
      </c>
      <c r="V60" s="9">
        <f>SUM(UNALLOC_REFUNDED)</f>
        <v>0</v>
      </c>
    </row>
    <row r="61" spans="1:22" ht="5.0999999999999996" customHeight="1">
      <c r="B61" s="6"/>
      <c r="G61" s="9"/>
      <c r="L61" s="6"/>
      <c r="V61" s="9"/>
    </row>
    <row r="62" spans="1:22">
      <c r="B62" s="6"/>
      <c r="G62" s="9"/>
      <c r="L62" s="78" t="s">
        <v>80</v>
      </c>
      <c r="M62" s="79"/>
      <c r="N62" s="79"/>
      <c r="O62" s="79"/>
      <c r="P62" s="79"/>
      <c r="Q62" s="79"/>
      <c r="R62" s="79"/>
      <c r="S62" s="79"/>
      <c r="T62" s="79"/>
      <c r="U62" s="79"/>
      <c r="V62" s="80"/>
    </row>
    <row r="63" spans="1:22">
      <c r="B63" s="6"/>
      <c r="G63" s="9"/>
      <c r="L63" s="81"/>
      <c r="M63" s="79"/>
      <c r="N63" s="79"/>
      <c r="O63" s="79"/>
      <c r="P63" s="79"/>
      <c r="Q63" s="79"/>
      <c r="R63" s="79"/>
      <c r="S63" s="79"/>
      <c r="T63" s="79"/>
      <c r="U63" s="79"/>
      <c r="V63" s="80"/>
    </row>
    <row r="64" spans="1:22">
      <c r="B64" s="8"/>
      <c r="C64" s="5"/>
      <c r="D64" s="5"/>
      <c r="E64" s="5"/>
      <c r="F64" s="5"/>
      <c r="G64" s="11"/>
      <c r="L64" s="82"/>
      <c r="M64" s="83"/>
      <c r="N64" s="83"/>
      <c r="O64" s="83"/>
      <c r="P64" s="83"/>
      <c r="Q64" s="83"/>
      <c r="R64" s="83"/>
      <c r="S64" s="83"/>
      <c r="T64" s="83"/>
      <c r="U64" s="83"/>
      <c r="V64" s="84"/>
    </row>
  </sheetData>
  <mergeCells count="8">
    <mergeCell ref="L62:V64"/>
    <mergeCell ref="A1:G1"/>
    <mergeCell ref="B3:G3"/>
    <mergeCell ref="L3:V3"/>
    <mergeCell ref="L4:M4"/>
    <mergeCell ref="O4:P4"/>
    <mergeCell ref="R4:S4"/>
    <mergeCell ref="U4:V4"/>
  </mergeCells>
  <pageMargins left="0" right="0" top="0" bottom="0" header="0" footer="0"/>
  <pageSetup scale="48" orientation="landscape"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pageSetUpPr fitToPage="1"/>
  </sheetPr>
  <dimension ref="A1:V64"/>
  <sheetViews>
    <sheetView zoomScale="75" workbookViewId="0">
      <selection sqref="A1:G1"/>
    </sheetView>
  </sheetViews>
  <sheetFormatPr defaultColWidth="9.109375" defaultRowHeight="14.4"/>
  <cols>
    <col min="1" max="1" width="20" style="1" customWidth="1"/>
    <col min="2" max="7" width="15" style="1" customWidth="1"/>
    <col min="8" max="8" width="1" style="1" customWidth="1"/>
    <col min="9" max="9" width="30" style="1" customWidth="1"/>
    <col min="10" max="10" width="15" style="1" customWidth="1"/>
    <col min="11" max="11" width="1" style="1" customWidth="1"/>
    <col min="12" max="13" width="15" style="1" customWidth="1"/>
    <col min="14" max="14" width="1" style="1" customWidth="1"/>
    <col min="15" max="16" width="15" style="1" customWidth="1"/>
    <col min="17" max="17" width="1" style="1" customWidth="1"/>
    <col min="18" max="19" width="15" style="1" customWidth="1"/>
    <col min="20" max="20" width="1" style="1" customWidth="1"/>
    <col min="21" max="22" width="15" style="1" customWidth="1"/>
    <col min="23" max="23" width="9.109375" style="1" customWidth="1"/>
    <col min="24" max="16384" width="9.109375" style="1"/>
  </cols>
  <sheetData>
    <row r="1" spans="1:22">
      <c r="A1" s="85" t="s">
        <v>168</v>
      </c>
      <c r="B1" s="79"/>
      <c r="C1" s="79"/>
      <c r="D1" s="79"/>
      <c r="E1" s="79"/>
      <c r="F1" s="79"/>
      <c r="G1" s="79"/>
    </row>
    <row r="3" spans="1:22">
      <c r="B3" s="86" t="s">
        <v>1</v>
      </c>
      <c r="C3" s="87"/>
      <c r="D3" s="87"/>
      <c r="E3" s="87"/>
      <c r="F3" s="87"/>
      <c r="G3" s="88"/>
      <c r="L3" s="89" t="s">
        <v>2</v>
      </c>
      <c r="M3" s="90"/>
      <c r="N3" s="90"/>
      <c r="O3" s="90"/>
      <c r="P3" s="90"/>
      <c r="Q3" s="90"/>
      <c r="R3" s="90"/>
      <c r="S3" s="90"/>
      <c r="T3" s="90"/>
      <c r="U3" s="90"/>
      <c r="V3" s="91"/>
    </row>
    <row r="4" spans="1:22">
      <c r="B4" s="6"/>
      <c r="G4" s="9"/>
      <c r="L4" s="92" t="s">
        <v>3</v>
      </c>
      <c r="M4" s="93"/>
      <c r="N4" s="3"/>
      <c r="O4" s="94" t="s">
        <v>4</v>
      </c>
      <c r="P4" s="93"/>
      <c r="Q4" s="3"/>
      <c r="R4" s="94" t="s">
        <v>5</v>
      </c>
      <c r="S4" s="93"/>
      <c r="T4" s="3"/>
      <c r="U4" s="94" t="s">
        <v>6</v>
      </c>
      <c r="V4" s="95"/>
    </row>
    <row r="5" spans="1:22" ht="60" customHeight="1">
      <c r="B5" s="7" t="s">
        <v>3</v>
      </c>
      <c r="C5" s="4" t="s">
        <v>4</v>
      </c>
      <c r="D5" s="4" t="s">
        <v>5</v>
      </c>
      <c r="E5" s="4" t="s">
        <v>6</v>
      </c>
      <c r="F5" s="4" t="s">
        <v>7</v>
      </c>
      <c r="G5" s="10" t="s">
        <v>8</v>
      </c>
      <c r="L5" s="19" t="s">
        <v>9</v>
      </c>
      <c r="M5" s="18" t="s">
        <v>10</v>
      </c>
      <c r="N5" s="18"/>
      <c r="O5" s="18" t="s">
        <v>9</v>
      </c>
      <c r="P5" s="18" t="s">
        <v>10</v>
      </c>
      <c r="Q5" s="18"/>
      <c r="R5" s="18" t="s">
        <v>9</v>
      </c>
      <c r="S5" s="18" t="s">
        <v>10</v>
      </c>
      <c r="T5" s="18"/>
      <c r="U5" s="18" t="s">
        <v>9</v>
      </c>
      <c r="V5" s="20" t="s">
        <v>10</v>
      </c>
    </row>
    <row r="6" spans="1:22">
      <c r="A6" s="1" t="s">
        <v>11</v>
      </c>
      <c r="B6" s="6">
        <v>0</v>
      </c>
      <c r="C6" s="1">
        <v>0</v>
      </c>
      <c r="D6" s="1">
        <v>161695.32144319959</v>
      </c>
      <c r="E6" s="1">
        <v>0</v>
      </c>
      <c r="F6" s="1">
        <v>0</v>
      </c>
      <c r="G6" s="9">
        <f>SUM(AL_FINANCIAL)</f>
        <v>161695.32144319959</v>
      </c>
      <c r="L6" s="6"/>
      <c r="V6" s="9"/>
    </row>
    <row r="7" spans="1:22">
      <c r="A7" s="1" t="s">
        <v>12</v>
      </c>
      <c r="B7" s="6">
        <v>0</v>
      </c>
      <c r="C7" s="1">
        <v>0</v>
      </c>
      <c r="D7" s="1">
        <v>0</v>
      </c>
      <c r="E7" s="1">
        <v>0</v>
      </c>
      <c r="F7" s="1">
        <v>0</v>
      </c>
      <c r="G7" s="9">
        <f>SUM(AK_FINANCIAL)</f>
        <v>0</v>
      </c>
      <c r="I7" s="12"/>
      <c r="J7" s="15"/>
      <c r="L7" s="6"/>
      <c r="V7" s="9"/>
    </row>
    <row r="8" spans="1:22">
      <c r="A8" s="1" t="s">
        <v>13</v>
      </c>
      <c r="B8" s="6">
        <v>0</v>
      </c>
      <c r="C8" s="1">
        <v>0</v>
      </c>
      <c r="D8" s="1">
        <v>91659.906084243907</v>
      </c>
      <c r="E8" s="1">
        <v>0</v>
      </c>
      <c r="F8" s="1">
        <v>0</v>
      </c>
      <c r="G8" s="9">
        <f>SUM(AZ_FINANCIAL)</f>
        <v>91659.906084243907</v>
      </c>
      <c r="I8" s="13" t="s">
        <v>14</v>
      </c>
      <c r="J8" s="16"/>
      <c r="L8" s="6"/>
      <c r="V8" s="9"/>
    </row>
    <row r="9" spans="1:22">
      <c r="A9" s="1" t="s">
        <v>15</v>
      </c>
      <c r="B9" s="6">
        <v>0</v>
      </c>
      <c r="C9" s="1">
        <v>0</v>
      </c>
      <c r="D9" s="1">
        <v>65653.547622259473</v>
      </c>
      <c r="E9" s="1">
        <v>0</v>
      </c>
      <c r="F9" s="1">
        <v>0</v>
      </c>
      <c r="G9" s="9">
        <f>SUM(AR_FINANCIAL)</f>
        <v>65653.547622259473</v>
      </c>
      <c r="I9" s="13"/>
      <c r="J9" s="16"/>
      <c r="L9" s="6">
        <v>0</v>
      </c>
      <c r="M9" s="1">
        <v>0</v>
      </c>
      <c r="O9" s="1">
        <v>0</v>
      </c>
      <c r="P9" s="1">
        <v>0</v>
      </c>
      <c r="R9" s="1">
        <v>70294</v>
      </c>
      <c r="S9" s="1">
        <v>0</v>
      </c>
      <c r="U9" s="1">
        <v>0</v>
      </c>
      <c r="V9" s="9">
        <v>0</v>
      </c>
    </row>
    <row r="10" spans="1:22">
      <c r="A10" s="1" t="s">
        <v>16</v>
      </c>
      <c r="B10" s="6">
        <v>0</v>
      </c>
      <c r="C10" s="1">
        <v>0</v>
      </c>
      <c r="D10" s="1">
        <v>0</v>
      </c>
      <c r="E10" s="1">
        <v>0</v>
      </c>
      <c r="F10" s="1">
        <v>0</v>
      </c>
      <c r="G10" s="9">
        <f>SUM(CA_FINANCIAL)</f>
        <v>0</v>
      </c>
      <c r="I10" s="13" t="s">
        <v>17</v>
      </c>
      <c r="J10" s="16">
        <v>2552388</v>
      </c>
      <c r="L10" s="6"/>
      <c r="V10" s="9"/>
    </row>
    <row r="11" spans="1:22">
      <c r="A11" s="1" t="s">
        <v>18</v>
      </c>
      <c r="B11" s="6">
        <v>0</v>
      </c>
      <c r="C11" s="1">
        <v>0</v>
      </c>
      <c r="D11" s="1">
        <v>-16736.376104086317</v>
      </c>
      <c r="E11" s="1">
        <v>0</v>
      </c>
      <c r="F11" s="1">
        <v>0</v>
      </c>
      <c r="G11" s="9">
        <f>SUM(CO_FINANCIAL)</f>
        <v>-16736.376104086317</v>
      </c>
      <c r="I11" s="13"/>
      <c r="J11" s="16"/>
      <c r="L11" s="6">
        <v>0</v>
      </c>
      <c r="M11" s="1">
        <v>0</v>
      </c>
      <c r="O11" s="1">
        <v>0</v>
      </c>
      <c r="P11" s="1">
        <v>0</v>
      </c>
      <c r="R11" s="1">
        <v>369296</v>
      </c>
      <c r="S11" s="1">
        <v>0</v>
      </c>
      <c r="U11" s="1">
        <v>0</v>
      </c>
      <c r="V11" s="9">
        <v>0</v>
      </c>
    </row>
    <row r="12" spans="1:22">
      <c r="A12" s="1" t="s">
        <v>19</v>
      </c>
      <c r="B12" s="6">
        <v>0</v>
      </c>
      <c r="C12" s="1">
        <v>0</v>
      </c>
      <c r="D12" s="1">
        <v>0</v>
      </c>
      <c r="E12" s="1">
        <v>0</v>
      </c>
      <c r="F12" s="1">
        <v>0</v>
      </c>
      <c r="G12" s="9">
        <f>SUM(CT_FINANCIAL)</f>
        <v>0</v>
      </c>
      <c r="I12" s="13" t="s">
        <v>20</v>
      </c>
      <c r="J12" s="16"/>
      <c r="L12" s="6"/>
      <c r="V12" s="9"/>
    </row>
    <row r="13" spans="1:22">
      <c r="A13" s="1" t="s">
        <v>21</v>
      </c>
      <c r="B13" s="6">
        <v>0</v>
      </c>
      <c r="C13" s="1">
        <v>0</v>
      </c>
      <c r="D13" s="1">
        <v>8434.2673074472223</v>
      </c>
      <c r="E13" s="1">
        <v>0</v>
      </c>
      <c r="F13" s="1">
        <v>0</v>
      </c>
      <c r="G13" s="9">
        <f>SUM(DE_FINANCIAL)</f>
        <v>8434.2673074472223</v>
      </c>
      <c r="I13" s="13" t="s">
        <v>22</v>
      </c>
      <c r="J13" s="16">
        <v>91271</v>
      </c>
      <c r="L13" s="6"/>
      <c r="V13" s="9"/>
    </row>
    <row r="14" spans="1:22">
      <c r="A14" s="1" t="s">
        <v>23</v>
      </c>
      <c r="B14" s="6">
        <v>0</v>
      </c>
      <c r="C14" s="1">
        <v>0</v>
      </c>
      <c r="D14" s="1">
        <v>0</v>
      </c>
      <c r="E14" s="1">
        <v>0</v>
      </c>
      <c r="F14" s="1">
        <v>0</v>
      </c>
      <c r="G14" s="9">
        <f>SUM(DC_FINANCIAL)</f>
        <v>0</v>
      </c>
      <c r="I14" s="13" t="s">
        <v>24</v>
      </c>
      <c r="J14" s="16">
        <v>3003885</v>
      </c>
      <c r="L14" s="6"/>
      <c r="V14" s="9"/>
    </row>
    <row r="15" spans="1:22">
      <c r="A15" s="1" t="s">
        <v>25</v>
      </c>
      <c r="B15" s="6">
        <v>0</v>
      </c>
      <c r="C15" s="1">
        <v>0</v>
      </c>
      <c r="D15" s="1">
        <v>436825.42957053881</v>
      </c>
      <c r="E15" s="1">
        <v>0</v>
      </c>
      <c r="F15" s="1">
        <v>0</v>
      </c>
      <c r="G15" s="9">
        <f>SUM(FL_FINANCIAL)</f>
        <v>436825.42957053881</v>
      </c>
      <c r="I15" s="13" t="s">
        <v>26</v>
      </c>
      <c r="J15" s="16">
        <v>1905625.3900000001</v>
      </c>
      <c r="L15" s="6"/>
      <c r="V15" s="9"/>
    </row>
    <row r="16" spans="1:22">
      <c r="A16" s="1" t="s">
        <v>27</v>
      </c>
      <c r="B16" s="6">
        <v>0</v>
      </c>
      <c r="C16" s="1">
        <v>0</v>
      </c>
      <c r="D16" s="1">
        <v>1478303.1205221065</v>
      </c>
      <c r="E16" s="1">
        <v>0</v>
      </c>
      <c r="F16" s="1">
        <v>0</v>
      </c>
      <c r="G16" s="9">
        <f>SUM(GA_FINANCIAL)</f>
        <v>1478303.1205221065</v>
      </c>
      <c r="I16" s="13" t="s">
        <v>28</v>
      </c>
      <c r="J16" s="16">
        <v>0</v>
      </c>
      <c r="L16" s="6">
        <v>0</v>
      </c>
      <c r="M16" s="1">
        <v>0</v>
      </c>
      <c r="O16" s="1">
        <v>0</v>
      </c>
      <c r="P16" s="1">
        <v>0</v>
      </c>
      <c r="R16" s="1">
        <v>1448000</v>
      </c>
      <c r="S16" s="1">
        <v>0</v>
      </c>
      <c r="U16" s="1">
        <v>0</v>
      </c>
      <c r="V16" s="9">
        <v>0</v>
      </c>
    </row>
    <row r="17" spans="1:22">
      <c r="A17" s="1" t="s">
        <v>29</v>
      </c>
      <c r="B17" s="6">
        <v>0</v>
      </c>
      <c r="C17" s="1">
        <v>0</v>
      </c>
      <c r="D17" s="1">
        <v>0</v>
      </c>
      <c r="E17" s="1">
        <v>0</v>
      </c>
      <c r="F17" s="1">
        <v>0</v>
      </c>
      <c r="G17" s="9">
        <f>SUM(HI_FINANCIAL)</f>
        <v>0</v>
      </c>
      <c r="I17" s="13"/>
      <c r="J17" s="16"/>
      <c r="L17" s="6"/>
      <c r="V17" s="9"/>
    </row>
    <row r="18" spans="1:22">
      <c r="A18" s="1" t="s">
        <v>30</v>
      </c>
      <c r="B18" s="6">
        <v>0</v>
      </c>
      <c r="C18" s="1">
        <v>0</v>
      </c>
      <c r="D18" s="1">
        <v>29909.155286885987</v>
      </c>
      <c r="E18" s="1">
        <v>0</v>
      </c>
      <c r="F18" s="1">
        <v>0</v>
      </c>
      <c r="G18" s="9">
        <f>SUM(ID_FINANCIAL)</f>
        <v>29909.155286885987</v>
      </c>
      <c r="I18" s="13" t="s">
        <v>31</v>
      </c>
      <c r="J18" s="16"/>
      <c r="L18" s="6">
        <v>0</v>
      </c>
      <c r="M18" s="1">
        <v>0</v>
      </c>
      <c r="O18" s="1">
        <v>0</v>
      </c>
      <c r="P18" s="1">
        <v>0</v>
      </c>
      <c r="R18" s="1">
        <v>43000</v>
      </c>
      <c r="S18" s="1">
        <v>0</v>
      </c>
      <c r="U18" s="1">
        <v>0</v>
      </c>
      <c r="V18" s="9">
        <v>0</v>
      </c>
    </row>
    <row r="19" spans="1:22">
      <c r="A19" s="1" t="s">
        <v>32</v>
      </c>
      <c r="B19" s="6">
        <v>0</v>
      </c>
      <c r="C19" s="1">
        <v>0</v>
      </c>
      <c r="D19" s="1">
        <v>0</v>
      </c>
      <c r="E19" s="1">
        <v>0</v>
      </c>
      <c r="F19" s="1">
        <v>0</v>
      </c>
      <c r="G19" s="9">
        <f>SUM(IL_FINANCIAL)</f>
        <v>0</v>
      </c>
      <c r="I19" s="13" t="s">
        <v>33</v>
      </c>
      <c r="J19" s="16">
        <v>0</v>
      </c>
      <c r="L19" s="6"/>
      <c r="V19" s="9"/>
    </row>
    <row r="20" spans="1:22">
      <c r="A20" s="1" t="s">
        <v>34</v>
      </c>
      <c r="B20" s="6">
        <v>0</v>
      </c>
      <c r="C20" s="1">
        <v>0</v>
      </c>
      <c r="D20" s="1">
        <v>0</v>
      </c>
      <c r="E20" s="1">
        <v>0</v>
      </c>
      <c r="F20" s="1">
        <v>0</v>
      </c>
      <c r="G20" s="9">
        <f>SUM(IN_FINANCIAL)</f>
        <v>0</v>
      </c>
      <c r="I20" s="13" t="s">
        <v>35</v>
      </c>
      <c r="J20" s="16">
        <v>28022</v>
      </c>
      <c r="L20" s="6"/>
      <c r="V20" s="9"/>
    </row>
    <row r="21" spans="1:22">
      <c r="A21" s="1" t="s">
        <v>36</v>
      </c>
      <c r="B21" s="6">
        <v>0</v>
      </c>
      <c r="C21" s="1">
        <v>0</v>
      </c>
      <c r="D21" s="1">
        <v>0</v>
      </c>
      <c r="E21" s="1">
        <v>0</v>
      </c>
      <c r="F21" s="1">
        <v>0</v>
      </c>
      <c r="G21" s="9">
        <f>SUM(IA_FINANCIAL)</f>
        <v>0</v>
      </c>
      <c r="I21" s="13" t="s">
        <v>37</v>
      </c>
      <c r="J21" s="16"/>
      <c r="L21" s="6"/>
      <c r="V21" s="9"/>
    </row>
    <row r="22" spans="1:22">
      <c r="A22" s="1" t="s">
        <v>38</v>
      </c>
      <c r="B22" s="6">
        <v>0</v>
      </c>
      <c r="C22" s="1">
        <v>0</v>
      </c>
      <c r="D22" s="1">
        <v>118.86244268478947</v>
      </c>
      <c r="E22" s="1">
        <v>0</v>
      </c>
      <c r="F22" s="1">
        <v>0</v>
      </c>
      <c r="G22" s="9">
        <f>SUM(KS_FINANCIAL)</f>
        <v>118.86244268478947</v>
      </c>
      <c r="I22" s="13" t="s">
        <v>39</v>
      </c>
      <c r="J22" s="16">
        <v>0</v>
      </c>
      <c r="L22" s="6"/>
      <c r="V22" s="9"/>
    </row>
    <row r="23" spans="1:22">
      <c r="A23" s="1" t="s">
        <v>40</v>
      </c>
      <c r="B23" s="6">
        <v>0</v>
      </c>
      <c r="C23" s="1">
        <v>0</v>
      </c>
      <c r="D23" s="1">
        <v>0</v>
      </c>
      <c r="E23" s="1">
        <v>0</v>
      </c>
      <c r="F23" s="1">
        <v>0</v>
      </c>
      <c r="G23" s="9">
        <f>SUM(KY_FINANCIAL)</f>
        <v>0</v>
      </c>
      <c r="I23" s="13" t="s">
        <v>41</v>
      </c>
      <c r="J23" s="16"/>
      <c r="L23" s="6"/>
      <c r="V23" s="9"/>
    </row>
    <row r="24" spans="1:22">
      <c r="A24" s="1" t="s">
        <v>42</v>
      </c>
      <c r="B24" s="6">
        <v>0</v>
      </c>
      <c r="C24" s="1">
        <v>0</v>
      </c>
      <c r="D24" s="1">
        <v>240962.46322192441</v>
      </c>
      <c r="E24" s="1">
        <v>0</v>
      </c>
      <c r="F24" s="1">
        <v>0</v>
      </c>
      <c r="G24" s="9">
        <f>SUM(LA_FINANCIAL)</f>
        <v>240962.46322192441</v>
      </c>
      <c r="I24" s="13" t="s">
        <v>43</v>
      </c>
      <c r="J24" s="16">
        <v>2587048</v>
      </c>
      <c r="L24" s="6">
        <v>226286</v>
      </c>
      <c r="M24" s="1">
        <v>0</v>
      </c>
      <c r="O24" s="1">
        <v>0</v>
      </c>
      <c r="P24" s="1">
        <v>0</v>
      </c>
      <c r="R24" s="1">
        <v>378714</v>
      </c>
      <c r="S24" s="1">
        <v>0</v>
      </c>
      <c r="U24" s="1">
        <v>0</v>
      </c>
      <c r="V24" s="9">
        <v>0</v>
      </c>
    </row>
    <row r="25" spans="1:22">
      <c r="A25" s="1" t="s">
        <v>44</v>
      </c>
      <c r="B25" s="6">
        <v>0</v>
      </c>
      <c r="C25" s="1">
        <v>0</v>
      </c>
      <c r="D25" s="1">
        <v>0</v>
      </c>
      <c r="E25" s="1">
        <v>0</v>
      </c>
      <c r="F25" s="1">
        <v>0</v>
      </c>
      <c r="G25" s="9">
        <f>SUM(ME_FINANCIAL)</f>
        <v>0</v>
      </c>
      <c r="I25" s="13"/>
      <c r="J25" s="16"/>
      <c r="L25" s="6"/>
      <c r="V25" s="9"/>
    </row>
    <row r="26" spans="1:22">
      <c r="A26" s="1" t="s">
        <v>45</v>
      </c>
      <c r="B26" s="6">
        <v>0</v>
      </c>
      <c r="C26" s="1">
        <v>0</v>
      </c>
      <c r="D26" s="1">
        <v>0</v>
      </c>
      <c r="E26" s="1">
        <v>0</v>
      </c>
      <c r="F26" s="1">
        <v>0</v>
      </c>
      <c r="G26" s="9">
        <f>SUM(MD_FINANCIAL)</f>
        <v>0</v>
      </c>
      <c r="I26" s="13" t="s">
        <v>46</v>
      </c>
      <c r="J26" s="16">
        <f>SUM(ADD_FINANCIAL)-SUM(LESS_FINANCIAL)</f>
        <v>4938099.3900000006</v>
      </c>
      <c r="L26" s="6"/>
      <c r="V26" s="9"/>
    </row>
    <row r="27" spans="1:22">
      <c r="A27" s="1" t="s">
        <v>47</v>
      </c>
      <c r="B27" s="6">
        <v>0</v>
      </c>
      <c r="C27" s="1">
        <v>0</v>
      </c>
      <c r="D27" s="1">
        <v>0</v>
      </c>
      <c r="E27" s="1">
        <v>0</v>
      </c>
      <c r="F27" s="1">
        <v>0</v>
      </c>
      <c r="G27" s="9">
        <f>SUM(MA_FINANCIAL)</f>
        <v>0</v>
      </c>
      <c r="I27" s="13" t="s">
        <v>48</v>
      </c>
      <c r="J27" s="16">
        <f>SUM(ALL_BLOCKS)</f>
        <v>4938099.3900000006</v>
      </c>
      <c r="L27" s="6"/>
      <c r="V27" s="9"/>
    </row>
    <row r="28" spans="1:22">
      <c r="A28" s="1" t="s">
        <v>49</v>
      </c>
      <c r="B28" s="6">
        <v>0</v>
      </c>
      <c r="C28" s="1">
        <v>0</v>
      </c>
      <c r="D28" s="1">
        <v>0</v>
      </c>
      <c r="E28" s="1">
        <v>0</v>
      </c>
      <c r="F28" s="1">
        <v>0</v>
      </c>
      <c r="G28" s="9">
        <f>SUM(MI_FINANCIAL)</f>
        <v>0</v>
      </c>
      <c r="I28" s="14"/>
      <c r="J28" s="17"/>
      <c r="L28" s="6"/>
      <c r="V28" s="9"/>
    </row>
    <row r="29" spans="1:22">
      <c r="A29" s="1" t="s">
        <v>50</v>
      </c>
      <c r="B29" s="6">
        <v>0</v>
      </c>
      <c r="C29" s="1">
        <v>0</v>
      </c>
      <c r="D29" s="1">
        <v>0</v>
      </c>
      <c r="E29" s="1">
        <v>0</v>
      </c>
      <c r="F29" s="1">
        <v>0</v>
      </c>
      <c r="G29" s="9">
        <f>SUM(MN_FINANCIAL)</f>
        <v>0</v>
      </c>
      <c r="L29" s="6"/>
      <c r="V29" s="9"/>
    </row>
    <row r="30" spans="1:22">
      <c r="A30" s="1" t="s">
        <v>51</v>
      </c>
      <c r="B30" s="6">
        <v>0</v>
      </c>
      <c r="C30" s="1">
        <v>0</v>
      </c>
      <c r="D30" s="1">
        <v>232585.5065187671</v>
      </c>
      <c r="E30" s="1">
        <v>0</v>
      </c>
      <c r="F30" s="1">
        <v>0</v>
      </c>
      <c r="G30" s="9">
        <f>SUM(MS_FINANCIAL)</f>
        <v>232585.5065187671</v>
      </c>
      <c r="L30" s="6"/>
      <c r="V30" s="9"/>
    </row>
    <row r="31" spans="1:22">
      <c r="A31" s="1" t="s">
        <v>52</v>
      </c>
      <c r="B31" s="6">
        <v>0</v>
      </c>
      <c r="C31" s="1">
        <v>0</v>
      </c>
      <c r="D31" s="1">
        <v>0</v>
      </c>
      <c r="E31" s="1">
        <v>0</v>
      </c>
      <c r="F31" s="1">
        <v>0</v>
      </c>
      <c r="G31" s="9">
        <f>SUM(MO_FINANCIAL)</f>
        <v>0</v>
      </c>
      <c r="L31" s="6"/>
      <c r="V31" s="9"/>
    </row>
    <row r="32" spans="1:22">
      <c r="A32" s="1" t="s">
        <v>53</v>
      </c>
      <c r="B32" s="6">
        <v>0</v>
      </c>
      <c r="C32" s="1">
        <v>0</v>
      </c>
      <c r="D32" s="1">
        <v>10358.88129907998</v>
      </c>
      <c r="E32" s="1">
        <v>0</v>
      </c>
      <c r="F32" s="1">
        <v>0</v>
      </c>
      <c r="G32" s="9">
        <f>SUM(MT_FINANCIAL)</f>
        <v>10358.88129907998</v>
      </c>
      <c r="L32" s="6"/>
      <c r="V32" s="9"/>
    </row>
    <row r="33" spans="1:22">
      <c r="A33" s="1" t="s">
        <v>54</v>
      </c>
      <c r="B33" s="6">
        <v>0</v>
      </c>
      <c r="C33" s="1">
        <v>0</v>
      </c>
      <c r="D33" s="1">
        <v>27787.428321162752</v>
      </c>
      <c r="E33" s="1">
        <v>0</v>
      </c>
      <c r="F33" s="1">
        <v>0</v>
      </c>
      <c r="G33" s="9">
        <f>SUM(NE_FINANCIAL)</f>
        <v>27787.428321162752</v>
      </c>
      <c r="L33" s="6"/>
      <c r="V33" s="9"/>
    </row>
    <row r="34" spans="1:22">
      <c r="A34" s="1" t="s">
        <v>55</v>
      </c>
      <c r="B34" s="6">
        <v>0</v>
      </c>
      <c r="C34" s="1">
        <v>0</v>
      </c>
      <c r="D34" s="1">
        <v>922.25532764664354</v>
      </c>
      <c r="E34" s="1">
        <v>0</v>
      </c>
      <c r="F34" s="1">
        <v>0</v>
      </c>
      <c r="G34" s="9">
        <f>SUM(NV_FINANCIAL)</f>
        <v>922.25532764664354</v>
      </c>
      <c r="L34" s="6"/>
      <c r="V34" s="9"/>
    </row>
    <row r="35" spans="1:22">
      <c r="A35" s="1" t="s">
        <v>56</v>
      </c>
      <c r="B35" s="6">
        <v>0</v>
      </c>
      <c r="C35" s="1">
        <v>0</v>
      </c>
      <c r="D35" s="1">
        <v>0</v>
      </c>
      <c r="E35" s="1">
        <v>0</v>
      </c>
      <c r="F35" s="1">
        <v>0</v>
      </c>
      <c r="G35" s="9">
        <f>SUM(NH_FINANCIAL)</f>
        <v>0</v>
      </c>
      <c r="L35" s="6"/>
      <c r="V35" s="9"/>
    </row>
    <row r="36" spans="1:22">
      <c r="A36" s="1" t="s">
        <v>57</v>
      </c>
      <c r="B36" s="6">
        <v>0</v>
      </c>
      <c r="C36" s="1">
        <v>0</v>
      </c>
      <c r="D36" s="1">
        <v>0</v>
      </c>
      <c r="E36" s="1">
        <v>0</v>
      </c>
      <c r="F36" s="1">
        <v>0</v>
      </c>
      <c r="G36" s="9">
        <f>SUM(NJ_FINANCIAL)</f>
        <v>0</v>
      </c>
      <c r="L36" s="6"/>
      <c r="V36" s="9"/>
    </row>
    <row r="37" spans="1:22">
      <c r="A37" s="1" t="s">
        <v>58</v>
      </c>
      <c r="B37" s="6">
        <v>0</v>
      </c>
      <c r="C37" s="1">
        <v>0</v>
      </c>
      <c r="D37" s="1">
        <v>-84812.560231952055</v>
      </c>
      <c r="E37" s="1">
        <v>0</v>
      </c>
      <c r="F37" s="1">
        <v>0</v>
      </c>
      <c r="G37" s="9">
        <f>SUM(NM_FINANCIAL)</f>
        <v>-84812.560231952055</v>
      </c>
      <c r="L37" s="6"/>
      <c r="V37" s="9"/>
    </row>
    <row r="38" spans="1:22">
      <c r="A38" s="1" t="s">
        <v>59</v>
      </c>
      <c r="B38" s="6">
        <v>0</v>
      </c>
      <c r="C38" s="1">
        <v>0</v>
      </c>
      <c r="D38" s="1">
        <v>0</v>
      </c>
      <c r="E38" s="1">
        <v>0</v>
      </c>
      <c r="F38" s="1">
        <v>0</v>
      </c>
      <c r="G38" s="9">
        <f>SUM(NY_FINANCIAL)</f>
        <v>0</v>
      </c>
      <c r="L38" s="6"/>
      <c r="V38" s="9"/>
    </row>
    <row r="39" spans="1:22">
      <c r="A39" s="1" t="s">
        <v>60</v>
      </c>
      <c r="B39" s="6">
        <v>0</v>
      </c>
      <c r="C39" s="1">
        <v>0</v>
      </c>
      <c r="D39" s="1">
        <v>0</v>
      </c>
      <c r="E39" s="1">
        <v>0</v>
      </c>
      <c r="F39" s="1">
        <v>0</v>
      </c>
      <c r="G39" s="9">
        <f>SUM(NC_FINANCIAL)</f>
        <v>0</v>
      </c>
      <c r="L39" s="6"/>
      <c r="V39" s="9"/>
    </row>
    <row r="40" spans="1:22">
      <c r="A40" s="1" t="s">
        <v>61</v>
      </c>
      <c r="B40" s="6">
        <v>0</v>
      </c>
      <c r="C40" s="1">
        <v>0</v>
      </c>
      <c r="D40" s="1">
        <v>0</v>
      </c>
      <c r="E40" s="1">
        <v>0</v>
      </c>
      <c r="F40" s="1">
        <v>0</v>
      </c>
      <c r="G40" s="9">
        <f>SUM(ND_FINANCIAL)</f>
        <v>0</v>
      </c>
      <c r="L40" s="6"/>
      <c r="V40" s="9"/>
    </row>
    <row r="41" spans="1:22">
      <c r="A41" s="1" t="s">
        <v>62</v>
      </c>
      <c r="B41" s="6">
        <v>0</v>
      </c>
      <c r="C41" s="1">
        <v>0</v>
      </c>
      <c r="D41" s="1">
        <v>17347.272248692942</v>
      </c>
      <c r="E41" s="1">
        <v>0</v>
      </c>
      <c r="F41" s="1">
        <v>0</v>
      </c>
      <c r="G41" s="9">
        <f>SUM(OH_FINANCIAL)</f>
        <v>17347.272248692942</v>
      </c>
      <c r="L41" s="6"/>
      <c r="V41" s="9"/>
    </row>
    <row r="42" spans="1:22">
      <c r="A42" s="1" t="s">
        <v>63</v>
      </c>
      <c r="B42" s="6">
        <v>0</v>
      </c>
      <c r="C42" s="1">
        <v>0</v>
      </c>
      <c r="D42" s="1">
        <v>156806.49962882433</v>
      </c>
      <c r="E42" s="1">
        <v>0</v>
      </c>
      <c r="F42" s="1">
        <v>0</v>
      </c>
      <c r="G42" s="9">
        <f>SUM(OK_FINANCIAL)</f>
        <v>156806.49962882433</v>
      </c>
      <c r="L42" s="6">
        <v>0</v>
      </c>
      <c r="M42" s="1">
        <v>0</v>
      </c>
      <c r="O42" s="1">
        <v>0</v>
      </c>
      <c r="P42" s="1">
        <v>0</v>
      </c>
      <c r="R42" s="1">
        <v>200000</v>
      </c>
      <c r="S42" s="1">
        <v>0</v>
      </c>
      <c r="U42" s="1">
        <v>0</v>
      </c>
      <c r="V42" s="9">
        <v>0</v>
      </c>
    </row>
    <row r="43" spans="1:22">
      <c r="A43" s="1" t="s">
        <v>64</v>
      </c>
      <c r="B43" s="6">
        <v>0</v>
      </c>
      <c r="C43" s="1">
        <v>0</v>
      </c>
      <c r="D43" s="1">
        <v>35308.614284625066</v>
      </c>
      <c r="E43" s="1">
        <v>0</v>
      </c>
      <c r="F43" s="1">
        <v>0</v>
      </c>
      <c r="G43" s="9">
        <f>SUM(OR_FINANCIAL)</f>
        <v>35308.614284625066</v>
      </c>
      <c r="L43" s="6"/>
      <c r="V43" s="9"/>
    </row>
    <row r="44" spans="1:22">
      <c r="A44" s="1" t="s">
        <v>65</v>
      </c>
      <c r="B44" s="6">
        <v>0</v>
      </c>
      <c r="C44" s="1">
        <v>0</v>
      </c>
      <c r="D44" s="1">
        <v>64.814745574174168</v>
      </c>
      <c r="E44" s="1">
        <v>0</v>
      </c>
      <c r="F44" s="1">
        <v>0</v>
      </c>
      <c r="G44" s="9">
        <f>SUM(PA_FINANCIAL)</f>
        <v>64.814745574174168</v>
      </c>
      <c r="L44" s="6"/>
      <c r="V44" s="9"/>
    </row>
    <row r="45" spans="1:22">
      <c r="A45" s="1" t="s">
        <v>66</v>
      </c>
      <c r="B45" s="6">
        <v>0</v>
      </c>
      <c r="C45" s="1">
        <v>0</v>
      </c>
      <c r="D45" s="1">
        <v>0</v>
      </c>
      <c r="E45" s="1">
        <v>0</v>
      </c>
      <c r="F45" s="1">
        <v>0</v>
      </c>
      <c r="G45" s="9">
        <f>SUM(PR_FINANCIAL)</f>
        <v>0</v>
      </c>
      <c r="L45" s="6"/>
      <c r="V45" s="9"/>
    </row>
    <row r="46" spans="1:22">
      <c r="A46" s="1" t="s">
        <v>67</v>
      </c>
      <c r="B46" s="6">
        <v>0</v>
      </c>
      <c r="C46" s="1">
        <v>0</v>
      </c>
      <c r="D46" s="1">
        <v>0</v>
      </c>
      <c r="E46" s="1">
        <v>0</v>
      </c>
      <c r="F46" s="1">
        <v>0</v>
      </c>
      <c r="G46" s="9">
        <f>SUM(RI_FINANCIAL)</f>
        <v>0</v>
      </c>
      <c r="L46" s="6"/>
      <c r="V46" s="9"/>
    </row>
    <row r="47" spans="1:22">
      <c r="A47" s="1" t="s">
        <v>68</v>
      </c>
      <c r="B47" s="6">
        <v>0</v>
      </c>
      <c r="C47" s="1">
        <v>0</v>
      </c>
      <c r="D47" s="1">
        <v>1128441.3448066616</v>
      </c>
      <c r="E47" s="1">
        <v>0</v>
      </c>
      <c r="F47" s="1">
        <v>0</v>
      </c>
      <c r="G47" s="9">
        <f>SUM(SC_FINANCIAL)</f>
        <v>1128441.3448066616</v>
      </c>
      <c r="L47" s="6">
        <v>0</v>
      </c>
      <c r="M47" s="1">
        <v>0</v>
      </c>
      <c r="O47" s="1">
        <v>0</v>
      </c>
      <c r="P47" s="1">
        <v>0</v>
      </c>
      <c r="R47" s="1">
        <v>1200000</v>
      </c>
      <c r="S47" s="1">
        <v>0</v>
      </c>
      <c r="U47" s="1">
        <v>0</v>
      </c>
      <c r="V47" s="9">
        <v>0</v>
      </c>
    </row>
    <row r="48" spans="1:22">
      <c r="A48" s="1" t="s">
        <v>69</v>
      </c>
      <c r="B48" s="6">
        <v>0</v>
      </c>
      <c r="C48" s="1">
        <v>0</v>
      </c>
      <c r="D48" s="1">
        <v>-5398.1026653696717</v>
      </c>
      <c r="E48" s="1">
        <v>0</v>
      </c>
      <c r="F48" s="1">
        <v>0</v>
      </c>
      <c r="G48" s="9">
        <f>SUM(SD_FINANCIAL)</f>
        <v>-5398.1026653696717</v>
      </c>
      <c r="L48" s="6"/>
      <c r="V48" s="9"/>
    </row>
    <row r="49" spans="1:22">
      <c r="A49" s="1" t="s">
        <v>70</v>
      </c>
      <c r="B49" s="6">
        <v>0</v>
      </c>
      <c r="C49" s="1">
        <v>0</v>
      </c>
      <c r="D49" s="1">
        <v>187562.89767954146</v>
      </c>
      <c r="E49" s="1">
        <v>0</v>
      </c>
      <c r="F49" s="1">
        <v>0</v>
      </c>
      <c r="G49" s="9">
        <f>SUM(TN_FINANCIAL)</f>
        <v>187562.89767954146</v>
      </c>
      <c r="L49" s="6">
        <v>0</v>
      </c>
      <c r="M49" s="1">
        <v>0</v>
      </c>
      <c r="O49" s="1">
        <v>0</v>
      </c>
      <c r="P49" s="1">
        <v>0</v>
      </c>
      <c r="R49" s="1">
        <v>250000</v>
      </c>
      <c r="S49" s="1">
        <v>0</v>
      </c>
      <c r="U49" s="1">
        <v>0</v>
      </c>
      <c r="V49" s="9">
        <v>0</v>
      </c>
    </row>
    <row r="50" spans="1:22">
      <c r="A50" s="1" t="s">
        <v>71</v>
      </c>
      <c r="B50" s="6">
        <v>2000</v>
      </c>
      <c r="C50" s="1">
        <v>0</v>
      </c>
      <c r="D50" s="1">
        <v>732248.65127678751</v>
      </c>
      <c r="E50" s="1">
        <v>0</v>
      </c>
      <c r="F50" s="1">
        <v>0</v>
      </c>
      <c r="G50" s="9">
        <f>SUM(TX_FINANCIAL)</f>
        <v>734248.65127678751</v>
      </c>
      <c r="L50" s="6"/>
      <c r="V50" s="9"/>
    </row>
    <row r="51" spans="1:22">
      <c r="A51" s="1" t="s">
        <v>72</v>
      </c>
      <c r="B51" s="6">
        <v>0</v>
      </c>
      <c r="C51" s="1">
        <v>0</v>
      </c>
      <c r="D51" s="1">
        <v>50.18936275385385</v>
      </c>
      <c r="E51" s="1">
        <v>0</v>
      </c>
      <c r="F51" s="1">
        <v>0</v>
      </c>
      <c r="G51" s="9">
        <f>SUM(UT_FINANCIAL)</f>
        <v>50.18936275385385</v>
      </c>
      <c r="L51" s="6"/>
      <c r="V51" s="9"/>
    </row>
    <row r="52" spans="1:22">
      <c r="A52" s="1" t="s">
        <v>73</v>
      </c>
      <c r="B52" s="6">
        <v>0</v>
      </c>
      <c r="C52" s="1">
        <v>0</v>
      </c>
      <c r="D52" s="1">
        <v>0</v>
      </c>
      <c r="E52" s="1">
        <v>0</v>
      </c>
      <c r="F52" s="1">
        <v>0</v>
      </c>
      <c r="G52" s="9">
        <f>SUM(VT_FINANCIAL)</f>
        <v>0</v>
      </c>
      <c r="L52" s="6"/>
      <c r="V52" s="9"/>
    </row>
    <row r="53" spans="1:22">
      <c r="A53" s="1" t="s">
        <v>74</v>
      </c>
      <c r="B53" s="6">
        <v>0</v>
      </c>
      <c r="C53" s="1">
        <v>0</v>
      </c>
      <c r="D53" s="1">
        <v>0</v>
      </c>
      <c r="E53" s="1">
        <v>0</v>
      </c>
      <c r="F53" s="1">
        <v>0</v>
      </c>
      <c r="G53" s="9">
        <f>SUM(VA_FINANCIAL)</f>
        <v>0</v>
      </c>
      <c r="L53" s="6"/>
      <c r="V53" s="9"/>
    </row>
    <row r="54" spans="1:22">
      <c r="A54" s="1" t="s">
        <v>75</v>
      </c>
      <c r="B54" s="6">
        <v>0</v>
      </c>
      <c r="C54" s="1">
        <v>0</v>
      </c>
      <c r="D54" s="1">
        <v>0</v>
      </c>
      <c r="E54" s="1">
        <v>0</v>
      </c>
      <c r="F54" s="1">
        <v>0</v>
      </c>
      <c r="G54" s="9">
        <f>SUM(WA_FINANCIAL)</f>
        <v>0</v>
      </c>
      <c r="L54" s="6"/>
      <c r="V54" s="9"/>
    </row>
    <row r="55" spans="1:22">
      <c r="A55" s="1" t="s">
        <v>76</v>
      </c>
      <c r="B55" s="6">
        <v>0</v>
      </c>
      <c r="C55" s="1">
        <v>0</v>
      </c>
      <c r="D55" s="1">
        <v>0</v>
      </c>
      <c r="E55" s="1">
        <v>0</v>
      </c>
      <c r="F55" s="1">
        <v>0</v>
      </c>
      <c r="G55" s="9">
        <f>SUM(WV_FINANCIAL)</f>
        <v>0</v>
      </c>
      <c r="L55" s="6"/>
      <c r="V55" s="9"/>
    </row>
    <row r="56" spans="1:22">
      <c r="A56" s="1" t="s">
        <v>77</v>
      </c>
      <c r="B56" s="6">
        <v>0</v>
      </c>
      <c r="C56" s="1">
        <v>0</v>
      </c>
      <c r="D56" s="1">
        <v>0</v>
      </c>
      <c r="E56" s="1">
        <v>0</v>
      </c>
      <c r="F56" s="1">
        <v>0</v>
      </c>
      <c r="G56" s="9">
        <f>SUM(WI_FINANCIAL)</f>
        <v>0</v>
      </c>
      <c r="L56" s="6"/>
      <c r="V56" s="9"/>
    </row>
    <row r="57" spans="1:22">
      <c r="A57" s="1" t="s">
        <v>78</v>
      </c>
      <c r="B57" s="6">
        <v>0</v>
      </c>
      <c r="C57" s="1">
        <v>0</v>
      </c>
      <c r="D57" s="1">
        <v>0</v>
      </c>
      <c r="E57" s="1">
        <v>0</v>
      </c>
      <c r="F57" s="1">
        <v>0</v>
      </c>
      <c r="G57" s="9">
        <f>SUM(WY_FINANCIAL)</f>
        <v>0</v>
      </c>
      <c r="L57" s="6"/>
      <c r="V57" s="9"/>
    </row>
    <row r="58" spans="1:22">
      <c r="A58" s="1" t="s">
        <v>79</v>
      </c>
      <c r="B58" s="6">
        <v>0</v>
      </c>
      <c r="C58" s="1">
        <v>0</v>
      </c>
      <c r="D58" s="1">
        <v>0</v>
      </c>
      <c r="E58" s="1">
        <v>0</v>
      </c>
      <c r="F58" s="1">
        <v>0</v>
      </c>
      <c r="G58" s="9">
        <f>SUM(OT_FINANCIAL)</f>
        <v>0</v>
      </c>
      <c r="L58" s="6"/>
      <c r="V58" s="9"/>
    </row>
    <row r="59" spans="1:22">
      <c r="B59" s="6"/>
      <c r="G59" s="9"/>
      <c r="L59" s="6"/>
      <c r="V59" s="9"/>
    </row>
    <row r="60" spans="1:22">
      <c r="A60" s="1" t="s">
        <v>8</v>
      </c>
      <c r="B60" s="6">
        <f>SUM(LIFE)</f>
        <v>2000</v>
      </c>
      <c r="C60" s="1">
        <f>SUM(ALLOCATED)</f>
        <v>0</v>
      </c>
      <c r="D60" s="1">
        <f>SUM(HEALTH)</f>
        <v>4936099.3900000006</v>
      </c>
      <c r="E60" s="1">
        <f>SUM(UNALLOCATED)</f>
        <v>0</v>
      </c>
      <c r="F60" s="1">
        <f>SUM(LTC)</f>
        <v>0</v>
      </c>
      <c r="G60" s="9">
        <f>SUM(ALL_BLOCKS)</f>
        <v>4938099.3900000006</v>
      </c>
      <c r="L60" s="6">
        <f>SUM(LIFE_CALLED)</f>
        <v>226286</v>
      </c>
      <c r="M60" s="1">
        <f>SUM(LIFE_REFUNDED)</f>
        <v>0</v>
      </c>
      <c r="O60" s="1">
        <f>SUM(ALLOC_CALLED)</f>
        <v>0</v>
      </c>
      <c r="P60" s="1">
        <f>SUM(ALLOC_REFUNDED)</f>
        <v>0</v>
      </c>
      <c r="R60" s="1">
        <f>SUM(HEALTH_CALLED)</f>
        <v>3959304</v>
      </c>
      <c r="S60" s="1">
        <f>SUM(HEALTH_REFUNDED)</f>
        <v>0</v>
      </c>
      <c r="U60" s="1">
        <f>SUM(UNALLOC_CALLED)</f>
        <v>0</v>
      </c>
      <c r="V60" s="9">
        <f>SUM(UNALLOC_REFUNDED)</f>
        <v>0</v>
      </c>
    </row>
    <row r="61" spans="1:22" ht="5.0999999999999996" customHeight="1">
      <c r="B61" s="6"/>
      <c r="G61" s="9"/>
      <c r="L61" s="6"/>
      <c r="V61" s="9"/>
    </row>
    <row r="62" spans="1:22">
      <c r="B62" s="6"/>
      <c r="G62" s="9"/>
      <c r="L62" s="78" t="s">
        <v>80</v>
      </c>
      <c r="M62" s="79"/>
      <c r="N62" s="79"/>
      <c r="O62" s="79"/>
      <c r="P62" s="79"/>
      <c r="Q62" s="79"/>
      <c r="R62" s="79"/>
      <c r="S62" s="79"/>
      <c r="T62" s="79"/>
      <c r="U62" s="79"/>
      <c r="V62" s="80"/>
    </row>
    <row r="63" spans="1:22">
      <c r="B63" s="6"/>
      <c r="G63" s="9"/>
      <c r="L63" s="81"/>
      <c r="M63" s="79"/>
      <c r="N63" s="79"/>
      <c r="O63" s="79"/>
      <c r="P63" s="79"/>
      <c r="Q63" s="79"/>
      <c r="R63" s="79"/>
      <c r="S63" s="79"/>
      <c r="T63" s="79"/>
      <c r="U63" s="79"/>
      <c r="V63" s="80"/>
    </row>
    <row r="64" spans="1:22">
      <c r="B64" s="8"/>
      <c r="C64" s="5"/>
      <c r="D64" s="5"/>
      <c r="E64" s="5"/>
      <c r="F64" s="5"/>
      <c r="G64" s="11"/>
      <c r="L64" s="82"/>
      <c r="M64" s="83"/>
      <c r="N64" s="83"/>
      <c r="O64" s="83"/>
      <c r="P64" s="83"/>
      <c r="Q64" s="83"/>
      <c r="R64" s="83"/>
      <c r="S64" s="83"/>
      <c r="T64" s="83"/>
      <c r="U64" s="83"/>
      <c r="V64" s="84"/>
    </row>
  </sheetData>
  <mergeCells count="8">
    <mergeCell ref="L62:V64"/>
    <mergeCell ref="A1:G1"/>
    <mergeCell ref="B3:G3"/>
    <mergeCell ref="L3:V3"/>
    <mergeCell ref="L4:M4"/>
    <mergeCell ref="O4:P4"/>
    <mergeCell ref="R4:S4"/>
    <mergeCell ref="U4:V4"/>
  </mergeCells>
  <pageMargins left="0" right="0" top="0" bottom="0" header="0" footer="0"/>
  <pageSetup scale="4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V64"/>
  <sheetViews>
    <sheetView zoomScale="75" workbookViewId="0">
      <selection sqref="A1:G1"/>
    </sheetView>
  </sheetViews>
  <sheetFormatPr defaultColWidth="9.109375" defaultRowHeight="14.4"/>
  <cols>
    <col min="1" max="1" width="20" style="1" customWidth="1"/>
    <col min="2" max="7" width="15" style="1" customWidth="1"/>
    <col min="8" max="8" width="1" style="1" customWidth="1"/>
    <col min="9" max="9" width="30" style="1" customWidth="1"/>
    <col min="10" max="10" width="15" style="1" customWidth="1"/>
    <col min="11" max="11" width="1" style="1" customWidth="1"/>
    <col min="12" max="13" width="15" style="1" customWidth="1"/>
    <col min="14" max="14" width="1" style="1" customWidth="1"/>
    <col min="15" max="16" width="15" style="1" customWidth="1"/>
    <col min="17" max="17" width="1" style="1" customWidth="1"/>
    <col min="18" max="19" width="15" style="1" customWidth="1"/>
    <col min="20" max="20" width="1" style="1" customWidth="1"/>
    <col min="21" max="22" width="15" style="1" customWidth="1"/>
    <col min="23" max="23" width="9.109375" style="1" customWidth="1"/>
    <col min="24" max="16384" width="9.109375" style="1"/>
  </cols>
  <sheetData>
    <row r="1" spans="1:22">
      <c r="A1" s="85" t="s">
        <v>88</v>
      </c>
      <c r="B1" s="79"/>
      <c r="C1" s="79"/>
      <c r="D1" s="79"/>
      <c r="E1" s="79"/>
      <c r="F1" s="79"/>
      <c r="G1" s="79"/>
    </row>
    <row r="3" spans="1:22">
      <c r="B3" s="86" t="s">
        <v>1</v>
      </c>
      <c r="C3" s="87"/>
      <c r="D3" s="87"/>
      <c r="E3" s="87"/>
      <c r="F3" s="87"/>
      <c r="G3" s="88"/>
      <c r="L3" s="89" t="s">
        <v>2</v>
      </c>
      <c r="M3" s="90"/>
      <c r="N3" s="90"/>
      <c r="O3" s="90"/>
      <c r="P3" s="90"/>
      <c r="Q3" s="90"/>
      <c r="R3" s="90"/>
      <c r="S3" s="90"/>
      <c r="T3" s="90"/>
      <c r="U3" s="90"/>
      <c r="V3" s="91"/>
    </row>
    <row r="4" spans="1:22">
      <c r="B4" s="6"/>
      <c r="G4" s="9"/>
      <c r="L4" s="92" t="s">
        <v>3</v>
      </c>
      <c r="M4" s="93"/>
      <c r="N4" s="3"/>
      <c r="O4" s="94" t="s">
        <v>4</v>
      </c>
      <c r="P4" s="93"/>
      <c r="Q4" s="3"/>
      <c r="R4" s="94" t="s">
        <v>5</v>
      </c>
      <c r="S4" s="93"/>
      <c r="T4" s="3"/>
      <c r="U4" s="94" t="s">
        <v>6</v>
      </c>
      <c r="V4" s="95"/>
    </row>
    <row r="5" spans="1:22" ht="60" customHeight="1">
      <c r="B5" s="7" t="s">
        <v>3</v>
      </c>
      <c r="C5" s="4" t="s">
        <v>4</v>
      </c>
      <c r="D5" s="4" t="s">
        <v>5</v>
      </c>
      <c r="E5" s="4" t="s">
        <v>6</v>
      </c>
      <c r="F5" s="4" t="s">
        <v>7</v>
      </c>
      <c r="G5" s="10" t="s">
        <v>8</v>
      </c>
      <c r="L5" s="19" t="s">
        <v>9</v>
      </c>
      <c r="M5" s="18" t="s">
        <v>10</v>
      </c>
      <c r="N5" s="18"/>
      <c r="O5" s="18" t="s">
        <v>9</v>
      </c>
      <c r="P5" s="18" t="s">
        <v>10</v>
      </c>
      <c r="Q5" s="18"/>
      <c r="R5" s="18" t="s">
        <v>9</v>
      </c>
      <c r="S5" s="18" t="s">
        <v>10</v>
      </c>
      <c r="T5" s="18"/>
      <c r="U5" s="18" t="s">
        <v>9</v>
      </c>
      <c r="V5" s="20" t="s">
        <v>10</v>
      </c>
    </row>
    <row r="6" spans="1:22">
      <c r="A6" s="1" t="s">
        <v>11</v>
      </c>
      <c r="B6" s="6">
        <v>0</v>
      </c>
      <c r="C6" s="1">
        <v>0</v>
      </c>
      <c r="D6" s="1">
        <v>72341.359416456486</v>
      </c>
      <c r="E6" s="1">
        <v>0</v>
      </c>
      <c r="F6" s="1">
        <v>0</v>
      </c>
      <c r="G6" s="9">
        <f>SUM(AL_FINANCIAL)</f>
        <v>72341.359416456486</v>
      </c>
      <c r="L6" s="6"/>
      <c r="V6" s="9"/>
    </row>
    <row r="7" spans="1:22">
      <c r="A7" s="1" t="s">
        <v>12</v>
      </c>
      <c r="B7" s="6">
        <v>0</v>
      </c>
      <c r="C7" s="1">
        <v>0</v>
      </c>
      <c r="D7" s="1">
        <v>0</v>
      </c>
      <c r="E7" s="1">
        <v>0</v>
      </c>
      <c r="F7" s="1">
        <v>0</v>
      </c>
      <c r="G7" s="9">
        <f>SUM(AK_FINANCIAL)</f>
        <v>0</v>
      </c>
      <c r="I7" s="12"/>
      <c r="J7" s="15"/>
      <c r="L7" s="6"/>
      <c r="V7" s="9"/>
    </row>
    <row r="8" spans="1:22">
      <c r="A8" s="1" t="s">
        <v>13</v>
      </c>
      <c r="B8" s="6">
        <v>0</v>
      </c>
      <c r="C8" s="1">
        <v>0</v>
      </c>
      <c r="D8" s="1">
        <v>2046348.3938349783</v>
      </c>
      <c r="E8" s="1">
        <v>0</v>
      </c>
      <c r="F8" s="1">
        <v>0</v>
      </c>
      <c r="G8" s="9">
        <f>SUM(AZ_FINANCIAL)</f>
        <v>2046348.3938349783</v>
      </c>
      <c r="I8" s="13" t="s">
        <v>14</v>
      </c>
      <c r="J8" s="16"/>
      <c r="L8" s="6"/>
      <c r="V8" s="9"/>
    </row>
    <row r="9" spans="1:22">
      <c r="A9" s="1" t="s">
        <v>15</v>
      </c>
      <c r="B9" s="6">
        <v>0</v>
      </c>
      <c r="C9" s="1">
        <v>0</v>
      </c>
      <c r="D9" s="1">
        <v>-1660.6180609522235</v>
      </c>
      <c r="E9" s="1">
        <v>0</v>
      </c>
      <c r="F9" s="1">
        <v>0</v>
      </c>
      <c r="G9" s="9">
        <f>SUM(AR_FINANCIAL)</f>
        <v>-1660.6180609522235</v>
      </c>
      <c r="I9" s="13"/>
      <c r="J9" s="16"/>
      <c r="L9" s="6"/>
      <c r="V9" s="9"/>
    </row>
    <row r="10" spans="1:22">
      <c r="A10" s="1" t="s">
        <v>16</v>
      </c>
      <c r="B10" s="6">
        <v>0</v>
      </c>
      <c r="C10" s="1">
        <v>0</v>
      </c>
      <c r="D10" s="1">
        <v>2525588.0276675271</v>
      </c>
      <c r="E10" s="1">
        <v>0</v>
      </c>
      <c r="F10" s="1">
        <v>0</v>
      </c>
      <c r="G10" s="9">
        <f>SUM(CA_FINANCIAL)</f>
        <v>2525588.0276675271</v>
      </c>
      <c r="I10" s="13" t="s">
        <v>17</v>
      </c>
      <c r="J10" s="16">
        <v>385667154.38576686</v>
      </c>
      <c r="L10" s="6"/>
      <c r="V10" s="9"/>
    </row>
    <row r="11" spans="1:22">
      <c r="A11" s="1" t="s">
        <v>18</v>
      </c>
      <c r="B11" s="6">
        <v>0</v>
      </c>
      <c r="C11" s="1">
        <v>0</v>
      </c>
      <c r="D11" s="1">
        <v>21739798.593255989</v>
      </c>
      <c r="E11" s="1">
        <v>0</v>
      </c>
      <c r="F11" s="1">
        <v>0</v>
      </c>
      <c r="G11" s="9">
        <f>SUM(CO_FINANCIAL)</f>
        <v>21739798.593255989</v>
      </c>
      <c r="I11" s="13"/>
      <c r="J11" s="16"/>
      <c r="L11" s="6">
        <v>0</v>
      </c>
      <c r="M11" s="1">
        <v>0</v>
      </c>
      <c r="O11" s="1">
        <v>0</v>
      </c>
      <c r="P11" s="1">
        <v>0</v>
      </c>
      <c r="R11" s="1">
        <v>16000000</v>
      </c>
      <c r="S11" s="1">
        <v>0</v>
      </c>
      <c r="U11" s="1">
        <v>0</v>
      </c>
      <c r="V11" s="9">
        <v>0</v>
      </c>
    </row>
    <row r="12" spans="1:22">
      <c r="A12" s="1" t="s">
        <v>19</v>
      </c>
      <c r="B12" s="6">
        <v>0</v>
      </c>
      <c r="C12" s="1">
        <v>0</v>
      </c>
      <c r="D12" s="1">
        <v>26705733.963857878</v>
      </c>
      <c r="E12" s="1">
        <v>0</v>
      </c>
      <c r="F12" s="1">
        <v>0</v>
      </c>
      <c r="G12" s="9">
        <f>SUM(CT_FINANCIAL)</f>
        <v>26705733.963857878</v>
      </c>
      <c r="I12" s="13" t="s">
        <v>20</v>
      </c>
      <c r="J12" s="16"/>
      <c r="L12" s="6">
        <v>0</v>
      </c>
      <c r="M12" s="1">
        <v>0</v>
      </c>
      <c r="O12" s="1">
        <v>0</v>
      </c>
      <c r="P12" s="1">
        <v>0</v>
      </c>
      <c r="R12" s="1">
        <v>1173019</v>
      </c>
      <c r="S12" s="1">
        <v>0</v>
      </c>
      <c r="U12" s="1">
        <v>0</v>
      </c>
      <c r="V12" s="9">
        <v>0</v>
      </c>
    </row>
    <row r="13" spans="1:22">
      <c r="A13" s="1" t="s">
        <v>21</v>
      </c>
      <c r="B13" s="6">
        <v>0</v>
      </c>
      <c r="C13" s="1">
        <v>0</v>
      </c>
      <c r="D13" s="1">
        <v>591898.90299693937</v>
      </c>
      <c r="E13" s="1">
        <v>0</v>
      </c>
      <c r="F13" s="1">
        <v>0</v>
      </c>
      <c r="G13" s="9">
        <f>SUM(DE_FINANCIAL)</f>
        <v>591898.90299693937</v>
      </c>
      <c r="I13" s="13" t="s">
        <v>22</v>
      </c>
      <c r="J13" s="16">
        <v>0</v>
      </c>
      <c r="L13" s="6">
        <v>0</v>
      </c>
      <c r="M13" s="1">
        <v>0</v>
      </c>
      <c r="O13" s="1">
        <v>0</v>
      </c>
      <c r="P13" s="1">
        <v>0</v>
      </c>
      <c r="R13" s="1">
        <v>596000</v>
      </c>
      <c r="S13" s="1">
        <v>0</v>
      </c>
      <c r="U13" s="1">
        <v>0</v>
      </c>
      <c r="V13" s="9">
        <v>0</v>
      </c>
    </row>
    <row r="14" spans="1:22">
      <c r="A14" s="1" t="s">
        <v>23</v>
      </c>
      <c r="B14" s="6">
        <v>0</v>
      </c>
      <c r="C14" s="1">
        <v>0</v>
      </c>
      <c r="D14" s="1">
        <v>184414.06333496107</v>
      </c>
      <c r="E14" s="1">
        <v>0</v>
      </c>
      <c r="F14" s="1">
        <v>0</v>
      </c>
      <c r="G14" s="9">
        <f>SUM(DC_FINANCIAL)</f>
        <v>184414.06333496107</v>
      </c>
      <c r="I14" s="13" t="s">
        <v>24</v>
      </c>
      <c r="J14" s="16">
        <v>3102445.1342655225</v>
      </c>
      <c r="L14" s="6">
        <v>0</v>
      </c>
      <c r="M14" s="1">
        <v>0</v>
      </c>
      <c r="O14" s="1">
        <v>0</v>
      </c>
      <c r="P14" s="1">
        <v>0</v>
      </c>
      <c r="R14" s="1">
        <v>142500</v>
      </c>
      <c r="S14" s="1">
        <v>0</v>
      </c>
      <c r="U14" s="1">
        <v>0</v>
      </c>
      <c r="V14" s="9">
        <v>0</v>
      </c>
    </row>
    <row r="15" spans="1:22">
      <c r="A15" s="1" t="s">
        <v>25</v>
      </c>
      <c r="B15" s="6">
        <v>0</v>
      </c>
      <c r="C15" s="1">
        <v>0</v>
      </c>
      <c r="D15" s="1">
        <v>16326160.725102082</v>
      </c>
      <c r="E15" s="1">
        <v>0</v>
      </c>
      <c r="F15" s="1">
        <v>0</v>
      </c>
      <c r="G15" s="9">
        <f>SUM(FL_FINANCIAL)</f>
        <v>16326160.725102082</v>
      </c>
      <c r="I15" s="13" t="s">
        <v>26</v>
      </c>
      <c r="J15" s="16">
        <v>5753188.0941460803</v>
      </c>
      <c r="L15" s="6">
        <v>0</v>
      </c>
      <c r="M15" s="1">
        <v>0</v>
      </c>
      <c r="O15" s="1">
        <v>0</v>
      </c>
      <c r="P15" s="1">
        <v>0</v>
      </c>
      <c r="R15" s="1">
        <v>14795535</v>
      </c>
      <c r="S15" s="1">
        <v>0</v>
      </c>
      <c r="U15" s="1">
        <v>0</v>
      </c>
      <c r="V15" s="9">
        <v>0</v>
      </c>
    </row>
    <row r="16" spans="1:22">
      <c r="A16" s="1" t="s">
        <v>27</v>
      </c>
      <c r="B16" s="6">
        <v>0</v>
      </c>
      <c r="C16" s="1">
        <v>0</v>
      </c>
      <c r="D16" s="1">
        <v>1586367.3605336365</v>
      </c>
      <c r="E16" s="1">
        <v>0</v>
      </c>
      <c r="F16" s="1">
        <v>0</v>
      </c>
      <c r="G16" s="9">
        <f>SUM(GA_FINANCIAL)</f>
        <v>1586367.3605336365</v>
      </c>
      <c r="I16" s="13" t="s">
        <v>28</v>
      </c>
      <c r="J16" s="16">
        <v>332612228.06057483</v>
      </c>
      <c r="L16" s="6">
        <v>0</v>
      </c>
      <c r="M16" s="1">
        <v>0</v>
      </c>
      <c r="O16" s="1">
        <v>0</v>
      </c>
      <c r="P16" s="1">
        <v>0</v>
      </c>
      <c r="R16" s="1">
        <v>1700000</v>
      </c>
      <c r="S16" s="1">
        <v>0</v>
      </c>
      <c r="U16" s="1">
        <v>0</v>
      </c>
      <c r="V16" s="9">
        <v>0</v>
      </c>
    </row>
    <row r="17" spans="1:22">
      <c r="A17" s="1" t="s">
        <v>29</v>
      </c>
      <c r="B17" s="6">
        <v>0</v>
      </c>
      <c r="C17" s="1">
        <v>0</v>
      </c>
      <c r="D17" s="1">
        <v>17876.897142686794</v>
      </c>
      <c r="E17" s="1">
        <v>0</v>
      </c>
      <c r="F17" s="1">
        <v>0</v>
      </c>
      <c r="G17" s="9">
        <f>SUM(HI_FINANCIAL)</f>
        <v>17876.897142686794</v>
      </c>
      <c r="I17" s="13"/>
      <c r="J17" s="16"/>
      <c r="L17" s="6"/>
      <c r="V17" s="9"/>
    </row>
    <row r="18" spans="1:22">
      <c r="A18" s="1" t="s">
        <v>30</v>
      </c>
      <c r="B18" s="6">
        <v>0</v>
      </c>
      <c r="C18" s="1">
        <v>0</v>
      </c>
      <c r="D18" s="1">
        <v>131125.90647745455</v>
      </c>
      <c r="E18" s="1">
        <v>0</v>
      </c>
      <c r="F18" s="1">
        <v>0</v>
      </c>
      <c r="G18" s="9">
        <f>SUM(ID_FINANCIAL)</f>
        <v>131125.90647745455</v>
      </c>
      <c r="I18" s="13" t="s">
        <v>31</v>
      </c>
      <c r="J18" s="16"/>
      <c r="L18" s="6"/>
      <c r="V18" s="9"/>
    </row>
    <row r="19" spans="1:22">
      <c r="A19" s="1" t="s">
        <v>32</v>
      </c>
      <c r="B19" s="6">
        <v>0</v>
      </c>
      <c r="C19" s="1">
        <v>0</v>
      </c>
      <c r="D19" s="1">
        <v>329963.57936630421</v>
      </c>
      <c r="E19" s="1">
        <v>0</v>
      </c>
      <c r="F19" s="1">
        <v>0</v>
      </c>
      <c r="G19" s="9">
        <f>SUM(IL_FINANCIAL)</f>
        <v>329963.57936630421</v>
      </c>
      <c r="I19" s="13" t="s">
        <v>33</v>
      </c>
      <c r="J19" s="16">
        <v>53058590.087657958</v>
      </c>
      <c r="L19" s="6"/>
      <c r="V19" s="9"/>
    </row>
    <row r="20" spans="1:22">
      <c r="A20" s="1" t="s">
        <v>34</v>
      </c>
      <c r="B20" s="6">
        <v>0</v>
      </c>
      <c r="C20" s="1">
        <v>0</v>
      </c>
      <c r="D20" s="1">
        <v>177118.86482240717</v>
      </c>
      <c r="E20" s="1">
        <v>0</v>
      </c>
      <c r="F20" s="1">
        <v>0</v>
      </c>
      <c r="G20" s="9">
        <f>SUM(IN_FINANCIAL)</f>
        <v>177118.86482240717</v>
      </c>
      <c r="I20" s="13" t="s">
        <v>35</v>
      </c>
      <c r="J20" s="16">
        <v>332608564.29810888</v>
      </c>
      <c r="L20" s="6"/>
      <c r="V20" s="9"/>
    </row>
    <row r="21" spans="1:22">
      <c r="A21" s="1" t="s">
        <v>36</v>
      </c>
      <c r="B21" s="6">
        <v>0</v>
      </c>
      <c r="C21" s="1">
        <v>0</v>
      </c>
      <c r="D21" s="1">
        <v>0</v>
      </c>
      <c r="E21" s="1">
        <v>0</v>
      </c>
      <c r="F21" s="1">
        <v>0</v>
      </c>
      <c r="G21" s="9">
        <f>SUM(IA_FINANCIAL)</f>
        <v>0</v>
      </c>
      <c r="I21" s="13" t="s">
        <v>37</v>
      </c>
      <c r="J21" s="16"/>
      <c r="L21" s="6"/>
      <c r="V21" s="9"/>
    </row>
    <row r="22" spans="1:22">
      <c r="A22" s="1" t="s">
        <v>38</v>
      </c>
      <c r="B22" s="6">
        <v>0</v>
      </c>
      <c r="C22" s="1">
        <v>0</v>
      </c>
      <c r="D22" s="1">
        <v>13083319.427468432</v>
      </c>
      <c r="E22" s="1">
        <v>0</v>
      </c>
      <c r="F22" s="1">
        <v>0</v>
      </c>
      <c r="G22" s="9">
        <f>SUM(KS_FINANCIAL)</f>
        <v>13083319.427468432</v>
      </c>
      <c r="I22" s="13" t="s">
        <v>39</v>
      </c>
      <c r="J22" s="16">
        <v>0</v>
      </c>
      <c r="L22" s="6">
        <v>0</v>
      </c>
      <c r="M22" s="1">
        <v>0</v>
      </c>
      <c r="O22" s="1">
        <v>0</v>
      </c>
      <c r="P22" s="1">
        <v>0</v>
      </c>
      <c r="R22" s="1">
        <v>9800000</v>
      </c>
      <c r="S22" s="1">
        <v>0</v>
      </c>
      <c r="U22" s="1">
        <v>0</v>
      </c>
      <c r="V22" s="9">
        <v>0</v>
      </c>
    </row>
    <row r="23" spans="1:22">
      <c r="A23" s="1" t="s">
        <v>40</v>
      </c>
      <c r="B23" s="6">
        <v>0</v>
      </c>
      <c r="C23" s="1">
        <v>0</v>
      </c>
      <c r="D23" s="1">
        <v>60462.061699064463</v>
      </c>
      <c r="E23" s="1">
        <v>0</v>
      </c>
      <c r="F23" s="1">
        <v>0</v>
      </c>
      <c r="G23" s="9">
        <f>SUM(KY_FINANCIAL)</f>
        <v>60462.061699064463</v>
      </c>
      <c r="I23" s="13" t="s">
        <v>41</v>
      </c>
      <c r="J23" s="16"/>
      <c r="L23" s="6"/>
      <c r="V23" s="9"/>
    </row>
    <row r="24" spans="1:22">
      <c r="A24" s="1" t="s">
        <v>42</v>
      </c>
      <c r="B24" s="6">
        <v>0</v>
      </c>
      <c r="C24" s="1">
        <v>0</v>
      </c>
      <c r="D24" s="1">
        <v>169086.07524516908</v>
      </c>
      <c r="E24" s="1">
        <v>0</v>
      </c>
      <c r="F24" s="1">
        <v>0</v>
      </c>
      <c r="G24" s="9">
        <f>SUM(LA_FINANCIAL)</f>
        <v>169086.07524516908</v>
      </c>
      <c r="I24" s="13" t="s">
        <v>43</v>
      </c>
      <c r="J24" s="16">
        <v>14265184</v>
      </c>
      <c r="L24" s="6"/>
      <c r="V24" s="9"/>
    </row>
    <row r="25" spans="1:22">
      <c r="A25" s="1" t="s">
        <v>44</v>
      </c>
      <c r="B25" s="6">
        <v>0</v>
      </c>
      <c r="C25" s="1">
        <v>0</v>
      </c>
      <c r="D25" s="1">
        <v>806346.25432312838</v>
      </c>
      <c r="E25" s="1">
        <v>0</v>
      </c>
      <c r="F25" s="1">
        <v>0</v>
      </c>
      <c r="G25" s="9">
        <f>SUM(ME_FINANCIAL)</f>
        <v>806346.25432312838</v>
      </c>
      <c r="I25" s="13"/>
      <c r="J25" s="16"/>
      <c r="L25" s="6">
        <v>0</v>
      </c>
      <c r="M25" s="1">
        <v>0</v>
      </c>
      <c r="O25" s="1">
        <v>0</v>
      </c>
      <c r="P25" s="1">
        <v>0</v>
      </c>
      <c r="R25" s="1">
        <v>566000</v>
      </c>
      <c r="S25" s="1">
        <v>0</v>
      </c>
      <c r="U25" s="1">
        <v>0</v>
      </c>
      <c r="V25" s="9">
        <v>0</v>
      </c>
    </row>
    <row r="26" spans="1:22">
      <c r="A26" s="1" t="s">
        <v>45</v>
      </c>
      <c r="B26" s="6">
        <v>0</v>
      </c>
      <c r="C26" s="1">
        <v>0</v>
      </c>
      <c r="D26" s="1">
        <v>2451673.5024109711</v>
      </c>
      <c r="E26" s="1">
        <v>0</v>
      </c>
      <c r="F26" s="1">
        <v>0</v>
      </c>
      <c r="G26" s="9">
        <f>SUM(MD_FINANCIAL)</f>
        <v>2451673.5024109711</v>
      </c>
      <c r="I26" s="13" t="s">
        <v>46</v>
      </c>
      <c r="J26" s="16">
        <f>SUM(ADD_FINANCIAL)-SUM(LESS_FINANCIAL)</f>
        <v>327202677.28898644</v>
      </c>
      <c r="L26" s="6"/>
      <c r="V26" s="9"/>
    </row>
    <row r="27" spans="1:22">
      <c r="A27" s="1" t="s">
        <v>47</v>
      </c>
      <c r="B27" s="6">
        <v>0</v>
      </c>
      <c r="C27" s="1">
        <v>0</v>
      </c>
      <c r="D27" s="1">
        <v>2514103.9086584132</v>
      </c>
      <c r="E27" s="1">
        <v>0</v>
      </c>
      <c r="F27" s="1">
        <v>0</v>
      </c>
      <c r="G27" s="9">
        <f>SUM(MA_FINANCIAL)</f>
        <v>2514103.9086584132</v>
      </c>
      <c r="I27" s="13" t="s">
        <v>48</v>
      </c>
      <c r="J27" s="16">
        <f>SUM(ALL_BLOCKS)</f>
        <v>327202677.28898656</v>
      </c>
      <c r="L27" s="6">
        <v>0</v>
      </c>
      <c r="M27" s="1">
        <v>0</v>
      </c>
      <c r="O27" s="1">
        <v>0</v>
      </c>
      <c r="P27" s="1">
        <v>0</v>
      </c>
      <c r="R27" s="1">
        <v>1898000</v>
      </c>
      <c r="S27" s="1">
        <v>0</v>
      </c>
      <c r="U27" s="1">
        <v>0</v>
      </c>
      <c r="V27" s="9">
        <v>0</v>
      </c>
    </row>
    <row r="28" spans="1:22">
      <c r="A28" s="1" t="s">
        <v>49</v>
      </c>
      <c r="B28" s="6">
        <v>0</v>
      </c>
      <c r="C28" s="1">
        <v>0</v>
      </c>
      <c r="D28" s="1">
        <v>0</v>
      </c>
      <c r="E28" s="1">
        <v>0</v>
      </c>
      <c r="F28" s="1">
        <v>0</v>
      </c>
      <c r="G28" s="9">
        <f>SUM(MI_FINANCIAL)</f>
        <v>0</v>
      </c>
      <c r="I28" s="14"/>
      <c r="J28" s="17"/>
      <c r="L28" s="6"/>
      <c r="V28" s="9"/>
    </row>
    <row r="29" spans="1:22">
      <c r="A29" s="1" t="s">
        <v>50</v>
      </c>
      <c r="B29" s="6">
        <v>0</v>
      </c>
      <c r="C29" s="1">
        <v>0</v>
      </c>
      <c r="D29" s="1">
        <v>150958.21677845746</v>
      </c>
      <c r="E29" s="1">
        <v>0</v>
      </c>
      <c r="F29" s="1">
        <v>0</v>
      </c>
      <c r="G29" s="9">
        <f>SUM(MN_FINANCIAL)</f>
        <v>150958.21677845746</v>
      </c>
      <c r="L29" s="6">
        <v>0</v>
      </c>
      <c r="M29" s="1">
        <v>0</v>
      </c>
      <c r="O29" s="1">
        <v>0</v>
      </c>
      <c r="P29" s="1">
        <v>0</v>
      </c>
      <c r="R29" s="1">
        <v>150000</v>
      </c>
      <c r="S29" s="1">
        <v>0</v>
      </c>
      <c r="U29" s="1">
        <v>0</v>
      </c>
      <c r="V29" s="9">
        <v>0</v>
      </c>
    </row>
    <row r="30" spans="1:22">
      <c r="A30" s="1" t="s">
        <v>51</v>
      </c>
      <c r="B30" s="6">
        <v>0</v>
      </c>
      <c r="C30" s="1">
        <v>0</v>
      </c>
      <c r="D30" s="1">
        <v>11319.615419467313</v>
      </c>
      <c r="E30" s="1">
        <v>0</v>
      </c>
      <c r="F30" s="1">
        <v>0</v>
      </c>
      <c r="G30" s="9">
        <f>SUM(MS_FINANCIAL)</f>
        <v>11319.615419467313</v>
      </c>
      <c r="L30" s="6"/>
      <c r="V30" s="9"/>
    </row>
    <row r="31" spans="1:22">
      <c r="A31" s="1" t="s">
        <v>52</v>
      </c>
      <c r="B31" s="6">
        <v>0</v>
      </c>
      <c r="C31" s="1">
        <v>0</v>
      </c>
      <c r="D31" s="1">
        <v>384720.63380730618</v>
      </c>
      <c r="E31" s="1">
        <v>0</v>
      </c>
      <c r="F31" s="1">
        <v>0</v>
      </c>
      <c r="G31" s="9">
        <f>SUM(MO_FINANCIAL)</f>
        <v>384720.63380730618</v>
      </c>
      <c r="L31" s="6">
        <v>0</v>
      </c>
      <c r="M31" s="1">
        <v>0</v>
      </c>
      <c r="O31" s="1">
        <v>0</v>
      </c>
      <c r="P31" s="1">
        <v>0</v>
      </c>
      <c r="R31" s="1">
        <v>267450</v>
      </c>
      <c r="S31" s="1">
        <v>0</v>
      </c>
      <c r="U31" s="1">
        <v>0</v>
      </c>
      <c r="V31" s="9">
        <v>0</v>
      </c>
    </row>
    <row r="32" spans="1:22">
      <c r="A32" s="1" t="s">
        <v>53</v>
      </c>
      <c r="B32" s="6">
        <v>0</v>
      </c>
      <c r="C32" s="1">
        <v>0</v>
      </c>
      <c r="D32" s="1">
        <v>93931.43490633156</v>
      </c>
      <c r="E32" s="1">
        <v>0</v>
      </c>
      <c r="F32" s="1">
        <v>0</v>
      </c>
      <c r="G32" s="9">
        <f>SUM(MT_FINANCIAL)</f>
        <v>93931.43490633156</v>
      </c>
      <c r="L32" s="6"/>
      <c r="V32" s="9"/>
    </row>
    <row r="33" spans="1:22">
      <c r="A33" s="1" t="s">
        <v>54</v>
      </c>
      <c r="B33" s="6">
        <v>0</v>
      </c>
      <c r="C33" s="1">
        <v>0</v>
      </c>
      <c r="D33" s="1">
        <v>106637.07967398052</v>
      </c>
      <c r="E33" s="1">
        <v>0</v>
      </c>
      <c r="F33" s="1">
        <v>0</v>
      </c>
      <c r="G33" s="9">
        <f>SUM(NE_FINANCIAL)</f>
        <v>106637.07967398052</v>
      </c>
      <c r="L33" s="6"/>
      <c r="V33" s="9"/>
    </row>
    <row r="34" spans="1:22">
      <c r="A34" s="1" t="s">
        <v>55</v>
      </c>
      <c r="B34" s="6">
        <v>0</v>
      </c>
      <c r="C34" s="1">
        <v>0</v>
      </c>
      <c r="D34" s="1">
        <v>190749.67874443784</v>
      </c>
      <c r="E34" s="1">
        <v>0</v>
      </c>
      <c r="F34" s="1">
        <v>0</v>
      </c>
      <c r="G34" s="9">
        <f>SUM(NV_FINANCIAL)</f>
        <v>190749.67874443784</v>
      </c>
      <c r="L34" s="6"/>
      <c r="V34" s="9"/>
    </row>
    <row r="35" spans="1:22">
      <c r="A35" s="1" t="s">
        <v>56</v>
      </c>
      <c r="B35" s="6">
        <v>0</v>
      </c>
      <c r="C35" s="1">
        <v>0</v>
      </c>
      <c r="D35" s="1">
        <v>417358.38382233377</v>
      </c>
      <c r="E35" s="1">
        <v>0</v>
      </c>
      <c r="F35" s="1">
        <v>0</v>
      </c>
      <c r="G35" s="9">
        <f>SUM(NH_FINANCIAL)</f>
        <v>417358.38382233377</v>
      </c>
      <c r="L35" s="6"/>
      <c r="V35" s="9"/>
    </row>
    <row r="36" spans="1:22">
      <c r="A36" s="1" t="s">
        <v>57</v>
      </c>
      <c r="B36" s="6">
        <v>0</v>
      </c>
      <c r="C36" s="1">
        <v>0</v>
      </c>
      <c r="D36" s="1">
        <v>152612092.81288436</v>
      </c>
      <c r="E36" s="1">
        <v>0</v>
      </c>
      <c r="F36" s="1">
        <v>0</v>
      </c>
      <c r="G36" s="9">
        <f>SUM(NJ_FINANCIAL)</f>
        <v>152612092.81288436</v>
      </c>
      <c r="L36" s="6">
        <v>0</v>
      </c>
      <c r="M36" s="1">
        <v>0</v>
      </c>
      <c r="O36" s="1">
        <v>0</v>
      </c>
      <c r="P36" s="1">
        <v>0</v>
      </c>
      <c r="R36" s="1">
        <v>125949000</v>
      </c>
      <c r="S36" s="1">
        <v>0</v>
      </c>
      <c r="U36" s="1">
        <v>0</v>
      </c>
      <c r="V36" s="9">
        <v>0</v>
      </c>
    </row>
    <row r="37" spans="1:22">
      <c r="A37" s="1" t="s">
        <v>58</v>
      </c>
      <c r="B37" s="6">
        <v>0</v>
      </c>
      <c r="C37" s="1">
        <v>0</v>
      </c>
      <c r="D37" s="1">
        <v>338507.21396591683</v>
      </c>
      <c r="E37" s="1">
        <v>0</v>
      </c>
      <c r="F37" s="1">
        <v>0</v>
      </c>
      <c r="G37" s="9">
        <f>SUM(NM_FINANCIAL)</f>
        <v>338507.21396591683</v>
      </c>
      <c r="L37" s="6"/>
      <c r="V37" s="9"/>
    </row>
    <row r="38" spans="1:22">
      <c r="A38" s="1" t="s">
        <v>59</v>
      </c>
      <c r="B38" s="6">
        <v>0</v>
      </c>
      <c r="C38" s="1">
        <v>0</v>
      </c>
      <c r="D38" s="1">
        <v>0</v>
      </c>
      <c r="E38" s="1">
        <v>0</v>
      </c>
      <c r="F38" s="1">
        <v>0</v>
      </c>
      <c r="G38" s="9">
        <f>SUM(NY_FINANCIAL)</f>
        <v>0</v>
      </c>
      <c r="L38" s="6"/>
      <c r="V38" s="9"/>
    </row>
    <row r="39" spans="1:22">
      <c r="A39" s="1" t="s">
        <v>60</v>
      </c>
      <c r="B39" s="6">
        <v>0</v>
      </c>
      <c r="C39" s="1">
        <v>0</v>
      </c>
      <c r="D39" s="1">
        <v>3071970.5418843664</v>
      </c>
      <c r="E39" s="1">
        <v>0</v>
      </c>
      <c r="F39" s="1">
        <v>0</v>
      </c>
      <c r="G39" s="9">
        <f>SUM(NC_FINANCIAL)</f>
        <v>3071970.5418843664</v>
      </c>
      <c r="L39" s="6">
        <v>0</v>
      </c>
      <c r="M39" s="1">
        <v>0</v>
      </c>
      <c r="O39" s="1">
        <v>0</v>
      </c>
      <c r="P39" s="1">
        <v>0</v>
      </c>
      <c r="R39" s="1">
        <v>2500000</v>
      </c>
      <c r="S39" s="1">
        <v>0</v>
      </c>
      <c r="U39" s="1">
        <v>0</v>
      </c>
      <c r="V39" s="9">
        <v>0</v>
      </c>
    </row>
    <row r="40" spans="1:22">
      <c r="A40" s="1" t="s">
        <v>61</v>
      </c>
      <c r="B40" s="6">
        <v>0</v>
      </c>
      <c r="C40" s="1">
        <v>0</v>
      </c>
      <c r="D40" s="1">
        <v>0</v>
      </c>
      <c r="E40" s="1">
        <v>0</v>
      </c>
      <c r="F40" s="1">
        <v>0</v>
      </c>
      <c r="G40" s="9">
        <f>SUM(ND_FINANCIAL)</f>
        <v>0</v>
      </c>
      <c r="L40" s="6"/>
      <c r="V40" s="9"/>
    </row>
    <row r="41" spans="1:22">
      <c r="A41" s="1" t="s">
        <v>62</v>
      </c>
      <c r="B41" s="6">
        <v>0</v>
      </c>
      <c r="C41" s="1">
        <v>0</v>
      </c>
      <c r="D41" s="1">
        <v>335422.03106940119</v>
      </c>
      <c r="E41" s="1">
        <v>0</v>
      </c>
      <c r="F41" s="1">
        <v>0</v>
      </c>
      <c r="G41" s="9">
        <f>SUM(OH_FINANCIAL)</f>
        <v>335422.03106940119</v>
      </c>
      <c r="L41" s="6"/>
      <c r="V41" s="9"/>
    </row>
    <row r="42" spans="1:22">
      <c r="A42" s="1" t="s">
        <v>63</v>
      </c>
      <c r="B42" s="6">
        <v>0</v>
      </c>
      <c r="C42" s="1">
        <v>0</v>
      </c>
      <c r="D42" s="1">
        <v>82156.17273712068</v>
      </c>
      <c r="E42" s="1">
        <v>0</v>
      </c>
      <c r="F42" s="1">
        <v>0</v>
      </c>
      <c r="G42" s="9">
        <f>SUM(OK_FINANCIAL)</f>
        <v>82156.17273712068</v>
      </c>
      <c r="L42" s="6"/>
      <c r="V42" s="9"/>
    </row>
    <row r="43" spans="1:22">
      <c r="A43" s="1" t="s">
        <v>64</v>
      </c>
      <c r="B43" s="6">
        <v>0</v>
      </c>
      <c r="C43" s="1">
        <v>0</v>
      </c>
      <c r="D43" s="1">
        <v>171343.90968044568</v>
      </c>
      <c r="E43" s="1">
        <v>0</v>
      </c>
      <c r="F43" s="1">
        <v>0</v>
      </c>
      <c r="G43" s="9">
        <f>SUM(OR_FINANCIAL)</f>
        <v>171343.90968044568</v>
      </c>
      <c r="L43" s="6"/>
      <c r="V43" s="9"/>
    </row>
    <row r="44" spans="1:22">
      <c r="A44" s="1" t="s">
        <v>65</v>
      </c>
      <c r="B44" s="6">
        <v>0</v>
      </c>
      <c r="C44" s="1">
        <v>0</v>
      </c>
      <c r="D44" s="1">
        <v>9343940.9535619039</v>
      </c>
      <c r="E44" s="1">
        <v>0</v>
      </c>
      <c r="F44" s="1">
        <v>0</v>
      </c>
      <c r="G44" s="9">
        <f>SUM(PA_FINANCIAL)</f>
        <v>9343940.9535619039</v>
      </c>
      <c r="L44" s="6">
        <v>0</v>
      </c>
      <c r="M44" s="1">
        <v>0</v>
      </c>
      <c r="O44" s="1">
        <v>0</v>
      </c>
      <c r="P44" s="1">
        <v>0</v>
      </c>
      <c r="R44" s="1">
        <v>8294000</v>
      </c>
      <c r="S44" s="1">
        <v>0</v>
      </c>
      <c r="U44" s="1">
        <v>0</v>
      </c>
      <c r="V44" s="9">
        <v>0</v>
      </c>
    </row>
    <row r="45" spans="1:22">
      <c r="A45" s="1" t="s">
        <v>66</v>
      </c>
      <c r="B45" s="6">
        <v>0</v>
      </c>
      <c r="C45" s="1">
        <v>0</v>
      </c>
      <c r="D45" s="1">
        <v>0</v>
      </c>
      <c r="E45" s="1">
        <v>0</v>
      </c>
      <c r="F45" s="1">
        <v>0</v>
      </c>
      <c r="G45" s="9">
        <f>SUM(PR_FINANCIAL)</f>
        <v>0</v>
      </c>
      <c r="L45" s="6"/>
      <c r="V45" s="9"/>
    </row>
    <row r="46" spans="1:22">
      <c r="A46" s="1" t="s">
        <v>67</v>
      </c>
      <c r="B46" s="6">
        <v>0</v>
      </c>
      <c r="C46" s="1">
        <v>0</v>
      </c>
      <c r="D46" s="1">
        <v>349525.10705282778</v>
      </c>
      <c r="E46" s="1">
        <v>0</v>
      </c>
      <c r="F46" s="1">
        <v>0</v>
      </c>
      <c r="G46" s="9">
        <f>SUM(RI_FINANCIAL)</f>
        <v>349525.10705282778</v>
      </c>
      <c r="L46" s="6">
        <v>0</v>
      </c>
      <c r="M46" s="1">
        <v>0</v>
      </c>
      <c r="O46" s="1">
        <v>0</v>
      </c>
      <c r="P46" s="1">
        <v>0</v>
      </c>
      <c r="R46" s="1">
        <v>599122</v>
      </c>
      <c r="S46" s="1">
        <v>0</v>
      </c>
      <c r="U46" s="1">
        <v>0</v>
      </c>
      <c r="V46" s="9">
        <v>0</v>
      </c>
    </row>
    <row r="47" spans="1:22">
      <c r="A47" s="1" t="s">
        <v>68</v>
      </c>
      <c r="B47" s="6">
        <v>0</v>
      </c>
      <c r="C47" s="1">
        <v>0</v>
      </c>
      <c r="D47" s="1">
        <v>2900841.5306676799</v>
      </c>
      <c r="E47" s="1">
        <v>0</v>
      </c>
      <c r="F47" s="1">
        <v>0</v>
      </c>
      <c r="G47" s="9">
        <f>SUM(SC_FINANCIAL)</f>
        <v>2900841.5306676799</v>
      </c>
      <c r="L47" s="6"/>
      <c r="V47" s="9"/>
    </row>
    <row r="48" spans="1:22">
      <c r="A48" s="1" t="s">
        <v>69</v>
      </c>
      <c r="B48" s="6">
        <v>0</v>
      </c>
      <c r="C48" s="1">
        <v>0</v>
      </c>
      <c r="D48" s="1">
        <v>57116.596625095277</v>
      </c>
      <c r="E48" s="1">
        <v>0</v>
      </c>
      <c r="F48" s="1">
        <v>0</v>
      </c>
      <c r="G48" s="9">
        <f>SUM(SD_FINANCIAL)</f>
        <v>57116.596625095277</v>
      </c>
      <c r="L48" s="6"/>
      <c r="V48" s="9"/>
    </row>
    <row r="49" spans="1:22">
      <c r="A49" s="1" t="s">
        <v>70</v>
      </c>
      <c r="B49" s="6">
        <v>0</v>
      </c>
      <c r="C49" s="1">
        <v>0</v>
      </c>
      <c r="D49" s="1">
        <v>605472.02494230145</v>
      </c>
      <c r="E49" s="1">
        <v>0</v>
      </c>
      <c r="F49" s="1">
        <v>0</v>
      </c>
      <c r="G49" s="9">
        <f>SUM(TN_FINANCIAL)</f>
        <v>605472.02494230145</v>
      </c>
      <c r="L49" s="6">
        <v>0</v>
      </c>
      <c r="M49" s="1">
        <v>0</v>
      </c>
      <c r="O49" s="1">
        <v>0</v>
      </c>
      <c r="P49" s="1">
        <v>0</v>
      </c>
      <c r="R49" s="1">
        <v>1288597</v>
      </c>
      <c r="S49" s="1">
        <v>7752</v>
      </c>
      <c r="U49" s="1">
        <v>0</v>
      </c>
      <c r="V49" s="9">
        <v>0</v>
      </c>
    </row>
    <row r="50" spans="1:22">
      <c r="A50" s="1" t="s">
        <v>71</v>
      </c>
      <c r="B50" s="6">
        <v>0</v>
      </c>
      <c r="C50" s="1">
        <v>0</v>
      </c>
      <c r="D50" s="1">
        <v>910545.10919417802</v>
      </c>
      <c r="E50" s="1">
        <v>0</v>
      </c>
      <c r="F50" s="1">
        <v>0</v>
      </c>
      <c r="G50" s="9">
        <f>SUM(TX_FINANCIAL)</f>
        <v>910545.10919417802</v>
      </c>
      <c r="L50" s="6"/>
      <c r="V50" s="9"/>
    </row>
    <row r="51" spans="1:22">
      <c r="A51" s="1" t="s">
        <v>72</v>
      </c>
      <c r="B51" s="6">
        <v>0</v>
      </c>
      <c r="C51" s="1">
        <v>0</v>
      </c>
      <c r="D51" s="1">
        <v>42674.093222420379</v>
      </c>
      <c r="E51" s="1">
        <v>0</v>
      </c>
      <c r="F51" s="1">
        <v>0</v>
      </c>
      <c r="G51" s="9">
        <f>SUM(UT_FINANCIAL)</f>
        <v>42674.093222420379</v>
      </c>
      <c r="L51" s="6"/>
      <c r="V51" s="9"/>
    </row>
    <row r="52" spans="1:22">
      <c r="A52" s="1" t="s">
        <v>73</v>
      </c>
      <c r="B52" s="6">
        <v>0</v>
      </c>
      <c r="C52" s="1">
        <v>0</v>
      </c>
      <c r="D52" s="1">
        <v>97103.971408113444</v>
      </c>
      <c r="E52" s="1">
        <v>0</v>
      </c>
      <c r="F52" s="1">
        <v>0</v>
      </c>
      <c r="G52" s="9">
        <f>SUM(VT_FINANCIAL)</f>
        <v>97103.971408113444</v>
      </c>
      <c r="L52" s="6"/>
      <c r="V52" s="9"/>
    </row>
    <row r="53" spans="1:22">
      <c r="A53" s="1" t="s">
        <v>74</v>
      </c>
      <c r="B53" s="6">
        <v>0</v>
      </c>
      <c r="C53" s="1">
        <v>0</v>
      </c>
      <c r="D53" s="1">
        <v>59067609.215313889</v>
      </c>
      <c r="E53" s="1">
        <v>0</v>
      </c>
      <c r="F53" s="1">
        <v>0</v>
      </c>
      <c r="G53" s="9">
        <f>SUM(VA_FINANCIAL)</f>
        <v>59067609.215313889</v>
      </c>
      <c r="L53" s="6"/>
      <c r="V53" s="9"/>
    </row>
    <row r="54" spans="1:22">
      <c r="A54" s="1" t="s">
        <v>75</v>
      </c>
      <c r="B54" s="6">
        <v>0</v>
      </c>
      <c r="C54" s="1">
        <v>0</v>
      </c>
      <c r="D54" s="1">
        <v>296357.23454994941</v>
      </c>
      <c r="E54" s="1">
        <v>0</v>
      </c>
      <c r="F54" s="1">
        <v>0</v>
      </c>
      <c r="G54" s="9">
        <f>SUM(WA_FINANCIAL)</f>
        <v>296357.23454994941</v>
      </c>
      <c r="L54" s="6"/>
      <c r="V54" s="9"/>
    </row>
    <row r="55" spans="1:22">
      <c r="A55" s="1" t="s">
        <v>76</v>
      </c>
      <c r="B55" s="6">
        <v>0</v>
      </c>
      <c r="C55" s="1">
        <v>0</v>
      </c>
      <c r="D55" s="1">
        <v>4046256.4775207015</v>
      </c>
      <c r="E55" s="1">
        <v>0</v>
      </c>
      <c r="F55" s="1">
        <v>0</v>
      </c>
      <c r="G55" s="9">
        <f>SUM(WV_FINANCIAL)</f>
        <v>4046256.4775207015</v>
      </c>
      <c r="L55" s="6">
        <v>0</v>
      </c>
      <c r="M55" s="1">
        <v>0</v>
      </c>
      <c r="O55" s="1">
        <v>0</v>
      </c>
      <c r="P55" s="1">
        <v>0</v>
      </c>
      <c r="R55" s="1">
        <v>3620000</v>
      </c>
      <c r="S55" s="1">
        <v>0</v>
      </c>
      <c r="U55" s="1">
        <v>0</v>
      </c>
      <c r="V55" s="9">
        <v>0</v>
      </c>
    </row>
    <row r="56" spans="1:22">
      <c r="A56" s="1" t="s">
        <v>77</v>
      </c>
      <c r="B56" s="6">
        <v>0</v>
      </c>
      <c r="C56" s="1">
        <v>0</v>
      </c>
      <c r="D56" s="1">
        <v>0</v>
      </c>
      <c r="E56" s="1">
        <v>0</v>
      </c>
      <c r="F56" s="1">
        <v>0</v>
      </c>
      <c r="G56" s="9">
        <f>SUM(WI_FINANCIAL)</f>
        <v>0</v>
      </c>
      <c r="L56" s="6"/>
      <c r="V56" s="9"/>
    </row>
    <row r="57" spans="1:22">
      <c r="A57" s="1" t="s">
        <v>78</v>
      </c>
      <c r="B57" s="6">
        <v>0</v>
      </c>
      <c r="C57" s="1">
        <v>0</v>
      </c>
      <c r="D57" s="1">
        <v>0</v>
      </c>
      <c r="E57" s="1">
        <v>0</v>
      </c>
      <c r="F57" s="1">
        <v>0</v>
      </c>
      <c r="G57" s="9">
        <f>SUM(WY_FINANCIAL)</f>
        <v>0</v>
      </c>
      <c r="L57" s="6"/>
      <c r="V57" s="9"/>
    </row>
    <row r="58" spans="1:22">
      <c r="A58" s="1" t="s">
        <v>79</v>
      </c>
      <c r="B58" s="6">
        <v>0</v>
      </c>
      <c r="C58" s="1">
        <v>0</v>
      </c>
      <c r="D58" s="1">
        <v>0</v>
      </c>
      <c r="E58" s="1">
        <v>0</v>
      </c>
      <c r="F58" s="1">
        <v>0</v>
      </c>
      <c r="G58" s="9">
        <f>SUM(OT_FINANCIAL)</f>
        <v>0</v>
      </c>
      <c r="L58" s="6"/>
      <c r="V58" s="9"/>
    </row>
    <row r="59" spans="1:22">
      <c r="B59" s="6"/>
      <c r="G59" s="9"/>
      <c r="L59" s="6"/>
      <c r="V59" s="9"/>
    </row>
    <row r="60" spans="1:22">
      <c r="A60" s="1" t="s">
        <v>8</v>
      </c>
      <c r="B60" s="6">
        <f>SUM(LIFE)</f>
        <v>0</v>
      </c>
      <c r="C60" s="1">
        <f>SUM(ALLOCATED)</f>
        <v>0</v>
      </c>
      <c r="D60" s="1">
        <f>SUM(HEALTH)</f>
        <v>327202677.28898656</v>
      </c>
      <c r="E60" s="1">
        <f>SUM(UNALLOCATED)</f>
        <v>0</v>
      </c>
      <c r="F60" s="1">
        <f>SUM(LTC)</f>
        <v>0</v>
      </c>
      <c r="G60" s="9">
        <f>SUM(ALL_BLOCKS)</f>
        <v>327202677.28898656</v>
      </c>
      <c r="L60" s="6">
        <f>SUM(LIFE_CALLED)</f>
        <v>0</v>
      </c>
      <c r="M60" s="1">
        <f>SUM(LIFE_REFUNDED)</f>
        <v>0</v>
      </c>
      <c r="O60" s="1">
        <f>SUM(ALLOC_CALLED)</f>
        <v>0</v>
      </c>
      <c r="P60" s="1">
        <f>SUM(ALLOC_REFUNDED)</f>
        <v>0</v>
      </c>
      <c r="R60" s="1">
        <f>SUM(HEALTH_CALLED)</f>
        <v>189339223</v>
      </c>
      <c r="S60" s="1">
        <f>SUM(HEALTH_REFUNDED)</f>
        <v>7752</v>
      </c>
      <c r="U60" s="1">
        <f>SUM(UNALLOC_CALLED)</f>
        <v>0</v>
      </c>
      <c r="V60" s="9">
        <f>SUM(UNALLOC_REFUNDED)</f>
        <v>0</v>
      </c>
    </row>
    <row r="61" spans="1:22" ht="5.0999999999999996" customHeight="1">
      <c r="B61" s="6"/>
      <c r="G61" s="9"/>
      <c r="L61" s="6"/>
      <c r="V61" s="9"/>
    </row>
    <row r="62" spans="1:22">
      <c r="B62" s="6"/>
      <c r="G62" s="9"/>
      <c r="L62" s="78" t="s">
        <v>80</v>
      </c>
      <c r="M62" s="79"/>
      <c r="N62" s="79"/>
      <c r="O62" s="79"/>
      <c r="P62" s="79"/>
      <c r="Q62" s="79"/>
      <c r="R62" s="79"/>
      <c r="S62" s="79"/>
      <c r="T62" s="79"/>
      <c r="U62" s="79"/>
      <c r="V62" s="80"/>
    </row>
    <row r="63" spans="1:22">
      <c r="B63" s="6"/>
      <c r="G63" s="9"/>
      <c r="L63" s="81"/>
      <c r="M63" s="79"/>
      <c r="N63" s="79"/>
      <c r="O63" s="79"/>
      <c r="P63" s="79"/>
      <c r="Q63" s="79"/>
      <c r="R63" s="79"/>
      <c r="S63" s="79"/>
      <c r="T63" s="79"/>
      <c r="U63" s="79"/>
      <c r="V63" s="80"/>
    </row>
    <row r="64" spans="1:22">
      <c r="B64" s="8"/>
      <c r="C64" s="5"/>
      <c r="D64" s="5"/>
      <c r="E64" s="5"/>
      <c r="F64" s="5"/>
      <c r="G64" s="11"/>
      <c r="L64" s="82"/>
      <c r="M64" s="83"/>
      <c r="N64" s="83"/>
      <c r="O64" s="83"/>
      <c r="P64" s="83"/>
      <c r="Q64" s="83"/>
      <c r="R64" s="83"/>
      <c r="S64" s="83"/>
      <c r="T64" s="83"/>
      <c r="U64" s="83"/>
      <c r="V64" s="84"/>
    </row>
  </sheetData>
  <mergeCells count="8">
    <mergeCell ref="L62:V64"/>
    <mergeCell ref="A1:G1"/>
    <mergeCell ref="B3:G3"/>
    <mergeCell ref="L3:V3"/>
    <mergeCell ref="L4:M4"/>
    <mergeCell ref="O4:P4"/>
    <mergeCell ref="R4:S4"/>
    <mergeCell ref="U4:V4"/>
  </mergeCells>
  <pageMargins left="0" right="0" top="0" bottom="0" header="0" footer="0"/>
  <pageSetup scale="48" orientation="landscape"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pageSetUpPr fitToPage="1"/>
  </sheetPr>
  <dimension ref="A1:V64"/>
  <sheetViews>
    <sheetView topLeftCell="A18" zoomScale="75" workbookViewId="0">
      <selection sqref="A1:G1"/>
    </sheetView>
  </sheetViews>
  <sheetFormatPr defaultColWidth="9.109375" defaultRowHeight="14.4"/>
  <cols>
    <col min="1" max="1" width="20" style="1" customWidth="1"/>
    <col min="2" max="7" width="15" style="1" customWidth="1"/>
    <col min="8" max="8" width="1" style="1" customWidth="1"/>
    <col min="9" max="9" width="30" style="1" customWidth="1"/>
    <col min="10" max="10" width="15" style="1" customWidth="1"/>
    <col min="11" max="11" width="1" style="1" customWidth="1"/>
    <col min="12" max="13" width="15" style="1" customWidth="1"/>
    <col min="14" max="14" width="1" style="1" customWidth="1"/>
    <col min="15" max="16" width="15" style="1" customWidth="1"/>
    <col min="17" max="17" width="1" style="1" customWidth="1"/>
    <col min="18" max="19" width="15" style="1" customWidth="1"/>
    <col min="20" max="20" width="1" style="1" customWidth="1"/>
    <col min="21" max="22" width="15" style="1" customWidth="1"/>
    <col min="23" max="23" width="9.109375" style="1" customWidth="1"/>
    <col min="24" max="16384" width="9.109375" style="1"/>
  </cols>
  <sheetData>
    <row r="1" spans="1:22">
      <c r="A1" s="85" t="s">
        <v>169</v>
      </c>
      <c r="B1" s="79"/>
      <c r="C1" s="79"/>
      <c r="D1" s="79"/>
      <c r="E1" s="79"/>
      <c r="F1" s="79"/>
      <c r="G1" s="79"/>
    </row>
    <row r="3" spans="1:22">
      <c r="B3" s="86" t="s">
        <v>1</v>
      </c>
      <c r="C3" s="87"/>
      <c r="D3" s="87"/>
      <c r="E3" s="87"/>
      <c r="F3" s="87"/>
      <c r="G3" s="88"/>
      <c r="L3" s="89" t="s">
        <v>2</v>
      </c>
      <c r="M3" s="90"/>
      <c r="N3" s="90"/>
      <c r="O3" s="90"/>
      <c r="P3" s="90"/>
      <c r="Q3" s="90"/>
      <c r="R3" s="90"/>
      <c r="S3" s="90"/>
      <c r="T3" s="90"/>
      <c r="U3" s="90"/>
      <c r="V3" s="91"/>
    </row>
    <row r="4" spans="1:22">
      <c r="B4" s="6"/>
      <c r="G4" s="9"/>
      <c r="L4" s="92" t="s">
        <v>3</v>
      </c>
      <c r="M4" s="93"/>
      <c r="N4" s="3"/>
      <c r="O4" s="94" t="s">
        <v>4</v>
      </c>
      <c r="P4" s="93"/>
      <c r="Q4" s="3"/>
      <c r="R4" s="94" t="s">
        <v>5</v>
      </c>
      <c r="S4" s="93"/>
      <c r="T4" s="3"/>
      <c r="U4" s="94" t="s">
        <v>6</v>
      </c>
      <c r="V4" s="95"/>
    </row>
    <row r="5" spans="1:22" ht="60" customHeight="1">
      <c r="B5" s="7" t="s">
        <v>3</v>
      </c>
      <c r="C5" s="4" t="s">
        <v>4</v>
      </c>
      <c r="D5" s="4" t="s">
        <v>5</v>
      </c>
      <c r="E5" s="4" t="s">
        <v>6</v>
      </c>
      <c r="F5" s="4" t="s">
        <v>7</v>
      </c>
      <c r="G5" s="10" t="s">
        <v>8</v>
      </c>
      <c r="L5" s="19" t="s">
        <v>9</v>
      </c>
      <c r="M5" s="18" t="s">
        <v>10</v>
      </c>
      <c r="N5" s="18"/>
      <c r="O5" s="18" t="s">
        <v>9</v>
      </c>
      <c r="P5" s="18" t="s">
        <v>10</v>
      </c>
      <c r="Q5" s="18"/>
      <c r="R5" s="18" t="s">
        <v>9</v>
      </c>
      <c r="S5" s="18" t="s">
        <v>10</v>
      </c>
      <c r="T5" s="18"/>
      <c r="U5" s="18" t="s">
        <v>9</v>
      </c>
      <c r="V5" s="20" t="s">
        <v>10</v>
      </c>
    </row>
    <row r="6" spans="1:22">
      <c r="A6" s="1" t="s">
        <v>11</v>
      </c>
      <c r="B6" s="6">
        <v>0</v>
      </c>
      <c r="C6" s="1">
        <v>0</v>
      </c>
      <c r="D6" s="1">
        <v>-4675</v>
      </c>
      <c r="E6" s="1">
        <v>0</v>
      </c>
      <c r="F6" s="1">
        <v>0</v>
      </c>
      <c r="G6" s="9">
        <f>SUM(AL_FINANCIAL)</f>
        <v>-4675</v>
      </c>
      <c r="L6" s="6"/>
      <c r="V6" s="9"/>
    </row>
    <row r="7" spans="1:22">
      <c r="A7" s="1" t="s">
        <v>12</v>
      </c>
      <c r="B7" s="6">
        <v>0</v>
      </c>
      <c r="C7" s="1">
        <v>0</v>
      </c>
      <c r="D7" s="1">
        <v>0</v>
      </c>
      <c r="E7" s="1">
        <v>0</v>
      </c>
      <c r="F7" s="1">
        <v>0</v>
      </c>
      <c r="G7" s="9">
        <f>SUM(AK_FINANCIAL)</f>
        <v>0</v>
      </c>
      <c r="I7" s="12"/>
      <c r="J7" s="15"/>
      <c r="L7" s="6"/>
      <c r="V7" s="9"/>
    </row>
    <row r="8" spans="1:22">
      <c r="A8" s="1" t="s">
        <v>13</v>
      </c>
      <c r="B8" s="6">
        <v>0</v>
      </c>
      <c r="C8" s="1">
        <v>0</v>
      </c>
      <c r="D8" s="1">
        <v>4033.1009217545216</v>
      </c>
      <c r="E8" s="1">
        <v>0</v>
      </c>
      <c r="F8" s="1">
        <v>0</v>
      </c>
      <c r="G8" s="9">
        <f>SUM(AZ_FINANCIAL)</f>
        <v>4033.1009217545216</v>
      </c>
      <c r="I8" s="13" t="s">
        <v>14</v>
      </c>
      <c r="J8" s="16"/>
      <c r="L8" s="6"/>
      <c r="V8" s="9"/>
    </row>
    <row r="9" spans="1:22">
      <c r="A9" s="1" t="s">
        <v>15</v>
      </c>
      <c r="B9" s="6">
        <v>0</v>
      </c>
      <c r="C9" s="1">
        <v>0</v>
      </c>
      <c r="D9" s="1">
        <v>526776.86628727149</v>
      </c>
      <c r="E9" s="1">
        <v>0</v>
      </c>
      <c r="F9" s="1">
        <v>0</v>
      </c>
      <c r="G9" s="9">
        <f>SUM(AR_FINANCIAL)</f>
        <v>526776.86628727149</v>
      </c>
      <c r="I9" s="13"/>
      <c r="J9" s="16"/>
      <c r="L9" s="6">
        <v>0</v>
      </c>
      <c r="M9" s="1">
        <v>0</v>
      </c>
      <c r="O9" s="1">
        <v>0</v>
      </c>
      <c r="P9" s="1">
        <v>0</v>
      </c>
      <c r="R9" s="1">
        <v>1437371</v>
      </c>
      <c r="S9" s="1">
        <v>0</v>
      </c>
      <c r="U9" s="1">
        <v>0</v>
      </c>
      <c r="V9" s="9">
        <v>0</v>
      </c>
    </row>
    <row r="10" spans="1:22">
      <c r="A10" s="1" t="s">
        <v>16</v>
      </c>
      <c r="B10" s="6">
        <v>0</v>
      </c>
      <c r="C10" s="1">
        <v>0</v>
      </c>
      <c r="D10" s="1">
        <v>166.71303207321216</v>
      </c>
      <c r="E10" s="1">
        <v>0</v>
      </c>
      <c r="F10" s="1">
        <v>0</v>
      </c>
      <c r="G10" s="9">
        <f>SUM(CA_FINANCIAL)</f>
        <v>166.71303207321216</v>
      </c>
      <c r="I10" s="13" t="s">
        <v>17</v>
      </c>
      <c r="J10" s="16">
        <v>7285014</v>
      </c>
      <c r="L10" s="6"/>
      <c r="V10" s="9"/>
    </row>
    <row r="11" spans="1:22">
      <c r="A11" s="1" t="s">
        <v>18</v>
      </c>
      <c r="B11" s="6">
        <v>0</v>
      </c>
      <c r="C11" s="1">
        <v>0</v>
      </c>
      <c r="D11" s="1">
        <v>591.51206684254794</v>
      </c>
      <c r="E11" s="1">
        <v>0</v>
      </c>
      <c r="F11" s="1">
        <v>0</v>
      </c>
      <c r="G11" s="9">
        <f>SUM(CO_FINANCIAL)</f>
        <v>591.51206684254794</v>
      </c>
      <c r="I11" s="13"/>
      <c r="J11" s="16"/>
      <c r="L11" s="6">
        <v>4426</v>
      </c>
      <c r="M11" s="1">
        <v>0</v>
      </c>
      <c r="O11" s="1">
        <v>0</v>
      </c>
      <c r="P11" s="1">
        <v>0</v>
      </c>
      <c r="R11" s="1">
        <v>4500</v>
      </c>
      <c r="S11" s="1">
        <v>0</v>
      </c>
      <c r="U11" s="1">
        <v>0</v>
      </c>
      <c r="V11" s="9">
        <v>0</v>
      </c>
    </row>
    <row r="12" spans="1:22">
      <c r="A12" s="1" t="s">
        <v>19</v>
      </c>
      <c r="B12" s="6">
        <v>0</v>
      </c>
      <c r="C12" s="1">
        <v>0</v>
      </c>
      <c r="D12" s="1">
        <v>0</v>
      </c>
      <c r="E12" s="1">
        <v>0</v>
      </c>
      <c r="F12" s="1">
        <v>0</v>
      </c>
      <c r="G12" s="9">
        <f>SUM(CT_FINANCIAL)</f>
        <v>0</v>
      </c>
      <c r="I12" s="13" t="s">
        <v>20</v>
      </c>
      <c r="J12" s="16"/>
      <c r="L12" s="6"/>
      <c r="V12" s="9"/>
    </row>
    <row r="13" spans="1:22">
      <c r="A13" s="1" t="s">
        <v>21</v>
      </c>
      <c r="B13" s="6">
        <v>0</v>
      </c>
      <c r="C13" s="1">
        <v>0</v>
      </c>
      <c r="D13" s="1">
        <v>0</v>
      </c>
      <c r="E13" s="1">
        <v>0</v>
      </c>
      <c r="F13" s="1">
        <v>0</v>
      </c>
      <c r="G13" s="9">
        <f>SUM(DE_FINANCIAL)</f>
        <v>0</v>
      </c>
      <c r="I13" s="13" t="s">
        <v>22</v>
      </c>
      <c r="J13" s="16">
        <v>602228</v>
      </c>
      <c r="L13" s="6"/>
      <c r="V13" s="9"/>
    </row>
    <row r="14" spans="1:22">
      <c r="A14" s="1" t="s">
        <v>23</v>
      </c>
      <c r="B14" s="6">
        <v>0</v>
      </c>
      <c r="C14" s="1">
        <v>0</v>
      </c>
      <c r="D14" s="1">
        <v>355.53751648595994</v>
      </c>
      <c r="E14" s="1">
        <v>0</v>
      </c>
      <c r="F14" s="1">
        <v>0</v>
      </c>
      <c r="G14" s="9">
        <f>SUM(DC_FINANCIAL)</f>
        <v>355.53751648595994</v>
      </c>
      <c r="I14" s="13" t="s">
        <v>24</v>
      </c>
      <c r="J14" s="16">
        <v>1111917</v>
      </c>
      <c r="L14" s="6"/>
      <c r="V14" s="9"/>
    </row>
    <row r="15" spans="1:22">
      <c r="A15" s="1" t="s">
        <v>25</v>
      </c>
      <c r="B15" s="6">
        <v>0</v>
      </c>
      <c r="C15" s="1">
        <v>0</v>
      </c>
      <c r="D15" s="1">
        <v>885.76261540171981</v>
      </c>
      <c r="E15" s="1">
        <v>0</v>
      </c>
      <c r="F15" s="1">
        <v>0</v>
      </c>
      <c r="G15" s="9">
        <f>SUM(FL_FINANCIAL)</f>
        <v>885.76261540171981</v>
      </c>
      <c r="I15" s="13" t="s">
        <v>26</v>
      </c>
      <c r="J15" s="16">
        <v>1309400.9099999997</v>
      </c>
      <c r="L15" s="6"/>
      <c r="V15" s="9"/>
    </row>
    <row r="16" spans="1:22">
      <c r="A16" s="1" t="s">
        <v>27</v>
      </c>
      <c r="B16" s="6">
        <v>0</v>
      </c>
      <c r="C16" s="1">
        <v>0</v>
      </c>
      <c r="D16" s="1">
        <v>0</v>
      </c>
      <c r="E16" s="1">
        <v>0</v>
      </c>
      <c r="F16" s="1">
        <v>0</v>
      </c>
      <c r="G16" s="9">
        <f>SUM(GA_FINANCIAL)</f>
        <v>0</v>
      </c>
      <c r="I16" s="13" t="s">
        <v>28</v>
      </c>
      <c r="J16" s="16">
        <v>0</v>
      </c>
      <c r="L16" s="6"/>
      <c r="V16" s="9"/>
    </row>
    <row r="17" spans="1:22">
      <c r="A17" s="1" t="s">
        <v>29</v>
      </c>
      <c r="B17" s="6">
        <v>0</v>
      </c>
      <c r="C17" s="1">
        <v>0</v>
      </c>
      <c r="D17" s="1">
        <v>0</v>
      </c>
      <c r="E17" s="1">
        <v>0</v>
      </c>
      <c r="F17" s="1">
        <v>0</v>
      </c>
      <c r="G17" s="9">
        <f>SUM(HI_FINANCIAL)</f>
        <v>0</v>
      </c>
      <c r="I17" s="13"/>
      <c r="J17" s="16"/>
      <c r="L17" s="6"/>
      <c r="V17" s="9"/>
    </row>
    <row r="18" spans="1:22">
      <c r="A18" s="1" t="s">
        <v>30</v>
      </c>
      <c r="B18" s="6">
        <v>0</v>
      </c>
      <c r="C18" s="1">
        <v>0</v>
      </c>
      <c r="D18" s="1">
        <v>12.054848621015481</v>
      </c>
      <c r="E18" s="1">
        <v>0</v>
      </c>
      <c r="F18" s="1">
        <v>0</v>
      </c>
      <c r="G18" s="9">
        <f>SUM(ID_FINANCIAL)</f>
        <v>12.054848621015481</v>
      </c>
      <c r="I18" s="13" t="s">
        <v>31</v>
      </c>
      <c r="J18" s="16"/>
      <c r="L18" s="6"/>
      <c r="V18" s="9"/>
    </row>
    <row r="19" spans="1:22">
      <c r="A19" s="1" t="s">
        <v>32</v>
      </c>
      <c r="B19" s="6">
        <v>0</v>
      </c>
      <c r="C19" s="1">
        <v>0</v>
      </c>
      <c r="D19" s="1">
        <v>3285.8429136661507</v>
      </c>
      <c r="E19" s="1">
        <v>0</v>
      </c>
      <c r="F19" s="1">
        <v>0</v>
      </c>
      <c r="G19" s="9">
        <f>SUM(IL_FINANCIAL)</f>
        <v>3285.8429136661507</v>
      </c>
      <c r="I19" s="13" t="s">
        <v>33</v>
      </c>
      <c r="J19" s="16">
        <v>0</v>
      </c>
      <c r="L19" s="6">
        <v>5000</v>
      </c>
      <c r="M19" s="1">
        <v>0</v>
      </c>
      <c r="O19" s="1">
        <v>0</v>
      </c>
      <c r="P19" s="1">
        <v>0</v>
      </c>
      <c r="R19" s="1">
        <v>25000</v>
      </c>
      <c r="S19" s="1">
        <v>0</v>
      </c>
      <c r="U19" s="1">
        <v>0</v>
      </c>
      <c r="V19" s="9">
        <v>0</v>
      </c>
    </row>
    <row r="20" spans="1:22">
      <c r="A20" s="1" t="s">
        <v>34</v>
      </c>
      <c r="B20" s="6">
        <v>0</v>
      </c>
      <c r="C20" s="1">
        <v>0</v>
      </c>
      <c r="D20" s="1">
        <v>509.16103566804304</v>
      </c>
      <c r="E20" s="1">
        <v>0</v>
      </c>
      <c r="F20" s="1">
        <v>0</v>
      </c>
      <c r="G20" s="9">
        <f>SUM(IN_FINANCIAL)</f>
        <v>509.16103566804304</v>
      </c>
      <c r="I20" s="13" t="s">
        <v>35</v>
      </c>
      <c r="J20" s="16">
        <v>602228</v>
      </c>
      <c r="L20" s="6"/>
      <c r="V20" s="9"/>
    </row>
    <row r="21" spans="1:22">
      <c r="A21" s="1" t="s">
        <v>36</v>
      </c>
      <c r="B21" s="6">
        <v>0</v>
      </c>
      <c r="C21" s="1">
        <v>0</v>
      </c>
      <c r="D21" s="1">
        <v>18.076788069422861</v>
      </c>
      <c r="E21" s="1">
        <v>0</v>
      </c>
      <c r="F21" s="1">
        <v>0</v>
      </c>
      <c r="G21" s="9">
        <f>SUM(IA_FINANCIAL)</f>
        <v>18.076788069422861</v>
      </c>
      <c r="I21" s="13" t="s">
        <v>37</v>
      </c>
      <c r="J21" s="16"/>
      <c r="L21" s="6"/>
      <c r="V21" s="9"/>
    </row>
    <row r="22" spans="1:22">
      <c r="A22" s="1" t="s">
        <v>38</v>
      </c>
      <c r="B22" s="6">
        <v>0</v>
      </c>
      <c r="C22" s="1">
        <v>0</v>
      </c>
      <c r="D22" s="1">
        <v>883.51031174504533</v>
      </c>
      <c r="E22" s="1">
        <v>0</v>
      </c>
      <c r="F22" s="1">
        <v>0</v>
      </c>
      <c r="G22" s="9">
        <f>SUM(KS_FINANCIAL)</f>
        <v>883.51031174504533</v>
      </c>
      <c r="I22" s="13" t="s">
        <v>39</v>
      </c>
      <c r="J22" s="16">
        <v>0</v>
      </c>
      <c r="L22" s="6"/>
      <c r="V22" s="9"/>
    </row>
    <row r="23" spans="1:22">
      <c r="A23" s="1" t="s">
        <v>40</v>
      </c>
      <c r="B23" s="6">
        <v>0</v>
      </c>
      <c r="C23" s="1">
        <v>0</v>
      </c>
      <c r="D23" s="1">
        <v>0</v>
      </c>
      <c r="E23" s="1">
        <v>0</v>
      </c>
      <c r="F23" s="1">
        <v>0</v>
      </c>
      <c r="G23" s="9">
        <f>SUM(KY_FINANCIAL)</f>
        <v>0</v>
      </c>
      <c r="I23" s="13" t="s">
        <v>41</v>
      </c>
      <c r="J23" s="16"/>
      <c r="L23" s="6"/>
      <c r="V23" s="9"/>
    </row>
    <row r="24" spans="1:22">
      <c r="A24" s="1" t="s">
        <v>42</v>
      </c>
      <c r="B24" s="6">
        <v>0</v>
      </c>
      <c r="C24" s="1">
        <v>0</v>
      </c>
      <c r="D24" s="1">
        <v>1703152.7006574692</v>
      </c>
      <c r="E24" s="1">
        <v>0</v>
      </c>
      <c r="F24" s="1">
        <v>0</v>
      </c>
      <c r="G24" s="9">
        <f>SUM(LA_FINANCIAL)</f>
        <v>1703152.7006574692</v>
      </c>
      <c r="I24" s="13" t="s">
        <v>43</v>
      </c>
      <c r="J24" s="16">
        <v>5654917</v>
      </c>
      <c r="L24" s="6">
        <v>170592</v>
      </c>
      <c r="M24" s="1">
        <v>0</v>
      </c>
      <c r="O24" s="1">
        <v>0</v>
      </c>
      <c r="P24" s="1">
        <v>0</v>
      </c>
      <c r="R24" s="1">
        <v>5773407</v>
      </c>
      <c r="S24" s="1">
        <v>0</v>
      </c>
      <c r="U24" s="1">
        <v>0</v>
      </c>
      <c r="V24" s="9">
        <v>0</v>
      </c>
    </row>
    <row r="25" spans="1:22">
      <c r="A25" s="1" t="s">
        <v>44</v>
      </c>
      <c r="B25" s="6">
        <v>0</v>
      </c>
      <c r="C25" s="1">
        <v>0</v>
      </c>
      <c r="D25" s="1">
        <v>0</v>
      </c>
      <c r="E25" s="1">
        <v>0</v>
      </c>
      <c r="F25" s="1">
        <v>0</v>
      </c>
      <c r="G25" s="9">
        <f>SUM(ME_FINANCIAL)</f>
        <v>0</v>
      </c>
      <c r="I25" s="13"/>
      <c r="J25" s="16"/>
      <c r="L25" s="6"/>
      <c r="V25" s="9"/>
    </row>
    <row r="26" spans="1:22">
      <c r="A26" s="1" t="s">
        <v>45</v>
      </c>
      <c r="B26" s="6">
        <v>0</v>
      </c>
      <c r="C26" s="1">
        <v>0</v>
      </c>
      <c r="D26" s="1">
        <v>135.57042565856977</v>
      </c>
      <c r="E26" s="1">
        <v>0</v>
      </c>
      <c r="F26" s="1">
        <v>0</v>
      </c>
      <c r="G26" s="9">
        <f>SUM(MD_FINANCIAL)</f>
        <v>135.57042565856977</v>
      </c>
      <c r="I26" s="13" t="s">
        <v>46</v>
      </c>
      <c r="J26" s="16">
        <f>SUM(ADD_FINANCIAL)-SUM(LESS_FINANCIAL)</f>
        <v>4051414.91</v>
      </c>
      <c r="L26" s="6"/>
      <c r="V26" s="9"/>
    </row>
    <row r="27" spans="1:22">
      <c r="A27" s="1" t="s">
        <v>47</v>
      </c>
      <c r="B27" s="6">
        <v>0</v>
      </c>
      <c r="C27" s="1">
        <v>0</v>
      </c>
      <c r="D27" s="1">
        <v>0</v>
      </c>
      <c r="E27" s="1">
        <v>0</v>
      </c>
      <c r="F27" s="1">
        <v>0</v>
      </c>
      <c r="G27" s="9">
        <f>SUM(MA_FINANCIAL)</f>
        <v>0</v>
      </c>
      <c r="I27" s="13" t="s">
        <v>48</v>
      </c>
      <c r="J27" s="16">
        <f>SUM(ALL_BLOCKS)</f>
        <v>4051414.9099999983</v>
      </c>
      <c r="L27" s="6"/>
      <c r="V27" s="9"/>
    </row>
    <row r="28" spans="1:22">
      <c r="A28" s="1" t="s">
        <v>49</v>
      </c>
      <c r="B28" s="6">
        <v>0</v>
      </c>
      <c r="C28" s="1">
        <v>0</v>
      </c>
      <c r="D28" s="1">
        <v>543</v>
      </c>
      <c r="E28" s="1">
        <v>0</v>
      </c>
      <c r="F28" s="1">
        <v>0</v>
      </c>
      <c r="G28" s="9">
        <f>SUM(MI_FINANCIAL)</f>
        <v>543</v>
      </c>
      <c r="I28" s="14"/>
      <c r="J28" s="17"/>
      <c r="L28" s="6"/>
      <c r="V28" s="9"/>
    </row>
    <row r="29" spans="1:22">
      <c r="A29" s="1" t="s">
        <v>50</v>
      </c>
      <c r="B29" s="6">
        <v>0</v>
      </c>
      <c r="C29" s="1">
        <v>0</v>
      </c>
      <c r="D29" s="1">
        <v>0</v>
      </c>
      <c r="E29" s="1">
        <v>0</v>
      </c>
      <c r="F29" s="1">
        <v>0</v>
      </c>
      <c r="G29" s="9">
        <f>SUM(MN_FINANCIAL)</f>
        <v>0</v>
      </c>
      <c r="L29" s="6"/>
      <c r="V29" s="9"/>
    </row>
    <row r="30" spans="1:22">
      <c r="A30" s="1" t="s">
        <v>51</v>
      </c>
      <c r="B30" s="6">
        <v>0</v>
      </c>
      <c r="C30" s="1">
        <v>0</v>
      </c>
      <c r="D30" s="1">
        <v>0</v>
      </c>
      <c r="E30" s="1">
        <v>0</v>
      </c>
      <c r="F30" s="1">
        <v>0</v>
      </c>
      <c r="G30" s="9">
        <f>SUM(MS_FINANCIAL)</f>
        <v>0</v>
      </c>
      <c r="L30" s="6"/>
      <c r="V30" s="9"/>
    </row>
    <row r="31" spans="1:22">
      <c r="A31" s="1" t="s">
        <v>52</v>
      </c>
      <c r="B31" s="6">
        <v>0</v>
      </c>
      <c r="C31" s="1">
        <v>0</v>
      </c>
      <c r="D31" s="1">
        <v>1233.2544978933638</v>
      </c>
      <c r="E31" s="1">
        <v>0</v>
      </c>
      <c r="F31" s="1">
        <v>0</v>
      </c>
      <c r="G31" s="9">
        <f>SUM(MO_FINANCIAL)</f>
        <v>1233.2544978933638</v>
      </c>
      <c r="L31" s="6"/>
      <c r="V31" s="9"/>
    </row>
    <row r="32" spans="1:22">
      <c r="A32" s="1" t="s">
        <v>53</v>
      </c>
      <c r="B32" s="6">
        <v>0</v>
      </c>
      <c r="C32" s="1">
        <v>0</v>
      </c>
      <c r="D32" s="1">
        <v>0</v>
      </c>
      <c r="E32" s="1">
        <v>0</v>
      </c>
      <c r="F32" s="1">
        <v>0</v>
      </c>
      <c r="G32" s="9">
        <f>SUM(MT_FINANCIAL)</f>
        <v>0</v>
      </c>
      <c r="L32" s="6"/>
      <c r="V32" s="9"/>
    </row>
    <row r="33" spans="1:22">
      <c r="A33" s="1" t="s">
        <v>54</v>
      </c>
      <c r="B33" s="6">
        <v>0</v>
      </c>
      <c r="C33" s="1">
        <v>0</v>
      </c>
      <c r="D33" s="1">
        <v>302.28345773178216</v>
      </c>
      <c r="E33" s="1">
        <v>0</v>
      </c>
      <c r="F33" s="1">
        <v>0</v>
      </c>
      <c r="G33" s="9">
        <f>SUM(NE_FINANCIAL)</f>
        <v>302.28345773178216</v>
      </c>
      <c r="L33" s="6"/>
      <c r="V33" s="9"/>
    </row>
    <row r="34" spans="1:22">
      <c r="A34" s="1" t="s">
        <v>55</v>
      </c>
      <c r="B34" s="6">
        <v>0</v>
      </c>
      <c r="C34" s="1">
        <v>0</v>
      </c>
      <c r="D34" s="1">
        <v>76.329091726097886</v>
      </c>
      <c r="E34" s="1">
        <v>0</v>
      </c>
      <c r="F34" s="1">
        <v>0</v>
      </c>
      <c r="G34" s="9">
        <f>SUM(NV_FINANCIAL)</f>
        <v>76.329091726097886</v>
      </c>
      <c r="L34" s="6"/>
      <c r="V34" s="9"/>
    </row>
    <row r="35" spans="1:22">
      <c r="A35" s="1" t="s">
        <v>56</v>
      </c>
      <c r="B35" s="6">
        <v>0</v>
      </c>
      <c r="C35" s="1">
        <v>0</v>
      </c>
      <c r="D35" s="1">
        <v>0</v>
      </c>
      <c r="E35" s="1">
        <v>0</v>
      </c>
      <c r="F35" s="1">
        <v>0</v>
      </c>
      <c r="G35" s="9">
        <f>SUM(NH_FINANCIAL)</f>
        <v>0</v>
      </c>
      <c r="L35" s="6"/>
      <c r="V35" s="9"/>
    </row>
    <row r="36" spans="1:22">
      <c r="A36" s="1" t="s">
        <v>57</v>
      </c>
      <c r="B36" s="6">
        <v>0</v>
      </c>
      <c r="C36" s="1">
        <v>0</v>
      </c>
      <c r="D36" s="1">
        <v>0</v>
      </c>
      <c r="E36" s="1">
        <v>0</v>
      </c>
      <c r="F36" s="1">
        <v>0</v>
      </c>
      <c r="G36" s="9">
        <f>SUM(NJ_FINANCIAL)</f>
        <v>0</v>
      </c>
      <c r="L36" s="6"/>
      <c r="V36" s="9"/>
    </row>
    <row r="37" spans="1:22">
      <c r="A37" s="1" t="s">
        <v>58</v>
      </c>
      <c r="B37" s="6">
        <v>0</v>
      </c>
      <c r="C37" s="1">
        <v>0</v>
      </c>
      <c r="D37" s="1">
        <v>866.68582733229778</v>
      </c>
      <c r="E37" s="1">
        <v>0</v>
      </c>
      <c r="F37" s="1">
        <v>0</v>
      </c>
      <c r="G37" s="9">
        <f>SUM(NM_FINANCIAL)</f>
        <v>866.68582733229778</v>
      </c>
      <c r="L37" s="6"/>
      <c r="V37" s="9"/>
    </row>
    <row r="38" spans="1:22">
      <c r="A38" s="1" t="s">
        <v>59</v>
      </c>
      <c r="B38" s="6">
        <v>0</v>
      </c>
      <c r="C38" s="1">
        <v>0</v>
      </c>
      <c r="D38" s="1">
        <v>0</v>
      </c>
      <c r="E38" s="1">
        <v>0</v>
      </c>
      <c r="F38" s="1">
        <v>0</v>
      </c>
      <c r="G38" s="9">
        <f>SUM(NY_FINANCIAL)</f>
        <v>0</v>
      </c>
      <c r="L38" s="6"/>
      <c r="V38" s="9"/>
    </row>
    <row r="39" spans="1:22">
      <c r="A39" s="1" t="s">
        <v>60</v>
      </c>
      <c r="B39" s="6">
        <v>0</v>
      </c>
      <c r="C39" s="1">
        <v>0</v>
      </c>
      <c r="D39" s="1">
        <v>0</v>
      </c>
      <c r="E39" s="1">
        <v>0</v>
      </c>
      <c r="F39" s="1">
        <v>0</v>
      </c>
      <c r="G39" s="9">
        <f>SUM(NC_FINANCIAL)</f>
        <v>0</v>
      </c>
      <c r="L39" s="6"/>
      <c r="V39" s="9"/>
    </row>
    <row r="40" spans="1:22">
      <c r="A40" s="1" t="s">
        <v>61</v>
      </c>
      <c r="B40" s="6">
        <v>0</v>
      </c>
      <c r="C40" s="1">
        <v>0</v>
      </c>
      <c r="D40" s="1">
        <v>11.043878896813112</v>
      </c>
      <c r="E40" s="1">
        <v>0</v>
      </c>
      <c r="F40" s="1">
        <v>0</v>
      </c>
      <c r="G40" s="9">
        <f>SUM(ND_FINANCIAL)</f>
        <v>11.043878896813112</v>
      </c>
      <c r="L40" s="6"/>
      <c r="V40" s="9"/>
    </row>
    <row r="41" spans="1:22">
      <c r="A41" s="1" t="s">
        <v>62</v>
      </c>
      <c r="B41" s="6">
        <v>0</v>
      </c>
      <c r="C41" s="1">
        <v>0</v>
      </c>
      <c r="D41" s="1">
        <v>83.351031174504499</v>
      </c>
      <c r="E41" s="1">
        <v>0</v>
      </c>
      <c r="F41" s="1">
        <v>0</v>
      </c>
      <c r="G41" s="9">
        <f>SUM(OH_FINANCIAL)</f>
        <v>83.351031174504499</v>
      </c>
      <c r="L41" s="6"/>
      <c r="V41" s="9"/>
    </row>
    <row r="42" spans="1:22">
      <c r="A42" s="1" t="s">
        <v>63</v>
      </c>
      <c r="B42" s="6">
        <v>0</v>
      </c>
      <c r="C42" s="1">
        <v>0</v>
      </c>
      <c r="D42" s="1">
        <v>722507.14408288943</v>
      </c>
      <c r="E42" s="1">
        <v>0</v>
      </c>
      <c r="F42" s="1">
        <v>0</v>
      </c>
      <c r="G42" s="9">
        <f>SUM(OK_FINANCIAL)</f>
        <v>722507.14408288943</v>
      </c>
      <c r="L42" s="6">
        <v>147600</v>
      </c>
      <c r="M42" s="1">
        <v>21200</v>
      </c>
      <c r="O42" s="1">
        <v>0</v>
      </c>
      <c r="P42" s="1">
        <v>0</v>
      </c>
      <c r="R42" s="1">
        <v>1472400</v>
      </c>
      <c r="S42" s="1">
        <v>818800</v>
      </c>
      <c r="U42" s="1">
        <v>0</v>
      </c>
      <c r="V42" s="9">
        <v>0</v>
      </c>
    </row>
    <row r="43" spans="1:22">
      <c r="A43" s="1" t="s">
        <v>64</v>
      </c>
      <c r="B43" s="6">
        <v>0</v>
      </c>
      <c r="C43" s="1">
        <v>0</v>
      </c>
      <c r="D43" s="1">
        <v>249.06406324771672</v>
      </c>
      <c r="E43" s="1">
        <v>0</v>
      </c>
      <c r="F43" s="1">
        <v>0</v>
      </c>
      <c r="G43" s="9">
        <f>SUM(OR_FINANCIAL)</f>
        <v>249.06406324771672</v>
      </c>
      <c r="L43" s="6"/>
      <c r="V43" s="9"/>
    </row>
    <row r="44" spans="1:22">
      <c r="A44" s="1" t="s">
        <v>65</v>
      </c>
      <c r="B44" s="6">
        <v>0</v>
      </c>
      <c r="C44" s="1">
        <v>0</v>
      </c>
      <c r="D44" s="1">
        <v>0</v>
      </c>
      <c r="E44" s="1">
        <v>0</v>
      </c>
      <c r="F44" s="1">
        <v>0</v>
      </c>
      <c r="G44" s="9">
        <f>SUM(PA_FINANCIAL)</f>
        <v>0</v>
      </c>
      <c r="L44" s="6"/>
      <c r="V44" s="9"/>
    </row>
    <row r="45" spans="1:22">
      <c r="A45" s="1" t="s">
        <v>66</v>
      </c>
      <c r="B45" s="6">
        <v>0</v>
      </c>
      <c r="C45" s="1">
        <v>0</v>
      </c>
      <c r="D45" s="1">
        <v>0</v>
      </c>
      <c r="E45" s="1">
        <v>0</v>
      </c>
      <c r="F45" s="1">
        <v>0</v>
      </c>
      <c r="G45" s="9">
        <f>SUM(PR_FINANCIAL)</f>
        <v>0</v>
      </c>
      <c r="L45" s="6"/>
      <c r="V45" s="9"/>
    </row>
    <row r="46" spans="1:22">
      <c r="A46" s="1" t="s">
        <v>67</v>
      </c>
      <c r="B46" s="6">
        <v>0</v>
      </c>
      <c r="C46" s="1">
        <v>0</v>
      </c>
      <c r="D46" s="1">
        <v>0</v>
      </c>
      <c r="E46" s="1">
        <v>0</v>
      </c>
      <c r="F46" s="1">
        <v>0</v>
      </c>
      <c r="G46" s="9">
        <f>SUM(RI_FINANCIAL)</f>
        <v>0</v>
      </c>
      <c r="L46" s="6"/>
      <c r="V46" s="9"/>
    </row>
    <row r="47" spans="1:22">
      <c r="A47" s="1" t="s">
        <v>68</v>
      </c>
      <c r="B47" s="6">
        <v>0</v>
      </c>
      <c r="C47" s="1">
        <v>0</v>
      </c>
      <c r="D47" s="1">
        <v>1090.0421237993105</v>
      </c>
      <c r="E47" s="1">
        <v>0</v>
      </c>
      <c r="F47" s="1">
        <v>0</v>
      </c>
      <c r="G47" s="9">
        <f>SUM(SC_FINANCIAL)</f>
        <v>1090.0421237993105</v>
      </c>
      <c r="L47" s="6"/>
      <c r="V47" s="9"/>
    </row>
    <row r="48" spans="1:22">
      <c r="A48" s="1" t="s">
        <v>69</v>
      </c>
      <c r="B48" s="6">
        <v>0</v>
      </c>
      <c r="C48" s="1">
        <v>0</v>
      </c>
      <c r="D48" s="1">
        <v>0</v>
      </c>
      <c r="E48" s="1">
        <v>0</v>
      </c>
      <c r="F48" s="1">
        <v>0</v>
      </c>
      <c r="G48" s="9">
        <f>SUM(SD_FINANCIAL)</f>
        <v>0</v>
      </c>
      <c r="L48" s="6"/>
      <c r="V48" s="9"/>
    </row>
    <row r="49" spans="1:22">
      <c r="A49" s="1" t="s">
        <v>70</v>
      </c>
      <c r="B49" s="6">
        <v>0</v>
      </c>
      <c r="C49" s="1">
        <v>0</v>
      </c>
      <c r="D49" s="1">
        <v>29.120666966235916</v>
      </c>
      <c r="E49" s="1">
        <v>0</v>
      </c>
      <c r="F49" s="1">
        <v>0</v>
      </c>
      <c r="G49" s="9">
        <f>SUM(TN_FINANCIAL)</f>
        <v>29.120666966235916</v>
      </c>
      <c r="L49" s="6"/>
      <c r="V49" s="9"/>
    </row>
    <row r="50" spans="1:22">
      <c r="A50" s="1" t="s">
        <v>71</v>
      </c>
      <c r="B50" s="6">
        <v>0</v>
      </c>
      <c r="C50" s="1">
        <v>0</v>
      </c>
      <c r="D50" s="1">
        <v>1087724.7373642153</v>
      </c>
      <c r="E50" s="1">
        <v>0</v>
      </c>
      <c r="F50" s="1">
        <v>0</v>
      </c>
      <c r="G50" s="9">
        <f>SUM(TX_FINANCIAL)</f>
        <v>1087724.7373642153</v>
      </c>
      <c r="L50" s="6">
        <v>315058</v>
      </c>
      <c r="M50" s="1">
        <v>190587</v>
      </c>
      <c r="O50" s="1">
        <v>0</v>
      </c>
      <c r="P50" s="1">
        <v>0</v>
      </c>
      <c r="R50" s="1">
        <v>2835522</v>
      </c>
      <c r="S50" s="1">
        <v>1715283</v>
      </c>
      <c r="U50" s="1">
        <v>0</v>
      </c>
      <c r="V50" s="9">
        <v>0</v>
      </c>
    </row>
    <row r="51" spans="1:22">
      <c r="A51" s="1" t="s">
        <v>72</v>
      </c>
      <c r="B51" s="6">
        <v>0</v>
      </c>
      <c r="C51" s="1">
        <v>0</v>
      </c>
      <c r="D51" s="1">
        <v>60.252303656674485</v>
      </c>
      <c r="E51" s="1">
        <v>0</v>
      </c>
      <c r="F51" s="1">
        <v>0</v>
      </c>
      <c r="G51" s="9">
        <f>SUM(UT_FINANCIAL)</f>
        <v>60.252303656674485</v>
      </c>
      <c r="L51" s="6"/>
      <c r="V51" s="9"/>
    </row>
    <row r="52" spans="1:22">
      <c r="A52" s="1" t="s">
        <v>73</v>
      </c>
      <c r="B52" s="6">
        <v>0</v>
      </c>
      <c r="C52" s="1">
        <v>0</v>
      </c>
      <c r="D52" s="1">
        <v>0</v>
      </c>
      <c r="E52" s="1">
        <v>0</v>
      </c>
      <c r="F52" s="1">
        <v>0</v>
      </c>
      <c r="G52" s="9">
        <f>SUM(VT_FINANCIAL)</f>
        <v>0</v>
      </c>
      <c r="L52" s="6"/>
      <c r="V52" s="9"/>
    </row>
    <row r="53" spans="1:22">
      <c r="A53" s="1" t="s">
        <v>74</v>
      </c>
      <c r="B53" s="6">
        <v>0</v>
      </c>
      <c r="C53" s="1">
        <v>0</v>
      </c>
      <c r="D53" s="1">
        <v>1.0421237993105024</v>
      </c>
      <c r="E53" s="1">
        <v>0</v>
      </c>
      <c r="F53" s="1">
        <v>0</v>
      </c>
      <c r="G53" s="9">
        <f>SUM(VA_FINANCIAL)</f>
        <v>1.0421237993105024</v>
      </c>
      <c r="L53" s="6">
        <v>3200</v>
      </c>
      <c r="M53" s="1">
        <v>0</v>
      </c>
      <c r="O53" s="1">
        <v>0</v>
      </c>
      <c r="P53" s="1">
        <v>0</v>
      </c>
      <c r="R53" s="1">
        <v>0</v>
      </c>
      <c r="S53" s="1">
        <v>0</v>
      </c>
      <c r="U53" s="1">
        <v>0</v>
      </c>
      <c r="V53" s="9">
        <v>0</v>
      </c>
    </row>
    <row r="54" spans="1:22">
      <c r="A54" s="1" t="s">
        <v>75</v>
      </c>
      <c r="B54" s="6">
        <v>0</v>
      </c>
      <c r="C54" s="1">
        <v>0</v>
      </c>
      <c r="D54" s="1">
        <v>481.04036870180789</v>
      </c>
      <c r="E54" s="1">
        <v>0</v>
      </c>
      <c r="F54" s="1">
        <v>0</v>
      </c>
      <c r="G54" s="9">
        <f>SUM(WA_FINANCIAL)</f>
        <v>481.04036870180789</v>
      </c>
      <c r="L54" s="6"/>
      <c r="V54" s="9"/>
    </row>
    <row r="55" spans="1:22">
      <c r="A55" s="1" t="s">
        <v>76</v>
      </c>
      <c r="B55" s="6">
        <v>0</v>
      </c>
      <c r="C55" s="1">
        <v>0</v>
      </c>
      <c r="D55" s="1">
        <v>0</v>
      </c>
      <c r="E55" s="1">
        <v>0</v>
      </c>
      <c r="F55" s="1">
        <v>0</v>
      </c>
      <c r="G55" s="9">
        <f>SUM(WV_FINANCIAL)</f>
        <v>0</v>
      </c>
      <c r="L55" s="6"/>
      <c r="V55" s="9"/>
    </row>
    <row r="56" spans="1:22">
      <c r="A56" s="1" t="s">
        <v>77</v>
      </c>
      <c r="B56" s="6">
        <v>0</v>
      </c>
      <c r="C56" s="1">
        <v>0</v>
      </c>
      <c r="D56" s="1">
        <v>0</v>
      </c>
      <c r="E56" s="1">
        <v>0</v>
      </c>
      <c r="F56" s="1">
        <v>0</v>
      </c>
      <c r="G56" s="9">
        <f>SUM(WI_FINANCIAL)</f>
        <v>0</v>
      </c>
      <c r="L56" s="6"/>
      <c r="V56" s="9"/>
    </row>
    <row r="57" spans="1:22">
      <c r="A57" s="1" t="s">
        <v>78</v>
      </c>
      <c r="B57" s="6">
        <v>0</v>
      </c>
      <c r="C57" s="1">
        <v>0</v>
      </c>
      <c r="D57" s="1">
        <v>25.109697242032652</v>
      </c>
      <c r="E57" s="1">
        <v>0</v>
      </c>
      <c r="F57" s="1">
        <v>0</v>
      </c>
      <c r="G57" s="9">
        <f>SUM(WY_FINANCIAL)</f>
        <v>25.109697242032652</v>
      </c>
      <c r="L57" s="6"/>
      <c r="V57" s="9"/>
    </row>
    <row r="58" spans="1:22">
      <c r="A58" s="1" t="s">
        <v>79</v>
      </c>
      <c r="B58" s="6">
        <v>0</v>
      </c>
      <c r="C58" s="1">
        <v>0</v>
      </c>
      <c r="D58" s="1">
        <v>0</v>
      </c>
      <c r="E58" s="1">
        <v>0</v>
      </c>
      <c r="F58" s="1">
        <v>0</v>
      </c>
      <c r="G58" s="9">
        <f>SUM(OT_FINANCIAL)</f>
        <v>0</v>
      </c>
      <c r="L58" s="6"/>
      <c r="V58" s="9"/>
    </row>
    <row r="59" spans="1:22">
      <c r="B59" s="6"/>
      <c r="G59" s="9"/>
      <c r="L59" s="6"/>
      <c r="V59" s="9"/>
    </row>
    <row r="60" spans="1:22">
      <c r="A60" s="1" t="s">
        <v>8</v>
      </c>
      <c r="B60" s="6">
        <f>SUM(LIFE)</f>
        <v>0</v>
      </c>
      <c r="C60" s="1">
        <f>SUM(ALLOCATED)</f>
        <v>0</v>
      </c>
      <c r="D60" s="1">
        <f>SUM(HEALTH)</f>
        <v>4051414.9099999983</v>
      </c>
      <c r="E60" s="1">
        <f>SUM(UNALLOCATED)</f>
        <v>0</v>
      </c>
      <c r="F60" s="1">
        <f>SUM(LTC)</f>
        <v>0</v>
      </c>
      <c r="G60" s="9">
        <f>SUM(ALL_BLOCKS)</f>
        <v>4051414.9099999983</v>
      </c>
      <c r="L60" s="6">
        <f>SUM(LIFE_CALLED)</f>
        <v>645876</v>
      </c>
      <c r="M60" s="1">
        <f>SUM(LIFE_REFUNDED)</f>
        <v>211787</v>
      </c>
      <c r="O60" s="1">
        <f>SUM(ALLOC_CALLED)</f>
        <v>0</v>
      </c>
      <c r="P60" s="1">
        <f>SUM(ALLOC_REFUNDED)</f>
        <v>0</v>
      </c>
      <c r="R60" s="1">
        <f>SUM(HEALTH_CALLED)</f>
        <v>11548200</v>
      </c>
      <c r="S60" s="1">
        <f>SUM(HEALTH_REFUNDED)</f>
        <v>2534083</v>
      </c>
      <c r="U60" s="1">
        <f>SUM(UNALLOC_CALLED)</f>
        <v>0</v>
      </c>
      <c r="V60" s="9">
        <f>SUM(UNALLOC_REFUNDED)</f>
        <v>0</v>
      </c>
    </row>
    <row r="61" spans="1:22" ht="5.0999999999999996" customHeight="1">
      <c r="B61" s="6"/>
      <c r="G61" s="9"/>
      <c r="L61" s="6"/>
      <c r="V61" s="9"/>
    </row>
    <row r="62" spans="1:22">
      <c r="B62" s="6"/>
      <c r="G62" s="9"/>
      <c r="L62" s="78" t="s">
        <v>80</v>
      </c>
      <c r="M62" s="79"/>
      <c r="N62" s="79"/>
      <c r="O62" s="79"/>
      <c r="P62" s="79"/>
      <c r="Q62" s="79"/>
      <c r="R62" s="79"/>
      <c r="S62" s="79"/>
      <c r="T62" s="79"/>
      <c r="U62" s="79"/>
      <c r="V62" s="80"/>
    </row>
    <row r="63" spans="1:22">
      <c r="B63" s="6"/>
      <c r="G63" s="9"/>
      <c r="L63" s="81"/>
      <c r="M63" s="79"/>
      <c r="N63" s="79"/>
      <c r="O63" s="79"/>
      <c r="P63" s="79"/>
      <c r="Q63" s="79"/>
      <c r="R63" s="79"/>
      <c r="S63" s="79"/>
      <c r="T63" s="79"/>
      <c r="U63" s="79"/>
      <c r="V63" s="80"/>
    </row>
    <row r="64" spans="1:22">
      <c r="B64" s="8"/>
      <c r="C64" s="5"/>
      <c r="D64" s="5"/>
      <c r="E64" s="5"/>
      <c r="F64" s="5"/>
      <c r="G64" s="11"/>
      <c r="L64" s="82"/>
      <c r="M64" s="83"/>
      <c r="N64" s="83"/>
      <c r="O64" s="83"/>
      <c r="P64" s="83"/>
      <c r="Q64" s="83"/>
      <c r="R64" s="83"/>
      <c r="S64" s="83"/>
      <c r="T64" s="83"/>
      <c r="U64" s="83"/>
      <c r="V64" s="84"/>
    </row>
  </sheetData>
  <mergeCells count="8">
    <mergeCell ref="L62:V64"/>
    <mergeCell ref="A1:G1"/>
    <mergeCell ref="B3:G3"/>
    <mergeCell ref="L3:V3"/>
    <mergeCell ref="L4:M4"/>
    <mergeCell ref="O4:P4"/>
    <mergeCell ref="R4:S4"/>
    <mergeCell ref="U4:V4"/>
  </mergeCells>
  <pageMargins left="0" right="0" top="0" bottom="0" header="0" footer="0"/>
  <pageSetup scale="48" orientation="landscape"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pageSetUpPr fitToPage="1"/>
  </sheetPr>
  <dimension ref="A1:V64"/>
  <sheetViews>
    <sheetView zoomScale="75" workbookViewId="0">
      <selection sqref="A1:G1"/>
    </sheetView>
  </sheetViews>
  <sheetFormatPr defaultColWidth="9.109375" defaultRowHeight="14.4"/>
  <cols>
    <col min="1" max="1" width="20" style="1" customWidth="1"/>
    <col min="2" max="7" width="15" style="1" customWidth="1"/>
    <col min="8" max="8" width="1" style="1" customWidth="1"/>
    <col min="9" max="9" width="30" style="1" customWidth="1"/>
    <col min="10" max="10" width="15" style="1" customWidth="1"/>
    <col min="11" max="11" width="1" style="1" customWidth="1"/>
    <col min="12" max="13" width="15" style="1" customWidth="1"/>
    <col min="14" max="14" width="1" style="1" customWidth="1"/>
    <col min="15" max="16" width="15" style="1" customWidth="1"/>
    <col min="17" max="17" width="1" style="1" customWidth="1"/>
    <col min="18" max="19" width="15" style="1" customWidth="1"/>
    <col min="20" max="20" width="1" style="1" customWidth="1"/>
    <col min="21" max="22" width="15" style="1" customWidth="1"/>
    <col min="23" max="23" width="9.109375" style="1" customWidth="1"/>
    <col min="24" max="16384" width="9.109375" style="1"/>
  </cols>
  <sheetData>
    <row r="1" spans="1:22">
      <c r="A1" s="85" t="s">
        <v>170</v>
      </c>
      <c r="B1" s="79"/>
      <c r="C1" s="79"/>
      <c r="D1" s="79"/>
      <c r="E1" s="79"/>
      <c r="F1" s="79"/>
      <c r="G1" s="79"/>
    </row>
    <row r="3" spans="1:22">
      <c r="B3" s="86" t="s">
        <v>1</v>
      </c>
      <c r="C3" s="87"/>
      <c r="D3" s="87"/>
      <c r="E3" s="87"/>
      <c r="F3" s="87"/>
      <c r="G3" s="88"/>
      <c r="L3" s="89" t="s">
        <v>2</v>
      </c>
      <c r="M3" s="90"/>
      <c r="N3" s="90"/>
      <c r="O3" s="90"/>
      <c r="P3" s="90"/>
      <c r="Q3" s="90"/>
      <c r="R3" s="90"/>
      <c r="S3" s="90"/>
      <c r="T3" s="90"/>
      <c r="U3" s="90"/>
      <c r="V3" s="91"/>
    </row>
    <row r="4" spans="1:22">
      <c r="B4" s="6"/>
      <c r="G4" s="9"/>
      <c r="L4" s="92" t="s">
        <v>3</v>
      </c>
      <c r="M4" s="93"/>
      <c r="N4" s="3"/>
      <c r="O4" s="94" t="s">
        <v>4</v>
      </c>
      <c r="P4" s="93"/>
      <c r="Q4" s="3"/>
      <c r="R4" s="94" t="s">
        <v>5</v>
      </c>
      <c r="S4" s="93"/>
      <c r="T4" s="3"/>
      <c r="U4" s="94" t="s">
        <v>6</v>
      </c>
      <c r="V4" s="95"/>
    </row>
    <row r="5" spans="1:22" ht="60" customHeight="1">
      <c r="B5" s="7" t="s">
        <v>3</v>
      </c>
      <c r="C5" s="4" t="s">
        <v>4</v>
      </c>
      <c r="D5" s="4" t="s">
        <v>5</v>
      </c>
      <c r="E5" s="4" t="s">
        <v>6</v>
      </c>
      <c r="F5" s="4" t="s">
        <v>7</v>
      </c>
      <c r="G5" s="10" t="s">
        <v>8</v>
      </c>
      <c r="L5" s="19" t="s">
        <v>9</v>
      </c>
      <c r="M5" s="18" t="s">
        <v>10</v>
      </c>
      <c r="N5" s="18"/>
      <c r="O5" s="18" t="s">
        <v>9</v>
      </c>
      <c r="P5" s="18" t="s">
        <v>10</v>
      </c>
      <c r="Q5" s="18"/>
      <c r="R5" s="18" t="s">
        <v>9</v>
      </c>
      <c r="S5" s="18" t="s">
        <v>10</v>
      </c>
      <c r="T5" s="18"/>
      <c r="U5" s="18" t="s">
        <v>9</v>
      </c>
      <c r="V5" s="20" t="s">
        <v>10</v>
      </c>
    </row>
    <row r="6" spans="1:22">
      <c r="A6" s="1" t="s">
        <v>11</v>
      </c>
      <c r="B6" s="6">
        <v>15033.139524733648</v>
      </c>
      <c r="C6" s="1">
        <v>1930.9984012742061</v>
      </c>
      <c r="D6" s="1">
        <v>0</v>
      </c>
      <c r="E6" s="1">
        <v>0</v>
      </c>
      <c r="F6" s="1">
        <v>0</v>
      </c>
      <c r="G6" s="9">
        <f>SUM(AL_FINANCIAL)</f>
        <v>16964.137926007854</v>
      </c>
      <c r="L6" s="6">
        <v>1082000</v>
      </c>
      <c r="M6" s="1">
        <v>0</v>
      </c>
      <c r="O6" s="1">
        <v>117801</v>
      </c>
      <c r="P6" s="1">
        <v>0</v>
      </c>
      <c r="R6" s="1">
        <v>0</v>
      </c>
      <c r="S6" s="1">
        <v>0</v>
      </c>
      <c r="U6" s="1">
        <v>0</v>
      </c>
      <c r="V6" s="9">
        <v>0</v>
      </c>
    </row>
    <row r="7" spans="1:22">
      <c r="A7" s="1" t="s">
        <v>12</v>
      </c>
      <c r="B7" s="6">
        <v>1696.0883189567812</v>
      </c>
      <c r="C7" s="1">
        <v>8794.1788358368503</v>
      </c>
      <c r="D7" s="1">
        <v>0</v>
      </c>
      <c r="E7" s="1">
        <v>0</v>
      </c>
      <c r="F7" s="1">
        <v>0</v>
      </c>
      <c r="G7" s="9">
        <f>SUM(AK_FINANCIAL)</f>
        <v>10490.267154793632</v>
      </c>
      <c r="I7" s="12"/>
      <c r="J7" s="15"/>
      <c r="L7" s="6">
        <v>11000</v>
      </c>
      <c r="M7" s="1">
        <v>5200</v>
      </c>
      <c r="O7" s="1">
        <v>36000</v>
      </c>
      <c r="P7" s="1">
        <v>20800</v>
      </c>
      <c r="R7" s="1">
        <v>0</v>
      </c>
      <c r="S7" s="1">
        <v>8000</v>
      </c>
      <c r="U7" s="1">
        <v>0</v>
      </c>
      <c r="V7" s="9">
        <v>0</v>
      </c>
    </row>
    <row r="8" spans="1:22">
      <c r="A8" s="1" t="s">
        <v>13</v>
      </c>
      <c r="B8" s="6">
        <v>200434.70171443722</v>
      </c>
      <c r="C8" s="1">
        <v>-134705.72472594678</v>
      </c>
      <c r="D8" s="1">
        <v>0</v>
      </c>
      <c r="E8" s="1">
        <v>0</v>
      </c>
      <c r="F8" s="1">
        <v>0</v>
      </c>
      <c r="G8" s="9">
        <f>SUM(AZ_FINANCIAL)</f>
        <v>65728.976988490438</v>
      </c>
      <c r="I8" s="13" t="s">
        <v>14</v>
      </c>
      <c r="J8" s="16"/>
      <c r="L8" s="6">
        <v>847395</v>
      </c>
      <c r="M8" s="1">
        <v>0</v>
      </c>
      <c r="O8" s="1">
        <v>484870</v>
      </c>
      <c r="P8" s="1">
        <v>0</v>
      </c>
      <c r="R8" s="1">
        <v>0</v>
      </c>
      <c r="S8" s="1">
        <v>0</v>
      </c>
      <c r="U8" s="1">
        <v>0</v>
      </c>
      <c r="V8" s="9">
        <v>0</v>
      </c>
    </row>
    <row r="9" spans="1:22">
      <c r="A9" s="1" t="s">
        <v>15</v>
      </c>
      <c r="B9" s="6">
        <v>41306.379822698771</v>
      </c>
      <c r="C9" s="1">
        <v>-17666.234364808013</v>
      </c>
      <c r="D9" s="1">
        <v>0</v>
      </c>
      <c r="E9" s="1">
        <v>0</v>
      </c>
      <c r="F9" s="1">
        <v>0</v>
      </c>
      <c r="G9" s="9">
        <f>SUM(AR_FINANCIAL)</f>
        <v>23640.145457890758</v>
      </c>
      <c r="I9" s="13"/>
      <c r="J9" s="16"/>
      <c r="L9" s="6">
        <v>1011744</v>
      </c>
      <c r="M9" s="1">
        <v>0</v>
      </c>
      <c r="O9" s="1">
        <v>0</v>
      </c>
      <c r="P9" s="1">
        <v>0</v>
      </c>
      <c r="R9" s="1">
        <v>0</v>
      </c>
      <c r="S9" s="1">
        <v>0</v>
      </c>
      <c r="U9" s="1">
        <v>0</v>
      </c>
      <c r="V9" s="9">
        <v>0</v>
      </c>
    </row>
    <row r="10" spans="1:22">
      <c r="A10" s="1" t="s">
        <v>16</v>
      </c>
      <c r="B10" s="6">
        <v>245460.74382022582</v>
      </c>
      <c r="C10" s="1">
        <v>10197.563119923463</v>
      </c>
      <c r="D10" s="1">
        <v>0</v>
      </c>
      <c r="E10" s="1">
        <v>0</v>
      </c>
      <c r="F10" s="1">
        <v>0</v>
      </c>
      <c r="G10" s="9">
        <f>SUM(CA_FINANCIAL)</f>
        <v>255658.30694014928</v>
      </c>
      <c r="I10" s="13" t="s">
        <v>17</v>
      </c>
      <c r="J10" s="16">
        <v>141366350.56000003</v>
      </c>
      <c r="L10" s="6">
        <v>6365000</v>
      </c>
      <c r="M10" s="1">
        <v>6300000</v>
      </c>
      <c r="O10" s="1">
        <v>3135000</v>
      </c>
      <c r="P10" s="1">
        <v>3340000</v>
      </c>
      <c r="R10" s="1">
        <v>0</v>
      </c>
      <c r="S10" s="1">
        <v>0</v>
      </c>
      <c r="U10" s="1">
        <v>0</v>
      </c>
      <c r="V10" s="9">
        <v>0</v>
      </c>
    </row>
    <row r="11" spans="1:22">
      <c r="A11" s="1" t="s">
        <v>18</v>
      </c>
      <c r="B11" s="6">
        <v>244812.15534861898</v>
      </c>
      <c r="C11" s="1">
        <v>20929.651603151869</v>
      </c>
      <c r="D11" s="1">
        <v>0</v>
      </c>
      <c r="E11" s="1">
        <v>0</v>
      </c>
      <c r="F11" s="1">
        <v>0</v>
      </c>
      <c r="G11" s="9">
        <f>SUM(CO_FINANCIAL)</f>
        <v>265741.80695177085</v>
      </c>
      <c r="I11" s="13"/>
      <c r="J11" s="16"/>
      <c r="L11" s="6">
        <v>5700000</v>
      </c>
      <c r="M11" s="1">
        <v>15030160</v>
      </c>
      <c r="O11" s="1">
        <v>0</v>
      </c>
      <c r="P11" s="1">
        <v>0</v>
      </c>
      <c r="R11" s="1">
        <v>0</v>
      </c>
      <c r="S11" s="1">
        <v>0</v>
      </c>
      <c r="U11" s="1">
        <v>0</v>
      </c>
      <c r="V11" s="9">
        <v>0</v>
      </c>
    </row>
    <row r="12" spans="1:22">
      <c r="A12" s="1" t="s">
        <v>19</v>
      </c>
      <c r="B12" s="6">
        <v>0</v>
      </c>
      <c r="C12" s="1">
        <v>0</v>
      </c>
      <c r="D12" s="1">
        <v>0</v>
      </c>
      <c r="E12" s="1">
        <v>0</v>
      </c>
      <c r="F12" s="1">
        <v>0</v>
      </c>
      <c r="G12" s="9">
        <f>SUM(CT_FINANCIAL)</f>
        <v>0</v>
      </c>
      <c r="I12" s="13" t="s">
        <v>20</v>
      </c>
      <c r="J12" s="16"/>
      <c r="L12" s="6"/>
      <c r="V12" s="9"/>
    </row>
    <row r="13" spans="1:22">
      <c r="A13" s="1" t="s">
        <v>21</v>
      </c>
      <c r="B13" s="6">
        <v>-15854.902828277205</v>
      </c>
      <c r="C13" s="1">
        <v>-7738.633765920822</v>
      </c>
      <c r="D13" s="1">
        <v>59992.71</v>
      </c>
      <c r="E13" s="1">
        <v>0</v>
      </c>
      <c r="F13" s="1">
        <v>0</v>
      </c>
      <c r="G13" s="9">
        <f>SUM(DE_FINANCIAL)</f>
        <v>36399.173405801972</v>
      </c>
      <c r="I13" s="13" t="s">
        <v>22</v>
      </c>
      <c r="J13" s="16">
        <v>3042199.1999999997</v>
      </c>
      <c r="L13" s="6">
        <v>361000</v>
      </c>
      <c r="M13" s="1">
        <v>0</v>
      </c>
      <c r="O13" s="1">
        <v>114000</v>
      </c>
      <c r="P13" s="1">
        <v>0</v>
      </c>
      <c r="R13" s="1">
        <v>25000</v>
      </c>
      <c r="S13" s="1">
        <v>0</v>
      </c>
      <c r="U13" s="1">
        <v>0</v>
      </c>
      <c r="V13" s="9">
        <v>0</v>
      </c>
    </row>
    <row r="14" spans="1:22">
      <c r="A14" s="1" t="s">
        <v>23</v>
      </c>
      <c r="B14" s="6">
        <v>5686.0951519903028</v>
      </c>
      <c r="C14" s="1">
        <v>3192.5713592918037</v>
      </c>
      <c r="D14" s="1">
        <v>0</v>
      </c>
      <c r="E14" s="1">
        <v>0</v>
      </c>
      <c r="F14" s="1">
        <v>0</v>
      </c>
      <c r="G14" s="9">
        <f>SUM(DC_FINANCIAL)</f>
        <v>8878.6665112821065</v>
      </c>
      <c r="I14" s="13" t="s">
        <v>24</v>
      </c>
      <c r="J14" s="16">
        <v>2455021.1100000003</v>
      </c>
      <c r="L14" s="6">
        <v>200000</v>
      </c>
      <c r="M14" s="1">
        <v>194500</v>
      </c>
      <c r="O14" s="1">
        <v>150000</v>
      </c>
      <c r="P14" s="1">
        <v>141500</v>
      </c>
      <c r="R14" s="1">
        <v>0</v>
      </c>
      <c r="S14" s="1">
        <v>0</v>
      </c>
      <c r="U14" s="1">
        <v>0</v>
      </c>
      <c r="V14" s="9">
        <v>0</v>
      </c>
    </row>
    <row r="15" spans="1:22">
      <c r="A15" s="1" t="s">
        <v>25</v>
      </c>
      <c r="B15" s="6">
        <v>176795.12698143907</v>
      </c>
      <c r="C15" s="1">
        <v>94640.230854301713</v>
      </c>
      <c r="D15" s="1">
        <v>0</v>
      </c>
      <c r="E15" s="1">
        <v>0</v>
      </c>
      <c r="F15" s="1">
        <v>0</v>
      </c>
      <c r="G15" s="9">
        <f>SUM(FL_FINANCIAL)</f>
        <v>271435.35783574078</v>
      </c>
      <c r="I15" s="13" t="s">
        <v>26</v>
      </c>
      <c r="J15" s="16">
        <v>1394696.36</v>
      </c>
      <c r="L15" s="6">
        <v>5150000</v>
      </c>
      <c r="M15" s="1">
        <v>0</v>
      </c>
      <c r="O15" s="1">
        <v>5000000</v>
      </c>
      <c r="P15" s="1">
        <v>0</v>
      </c>
      <c r="R15" s="1">
        <v>0</v>
      </c>
      <c r="S15" s="1">
        <v>0</v>
      </c>
      <c r="U15" s="1">
        <v>0</v>
      </c>
      <c r="V15" s="9">
        <v>0</v>
      </c>
    </row>
    <row r="16" spans="1:22">
      <c r="A16" s="1" t="s">
        <v>27</v>
      </c>
      <c r="B16" s="6">
        <v>63913.804693051614</v>
      </c>
      <c r="C16" s="1">
        <v>31834.704450637335</v>
      </c>
      <c r="D16" s="1">
        <v>0</v>
      </c>
      <c r="E16" s="1">
        <v>0</v>
      </c>
      <c r="F16" s="1">
        <v>0</v>
      </c>
      <c r="G16" s="9">
        <f>SUM(GA_FINANCIAL)</f>
        <v>95748.509143688949</v>
      </c>
      <c r="I16" s="13" t="s">
        <v>28</v>
      </c>
      <c r="J16" s="16">
        <v>0</v>
      </c>
      <c r="L16" s="6">
        <v>3383146</v>
      </c>
      <c r="M16" s="1">
        <v>0</v>
      </c>
      <c r="O16" s="1">
        <v>1116854</v>
      </c>
      <c r="P16" s="1">
        <v>54811.68</v>
      </c>
      <c r="R16" s="1">
        <v>0</v>
      </c>
      <c r="S16" s="1">
        <v>0</v>
      </c>
      <c r="U16" s="1">
        <v>0</v>
      </c>
      <c r="V16" s="9">
        <v>0</v>
      </c>
    </row>
    <row r="17" spans="1:22">
      <c r="A17" s="1" t="s">
        <v>29</v>
      </c>
      <c r="B17" s="6">
        <v>2391.7201478318511</v>
      </c>
      <c r="C17" s="1">
        <v>8658.9443072627982</v>
      </c>
      <c r="D17" s="1">
        <v>0</v>
      </c>
      <c r="E17" s="1">
        <v>0</v>
      </c>
      <c r="F17" s="1">
        <v>0</v>
      </c>
      <c r="G17" s="9">
        <f>SUM(HI_FINANCIAL)</f>
        <v>11050.664455094649</v>
      </c>
      <c r="I17" s="13"/>
      <c r="J17" s="16"/>
      <c r="L17" s="6">
        <v>8116</v>
      </c>
      <c r="M17" s="1">
        <v>0</v>
      </c>
      <c r="O17" s="1">
        <v>27842</v>
      </c>
      <c r="P17" s="1">
        <v>0</v>
      </c>
      <c r="R17" s="1">
        <v>118</v>
      </c>
      <c r="S17" s="1">
        <v>0</v>
      </c>
      <c r="U17" s="1">
        <v>0</v>
      </c>
      <c r="V17" s="9">
        <v>0</v>
      </c>
    </row>
    <row r="18" spans="1:22">
      <c r="A18" s="1" t="s">
        <v>30</v>
      </c>
      <c r="B18" s="6">
        <v>45933.155420857482</v>
      </c>
      <c r="C18" s="1">
        <v>17458.54184067453</v>
      </c>
      <c r="D18" s="1">
        <v>0</v>
      </c>
      <c r="E18" s="1">
        <v>0</v>
      </c>
      <c r="F18" s="1">
        <v>0</v>
      </c>
      <c r="G18" s="9">
        <f>SUM(ID_FINANCIAL)</f>
        <v>63391.697261532012</v>
      </c>
      <c r="I18" s="13" t="s">
        <v>31</v>
      </c>
      <c r="J18" s="16"/>
      <c r="L18" s="6">
        <v>1452565</v>
      </c>
      <c r="M18" s="1">
        <v>575959</v>
      </c>
      <c r="O18" s="1">
        <v>47435</v>
      </c>
      <c r="P18" s="1">
        <v>0</v>
      </c>
      <c r="R18" s="1">
        <v>0</v>
      </c>
      <c r="S18" s="1">
        <v>0</v>
      </c>
      <c r="U18" s="1">
        <v>0</v>
      </c>
      <c r="V18" s="9">
        <v>0</v>
      </c>
    </row>
    <row r="19" spans="1:22">
      <c r="A19" s="1" t="s">
        <v>32</v>
      </c>
      <c r="B19" s="6">
        <v>188880.60947754607</v>
      </c>
      <c r="C19" s="1">
        <v>128949.44682806171</v>
      </c>
      <c r="D19" s="1">
        <v>0</v>
      </c>
      <c r="E19" s="1">
        <v>0</v>
      </c>
      <c r="F19" s="1">
        <v>0</v>
      </c>
      <c r="G19" s="9">
        <f>SUM(IL_FINANCIAL)</f>
        <v>317830.05630560778</v>
      </c>
      <c r="I19" s="13" t="s">
        <v>33</v>
      </c>
      <c r="J19" s="16">
        <v>9667531</v>
      </c>
      <c r="L19" s="6">
        <v>8250000</v>
      </c>
      <c r="M19" s="1">
        <v>7954109</v>
      </c>
      <c r="O19" s="1">
        <v>3500000</v>
      </c>
      <c r="P19" s="1">
        <v>4076745</v>
      </c>
      <c r="R19" s="1">
        <v>0</v>
      </c>
      <c r="S19" s="1">
        <v>0</v>
      </c>
      <c r="U19" s="1">
        <v>0</v>
      </c>
      <c r="V19" s="9">
        <v>0</v>
      </c>
    </row>
    <row r="20" spans="1:22">
      <c r="A20" s="1" t="s">
        <v>34</v>
      </c>
      <c r="B20" s="6">
        <v>225325.03103228845</v>
      </c>
      <c r="C20" s="1">
        <v>-93505.707156196702</v>
      </c>
      <c r="D20" s="1">
        <v>0</v>
      </c>
      <c r="E20" s="1">
        <v>0</v>
      </c>
      <c r="F20" s="1">
        <v>0</v>
      </c>
      <c r="G20" s="9">
        <f>SUM(IN_FINANCIAL)</f>
        <v>131819.32387609174</v>
      </c>
      <c r="I20" s="13" t="s">
        <v>35</v>
      </c>
      <c r="J20" s="16">
        <v>2064096.2</v>
      </c>
      <c r="L20" s="6">
        <v>1994431</v>
      </c>
      <c r="M20" s="1">
        <v>0</v>
      </c>
      <c r="O20" s="1">
        <v>0</v>
      </c>
      <c r="P20" s="1">
        <v>0</v>
      </c>
      <c r="R20" s="1">
        <v>0</v>
      </c>
      <c r="S20" s="1">
        <v>0</v>
      </c>
      <c r="U20" s="1">
        <v>0</v>
      </c>
      <c r="V20" s="9">
        <v>0</v>
      </c>
    </row>
    <row r="21" spans="1:22">
      <c r="A21" s="1" t="s">
        <v>36</v>
      </c>
      <c r="B21" s="6">
        <v>23176.167813559412</v>
      </c>
      <c r="C21" s="1">
        <v>33325.530977464048</v>
      </c>
      <c r="D21" s="1">
        <v>0</v>
      </c>
      <c r="E21" s="1">
        <v>0</v>
      </c>
      <c r="F21" s="1">
        <v>0</v>
      </c>
      <c r="G21" s="9">
        <f>SUM(IA_FINANCIAL)</f>
        <v>56501.69879102346</v>
      </c>
      <c r="I21" s="13" t="s">
        <v>37</v>
      </c>
      <c r="J21" s="16"/>
      <c r="L21" s="6">
        <v>1100000</v>
      </c>
      <c r="M21" s="1">
        <v>0</v>
      </c>
      <c r="O21" s="1">
        <v>1200000</v>
      </c>
      <c r="P21" s="1">
        <v>0</v>
      </c>
      <c r="R21" s="1">
        <v>0</v>
      </c>
      <c r="S21" s="1">
        <v>0</v>
      </c>
      <c r="U21" s="1">
        <v>0</v>
      </c>
      <c r="V21" s="9">
        <v>0</v>
      </c>
    </row>
    <row r="22" spans="1:22">
      <c r="A22" s="1" t="s">
        <v>38</v>
      </c>
      <c r="B22" s="6">
        <v>9629.1155175312306</v>
      </c>
      <c r="C22" s="1">
        <v>3936.1826876645209</v>
      </c>
      <c r="D22" s="1">
        <v>0</v>
      </c>
      <c r="E22" s="1">
        <v>0</v>
      </c>
      <c r="F22" s="1">
        <v>0</v>
      </c>
      <c r="G22" s="9">
        <f>SUM(KS_FINANCIAL)</f>
        <v>13565.298205195752</v>
      </c>
      <c r="I22" s="13" t="s">
        <v>39</v>
      </c>
      <c r="J22" s="16">
        <v>16832492.000000007</v>
      </c>
      <c r="L22" s="6">
        <v>175000</v>
      </c>
      <c r="M22" s="1">
        <v>0</v>
      </c>
      <c r="O22" s="1">
        <v>0</v>
      </c>
      <c r="P22" s="1">
        <v>0</v>
      </c>
      <c r="R22" s="1">
        <v>0</v>
      </c>
      <c r="S22" s="1">
        <v>0</v>
      </c>
      <c r="U22" s="1">
        <v>0</v>
      </c>
      <c r="V22" s="9">
        <v>0</v>
      </c>
    </row>
    <row r="23" spans="1:22">
      <c r="A23" s="1" t="s">
        <v>40</v>
      </c>
      <c r="B23" s="6">
        <v>54665.655615967466</v>
      </c>
      <c r="C23" s="1">
        <v>13997.235691887559</v>
      </c>
      <c r="D23" s="1">
        <v>0</v>
      </c>
      <c r="E23" s="1">
        <v>0</v>
      </c>
      <c r="F23" s="1">
        <v>0</v>
      </c>
      <c r="G23" s="9">
        <f>SUM(KY_FINANCIAL)</f>
        <v>68662.891307855025</v>
      </c>
      <c r="I23" s="13" t="s">
        <v>41</v>
      </c>
      <c r="J23" s="16"/>
      <c r="L23" s="6">
        <v>5527178</v>
      </c>
      <c r="M23" s="1">
        <v>2183394</v>
      </c>
      <c r="O23" s="1">
        <v>882755</v>
      </c>
      <c r="P23" s="1">
        <v>445606</v>
      </c>
      <c r="R23" s="1">
        <v>0</v>
      </c>
      <c r="S23" s="1">
        <v>0</v>
      </c>
      <c r="U23" s="1">
        <v>0</v>
      </c>
      <c r="V23" s="9">
        <v>0</v>
      </c>
    </row>
    <row r="24" spans="1:22">
      <c r="A24" s="1" t="s">
        <v>42</v>
      </c>
      <c r="B24" s="6">
        <v>0</v>
      </c>
      <c r="C24" s="1">
        <v>0</v>
      </c>
      <c r="D24" s="1">
        <v>0</v>
      </c>
      <c r="E24" s="1">
        <v>0</v>
      </c>
      <c r="F24" s="1">
        <v>0</v>
      </c>
      <c r="G24" s="9">
        <f>SUM(LA_FINANCIAL)</f>
        <v>0</v>
      </c>
      <c r="I24" s="13" t="s">
        <v>43</v>
      </c>
      <c r="J24" s="16">
        <v>115036898.00000001</v>
      </c>
      <c r="L24" s="6"/>
      <c r="V24" s="9"/>
    </row>
    <row r="25" spans="1:22">
      <c r="A25" s="1" t="s">
        <v>44</v>
      </c>
      <c r="B25" s="6">
        <v>0</v>
      </c>
      <c r="C25" s="1">
        <v>0</v>
      </c>
      <c r="D25" s="1">
        <v>0</v>
      </c>
      <c r="E25" s="1">
        <v>0</v>
      </c>
      <c r="F25" s="1">
        <v>0</v>
      </c>
      <c r="G25" s="9">
        <f>SUM(ME_FINANCIAL)</f>
        <v>0</v>
      </c>
      <c r="I25" s="13"/>
      <c r="J25" s="16"/>
      <c r="L25" s="6"/>
      <c r="V25" s="9"/>
    </row>
    <row r="26" spans="1:22">
      <c r="A26" s="1" t="s">
        <v>45</v>
      </c>
      <c r="B26" s="6">
        <v>69420.103058065986</v>
      </c>
      <c r="C26" s="1">
        <v>13713.178968020045</v>
      </c>
      <c r="D26" s="1">
        <v>0</v>
      </c>
      <c r="E26" s="1">
        <v>0</v>
      </c>
      <c r="F26" s="1">
        <v>0</v>
      </c>
      <c r="G26" s="9">
        <f>SUM(MD_FINANCIAL)</f>
        <v>83133.282026086032</v>
      </c>
      <c r="I26" s="13" t="s">
        <v>46</v>
      </c>
      <c r="J26" s="16">
        <f>SUM(ADD_FINANCIAL)-SUM(LESS_FINANCIAL)</f>
        <v>4657250.030000031</v>
      </c>
      <c r="L26" s="6">
        <v>1420000</v>
      </c>
      <c r="M26" s="1">
        <v>0</v>
      </c>
      <c r="O26" s="1">
        <v>280000</v>
      </c>
      <c r="P26" s="1">
        <v>0</v>
      </c>
      <c r="R26" s="1">
        <v>0</v>
      </c>
      <c r="S26" s="1">
        <v>0</v>
      </c>
      <c r="U26" s="1">
        <v>0</v>
      </c>
      <c r="V26" s="9">
        <v>0</v>
      </c>
    </row>
    <row r="27" spans="1:22">
      <c r="A27" s="1" t="s">
        <v>47</v>
      </c>
      <c r="B27" s="6">
        <v>5037.840860619006</v>
      </c>
      <c r="C27" s="1">
        <v>2147.0116320906091</v>
      </c>
      <c r="D27" s="1">
        <v>0</v>
      </c>
      <c r="E27" s="1">
        <v>0</v>
      </c>
      <c r="F27" s="1">
        <v>0</v>
      </c>
      <c r="G27" s="9">
        <f>SUM(MA_FINANCIAL)</f>
        <v>7184.852492709615</v>
      </c>
      <c r="I27" s="13" t="s">
        <v>48</v>
      </c>
      <c r="J27" s="16">
        <f>SUM(ALL_BLOCKS)</f>
        <v>4657250.0299999807</v>
      </c>
      <c r="L27" s="6"/>
      <c r="V27" s="9"/>
    </row>
    <row r="28" spans="1:22">
      <c r="A28" s="1" t="s">
        <v>49</v>
      </c>
      <c r="B28" s="6">
        <v>1504.6524817432182</v>
      </c>
      <c r="C28" s="1">
        <v>47.391098727699159</v>
      </c>
      <c r="D28" s="1">
        <v>0</v>
      </c>
      <c r="E28" s="1">
        <v>0</v>
      </c>
      <c r="F28" s="1">
        <v>0</v>
      </c>
      <c r="G28" s="9">
        <f>SUM(MI_FINANCIAL)</f>
        <v>1552.0435804709173</v>
      </c>
      <c r="I28" s="14"/>
      <c r="J28" s="17"/>
      <c r="L28" s="6"/>
      <c r="V28" s="9"/>
    </row>
    <row r="29" spans="1:22">
      <c r="A29" s="1" t="s">
        <v>50</v>
      </c>
      <c r="B29" s="6">
        <v>210295.14582347684</v>
      </c>
      <c r="C29" s="1">
        <v>281849.03611123189</v>
      </c>
      <c r="D29" s="1">
        <v>0</v>
      </c>
      <c r="E29" s="1">
        <v>0</v>
      </c>
      <c r="F29" s="1">
        <v>0</v>
      </c>
      <c r="G29" s="9">
        <f>SUM(MN_FINANCIAL)</f>
        <v>492144.18193470873</v>
      </c>
      <c r="L29" s="6">
        <v>3800000</v>
      </c>
      <c r="M29" s="1">
        <v>0</v>
      </c>
      <c r="O29" s="1">
        <v>5100000</v>
      </c>
      <c r="P29" s="1">
        <v>0</v>
      </c>
      <c r="R29" s="1">
        <v>0</v>
      </c>
      <c r="S29" s="1">
        <v>0</v>
      </c>
      <c r="U29" s="1">
        <v>0</v>
      </c>
      <c r="V29" s="9">
        <v>0</v>
      </c>
    </row>
    <row r="30" spans="1:22">
      <c r="A30" s="1" t="s">
        <v>51</v>
      </c>
      <c r="B30" s="6">
        <v>42223.355968121206</v>
      </c>
      <c r="C30" s="1">
        <v>4577.110963457264</v>
      </c>
      <c r="D30" s="1">
        <v>0</v>
      </c>
      <c r="E30" s="1">
        <v>0</v>
      </c>
      <c r="F30" s="1">
        <v>0</v>
      </c>
      <c r="G30" s="9">
        <f>SUM(MS_FINANCIAL)</f>
        <v>46800.46693157847</v>
      </c>
      <c r="L30" s="6">
        <v>1431852</v>
      </c>
      <c r="M30" s="1">
        <v>0</v>
      </c>
      <c r="O30" s="1">
        <v>268148</v>
      </c>
      <c r="P30" s="1">
        <v>0</v>
      </c>
      <c r="R30" s="1">
        <v>0</v>
      </c>
      <c r="S30" s="1">
        <v>0</v>
      </c>
      <c r="U30" s="1">
        <v>0</v>
      </c>
      <c r="V30" s="9">
        <v>0</v>
      </c>
    </row>
    <row r="31" spans="1:22">
      <c r="A31" s="1" t="s">
        <v>52</v>
      </c>
      <c r="B31" s="6">
        <v>167763.27743106941</v>
      </c>
      <c r="C31" s="1">
        <v>-39339.646846013144</v>
      </c>
      <c r="D31" s="1">
        <v>0</v>
      </c>
      <c r="E31" s="1">
        <v>0</v>
      </c>
      <c r="F31" s="1">
        <v>0</v>
      </c>
      <c r="G31" s="9">
        <f>SUM(MO_FINANCIAL)</f>
        <v>128423.63058505626</v>
      </c>
      <c r="L31" s="6">
        <v>1794890</v>
      </c>
      <c r="M31" s="1">
        <v>0</v>
      </c>
      <c r="O31" s="1">
        <v>2035480</v>
      </c>
      <c r="P31" s="1">
        <v>0</v>
      </c>
      <c r="R31" s="1">
        <v>0</v>
      </c>
      <c r="S31" s="1">
        <v>0</v>
      </c>
      <c r="U31" s="1">
        <v>0</v>
      </c>
      <c r="V31" s="9">
        <v>0</v>
      </c>
    </row>
    <row r="32" spans="1:22">
      <c r="A32" s="1" t="s">
        <v>53</v>
      </c>
      <c r="B32" s="6">
        <v>27536.977915830677</v>
      </c>
      <c r="C32" s="1">
        <v>7940.9145779886167</v>
      </c>
      <c r="D32" s="1">
        <v>0</v>
      </c>
      <c r="E32" s="1">
        <v>0</v>
      </c>
      <c r="F32" s="1">
        <v>0</v>
      </c>
      <c r="G32" s="9">
        <f>SUM(MT_FINANCIAL)</f>
        <v>35477.892493819294</v>
      </c>
      <c r="L32" s="6">
        <v>616000</v>
      </c>
      <c r="M32" s="1">
        <v>0</v>
      </c>
      <c r="O32" s="1">
        <v>184000</v>
      </c>
      <c r="P32" s="1">
        <v>0</v>
      </c>
      <c r="R32" s="1">
        <v>0</v>
      </c>
      <c r="S32" s="1">
        <v>0</v>
      </c>
      <c r="U32" s="1">
        <v>0</v>
      </c>
      <c r="V32" s="9">
        <v>0</v>
      </c>
    </row>
    <row r="33" spans="1:22">
      <c r="A33" s="1" t="s">
        <v>54</v>
      </c>
      <c r="B33" s="6">
        <v>22624.367614467395</v>
      </c>
      <c r="C33" s="1">
        <v>14468.541359893105</v>
      </c>
      <c r="D33" s="1">
        <v>0</v>
      </c>
      <c r="E33" s="1">
        <v>0</v>
      </c>
      <c r="F33" s="1">
        <v>0</v>
      </c>
      <c r="G33" s="9">
        <f>SUM(NE_FINANCIAL)</f>
        <v>37092.9089743605</v>
      </c>
      <c r="L33" s="6">
        <v>891000</v>
      </c>
      <c r="M33" s="1">
        <v>395035</v>
      </c>
      <c r="O33" s="1">
        <v>315115</v>
      </c>
      <c r="P33" s="1">
        <v>274965</v>
      </c>
      <c r="R33" s="1">
        <v>0</v>
      </c>
      <c r="S33" s="1">
        <v>0</v>
      </c>
      <c r="U33" s="1">
        <v>0</v>
      </c>
      <c r="V33" s="9">
        <v>0</v>
      </c>
    </row>
    <row r="34" spans="1:22">
      <c r="A34" s="1" t="s">
        <v>55</v>
      </c>
      <c r="B34" s="6">
        <v>66688.875314358156</v>
      </c>
      <c r="C34" s="1">
        <v>-5914.0732370376936</v>
      </c>
      <c r="D34" s="1">
        <v>0</v>
      </c>
      <c r="E34" s="1">
        <v>0</v>
      </c>
      <c r="F34" s="1">
        <v>0</v>
      </c>
      <c r="G34" s="9">
        <f>SUM(NV_FINANCIAL)</f>
        <v>60774.802077320463</v>
      </c>
      <c r="L34" s="6">
        <v>1331000</v>
      </c>
      <c r="M34" s="1">
        <v>337000</v>
      </c>
      <c r="O34" s="1">
        <v>229000</v>
      </c>
      <c r="P34" s="1">
        <v>55000</v>
      </c>
      <c r="R34" s="1">
        <v>0</v>
      </c>
      <c r="S34" s="1">
        <v>0</v>
      </c>
      <c r="U34" s="1">
        <v>0</v>
      </c>
      <c r="V34" s="9">
        <v>0</v>
      </c>
    </row>
    <row r="35" spans="1:22">
      <c r="A35" s="1" t="s">
        <v>56</v>
      </c>
      <c r="B35" s="6">
        <v>3390.3364427334745</v>
      </c>
      <c r="C35" s="1">
        <v>115.51962634824758</v>
      </c>
      <c r="D35" s="1">
        <v>0</v>
      </c>
      <c r="E35" s="1">
        <v>0</v>
      </c>
      <c r="F35" s="1">
        <v>0</v>
      </c>
      <c r="G35" s="9">
        <f>SUM(NH_FINANCIAL)</f>
        <v>3505.8560690817221</v>
      </c>
      <c r="L35" s="6">
        <v>150000</v>
      </c>
      <c r="M35" s="1">
        <v>0</v>
      </c>
      <c r="O35" s="1">
        <v>0</v>
      </c>
      <c r="P35" s="1">
        <v>0</v>
      </c>
      <c r="R35" s="1">
        <v>0</v>
      </c>
      <c r="S35" s="1">
        <v>0</v>
      </c>
      <c r="U35" s="1">
        <v>0</v>
      </c>
      <c r="V35" s="9">
        <v>0</v>
      </c>
    </row>
    <row r="36" spans="1:22">
      <c r="A36" s="1" t="s">
        <v>57</v>
      </c>
      <c r="B36" s="6">
        <v>0</v>
      </c>
      <c r="C36" s="1">
        <v>0</v>
      </c>
      <c r="D36" s="1">
        <v>0</v>
      </c>
      <c r="E36" s="1">
        <v>0</v>
      </c>
      <c r="F36" s="1">
        <v>0</v>
      </c>
      <c r="G36" s="9">
        <f>SUM(NJ_FINANCIAL)</f>
        <v>0</v>
      </c>
      <c r="L36" s="6"/>
      <c r="V36" s="9"/>
    </row>
    <row r="37" spans="1:22">
      <c r="A37" s="1" t="s">
        <v>58</v>
      </c>
      <c r="B37" s="6">
        <v>31825.851136973419</v>
      </c>
      <c r="C37" s="1">
        <v>35633.229741279152</v>
      </c>
      <c r="D37" s="1">
        <v>0</v>
      </c>
      <c r="E37" s="1">
        <v>0</v>
      </c>
      <c r="F37" s="1">
        <v>0</v>
      </c>
      <c r="G37" s="9">
        <f>SUM(NM_FINANCIAL)</f>
        <v>67459.080878252571</v>
      </c>
      <c r="L37" s="6"/>
      <c r="V37" s="9"/>
    </row>
    <row r="38" spans="1:22">
      <c r="A38" s="1" t="s">
        <v>59</v>
      </c>
      <c r="B38" s="6">
        <v>0</v>
      </c>
      <c r="C38" s="1">
        <v>0</v>
      </c>
      <c r="D38" s="1">
        <v>0</v>
      </c>
      <c r="E38" s="1">
        <v>0</v>
      </c>
      <c r="F38" s="1">
        <v>0</v>
      </c>
      <c r="G38" s="9">
        <f>SUM(NY_FINANCIAL)</f>
        <v>0</v>
      </c>
      <c r="L38" s="6"/>
      <c r="V38" s="9"/>
    </row>
    <row r="39" spans="1:22">
      <c r="A39" s="1" t="s">
        <v>60</v>
      </c>
      <c r="B39" s="6">
        <v>70603.491815781686</v>
      </c>
      <c r="C39" s="1">
        <v>9355.6153316235868</v>
      </c>
      <c r="D39" s="1">
        <v>-444.17</v>
      </c>
      <c r="E39" s="1">
        <v>0</v>
      </c>
      <c r="F39" s="1">
        <v>0</v>
      </c>
      <c r="G39" s="9">
        <f>SUM(NC_FINANCIAL)</f>
        <v>79514.937147405275</v>
      </c>
      <c r="L39" s="6"/>
      <c r="V39" s="9"/>
    </row>
    <row r="40" spans="1:22">
      <c r="A40" s="1" t="s">
        <v>61</v>
      </c>
      <c r="B40" s="6">
        <v>13662.332956366183</v>
      </c>
      <c r="C40" s="1">
        <v>8735.2779685525456</v>
      </c>
      <c r="D40" s="1">
        <v>0</v>
      </c>
      <c r="E40" s="1">
        <v>0</v>
      </c>
      <c r="F40" s="1">
        <v>0</v>
      </c>
      <c r="G40" s="9">
        <f>SUM(ND_FINANCIAL)</f>
        <v>22397.610924918728</v>
      </c>
      <c r="L40" s="6">
        <v>442600</v>
      </c>
      <c r="M40" s="1">
        <v>423000</v>
      </c>
      <c r="O40" s="1">
        <v>282400</v>
      </c>
      <c r="P40" s="1">
        <v>214000</v>
      </c>
      <c r="R40" s="1">
        <v>0</v>
      </c>
      <c r="S40" s="1">
        <v>0</v>
      </c>
      <c r="U40" s="1">
        <v>0</v>
      </c>
      <c r="V40" s="9">
        <v>0</v>
      </c>
    </row>
    <row r="41" spans="1:22">
      <c r="A41" s="1" t="s">
        <v>62</v>
      </c>
      <c r="B41" s="6">
        <v>0</v>
      </c>
      <c r="C41" s="1">
        <v>0</v>
      </c>
      <c r="D41" s="1">
        <v>0</v>
      </c>
      <c r="E41" s="1">
        <v>0</v>
      </c>
      <c r="F41" s="1">
        <v>0</v>
      </c>
      <c r="G41" s="9">
        <f>SUM(OH_FINANCIAL)</f>
        <v>0</v>
      </c>
      <c r="L41" s="6"/>
      <c r="V41" s="9"/>
    </row>
    <row r="42" spans="1:22">
      <c r="A42" s="1" t="s">
        <v>63</v>
      </c>
      <c r="B42" s="6">
        <v>52898.816631057882</v>
      </c>
      <c r="C42" s="1">
        <v>126367.11288955202</v>
      </c>
      <c r="D42" s="1">
        <v>0</v>
      </c>
      <c r="E42" s="1">
        <v>0</v>
      </c>
      <c r="F42" s="1">
        <v>0</v>
      </c>
      <c r="G42" s="9">
        <f>SUM(OK_FINANCIAL)</f>
        <v>179265.92952060991</v>
      </c>
      <c r="L42" s="6">
        <v>560000</v>
      </c>
      <c r="M42" s="1">
        <v>501200</v>
      </c>
      <c r="O42" s="1">
        <v>1440000</v>
      </c>
      <c r="P42" s="1">
        <v>1288800</v>
      </c>
      <c r="R42" s="1">
        <v>0</v>
      </c>
      <c r="S42" s="1">
        <v>0</v>
      </c>
      <c r="U42" s="1">
        <v>0</v>
      </c>
      <c r="V42" s="9">
        <v>0</v>
      </c>
    </row>
    <row r="43" spans="1:22">
      <c r="A43" s="1" t="s">
        <v>64</v>
      </c>
      <c r="B43" s="6">
        <v>51554.010727281449</v>
      </c>
      <c r="C43" s="1">
        <v>16173.158069419675</v>
      </c>
      <c r="D43" s="1">
        <v>0</v>
      </c>
      <c r="E43" s="1">
        <v>0</v>
      </c>
      <c r="F43" s="1">
        <v>0</v>
      </c>
      <c r="G43" s="9">
        <f>SUM(OR_FINANCIAL)</f>
        <v>67727.168796701124</v>
      </c>
      <c r="L43" s="6">
        <v>2446348</v>
      </c>
      <c r="M43" s="1">
        <v>0</v>
      </c>
      <c r="O43" s="1">
        <v>726253</v>
      </c>
      <c r="P43" s="1">
        <v>0</v>
      </c>
      <c r="R43" s="1">
        <v>0</v>
      </c>
      <c r="S43" s="1">
        <v>0</v>
      </c>
      <c r="U43" s="1">
        <v>0</v>
      </c>
      <c r="V43" s="9">
        <v>0</v>
      </c>
    </row>
    <row r="44" spans="1:22">
      <c r="A44" s="1" t="s">
        <v>65</v>
      </c>
      <c r="B44" s="6">
        <v>279122.73981498741</v>
      </c>
      <c r="C44" s="1">
        <v>-75258.341906746849</v>
      </c>
      <c r="D44" s="1">
        <v>0</v>
      </c>
      <c r="E44" s="1">
        <v>0</v>
      </c>
      <c r="F44" s="1">
        <v>0</v>
      </c>
      <c r="G44" s="9">
        <f>SUM(PA_FINANCIAL)</f>
        <v>203864.39790824056</v>
      </c>
      <c r="L44" s="6"/>
      <c r="V44" s="9"/>
    </row>
    <row r="45" spans="1:22">
      <c r="A45" s="1" t="s">
        <v>66</v>
      </c>
      <c r="B45" s="6">
        <v>0</v>
      </c>
      <c r="C45" s="1">
        <v>0</v>
      </c>
      <c r="D45" s="1">
        <v>0</v>
      </c>
      <c r="E45" s="1">
        <v>0</v>
      </c>
      <c r="F45" s="1">
        <v>0</v>
      </c>
      <c r="G45" s="9">
        <f>SUM(PR_FINANCIAL)</f>
        <v>0</v>
      </c>
      <c r="L45" s="6"/>
      <c r="V45" s="9"/>
    </row>
    <row r="46" spans="1:22">
      <c r="A46" s="1" t="s">
        <v>67</v>
      </c>
      <c r="B46" s="6">
        <v>579.15875678729208</v>
      </c>
      <c r="C46" s="1">
        <v>8.4648380294229355</v>
      </c>
      <c r="D46" s="1">
        <v>0</v>
      </c>
      <c r="E46" s="1">
        <v>0</v>
      </c>
      <c r="F46" s="1">
        <v>0</v>
      </c>
      <c r="G46" s="9">
        <f>SUM(RI_FINANCIAL)</f>
        <v>587.62359481671501</v>
      </c>
      <c r="L46" s="6"/>
      <c r="V46" s="9"/>
    </row>
    <row r="47" spans="1:22">
      <c r="A47" s="1" t="s">
        <v>68</v>
      </c>
      <c r="B47" s="6">
        <v>469312.65048129251</v>
      </c>
      <c r="C47" s="1">
        <v>122125.0727520592</v>
      </c>
      <c r="D47" s="1">
        <v>0</v>
      </c>
      <c r="E47" s="1">
        <v>0</v>
      </c>
      <c r="F47" s="1">
        <v>0</v>
      </c>
      <c r="G47" s="9">
        <f>SUM(SC_FINANCIAL)</f>
        <v>591437.72323335172</v>
      </c>
      <c r="L47" s="6">
        <v>1960000</v>
      </c>
      <c r="M47" s="1">
        <v>0</v>
      </c>
      <c r="O47" s="1">
        <v>840000</v>
      </c>
      <c r="P47" s="1">
        <v>0</v>
      </c>
      <c r="R47" s="1">
        <v>0</v>
      </c>
      <c r="S47" s="1">
        <v>0</v>
      </c>
      <c r="U47" s="1">
        <v>0</v>
      </c>
      <c r="V47" s="9">
        <v>0</v>
      </c>
    </row>
    <row r="48" spans="1:22">
      <c r="A48" s="1" t="s">
        <v>69</v>
      </c>
      <c r="B48" s="6">
        <v>9530.5460977717885</v>
      </c>
      <c r="C48" s="1">
        <v>4655.7217815694457</v>
      </c>
      <c r="D48" s="1">
        <v>0</v>
      </c>
      <c r="E48" s="1">
        <v>0</v>
      </c>
      <c r="F48" s="1">
        <v>0</v>
      </c>
      <c r="G48" s="9">
        <f>SUM(SD_FINANCIAL)</f>
        <v>14186.267879341234</v>
      </c>
      <c r="L48" s="6">
        <v>299991</v>
      </c>
      <c r="M48" s="1">
        <v>0</v>
      </c>
      <c r="O48" s="1">
        <v>156000</v>
      </c>
      <c r="P48" s="1">
        <v>0</v>
      </c>
      <c r="R48" s="1">
        <v>0</v>
      </c>
      <c r="S48" s="1">
        <v>0</v>
      </c>
      <c r="U48" s="1">
        <v>0</v>
      </c>
      <c r="V48" s="9">
        <v>0</v>
      </c>
    </row>
    <row r="49" spans="1:22">
      <c r="A49" s="1" t="s">
        <v>70</v>
      </c>
      <c r="B49" s="6">
        <v>2061.0181004591286</v>
      </c>
      <c r="C49" s="1">
        <v>94500.334991954151</v>
      </c>
      <c r="D49" s="1">
        <v>0</v>
      </c>
      <c r="E49" s="1">
        <v>0</v>
      </c>
      <c r="F49" s="1">
        <v>0</v>
      </c>
      <c r="G49" s="9">
        <f>SUM(TN_FINANCIAL)</f>
        <v>96561.353092413279</v>
      </c>
      <c r="L49" s="6">
        <v>2050000</v>
      </c>
      <c r="M49" s="1">
        <v>0</v>
      </c>
      <c r="O49" s="1">
        <v>750000</v>
      </c>
      <c r="P49" s="1">
        <v>0</v>
      </c>
      <c r="R49" s="1">
        <v>0</v>
      </c>
      <c r="S49" s="1">
        <v>0</v>
      </c>
      <c r="U49" s="1">
        <v>0</v>
      </c>
      <c r="V49" s="9">
        <v>0</v>
      </c>
    </row>
    <row r="50" spans="1:22">
      <c r="A50" s="1" t="s">
        <v>71</v>
      </c>
      <c r="B50" s="6">
        <v>144765.80631322204</v>
      </c>
      <c r="C50" s="1">
        <v>224664.34266604576</v>
      </c>
      <c r="D50" s="1">
        <v>0</v>
      </c>
      <c r="E50" s="1">
        <v>0</v>
      </c>
      <c r="F50" s="1">
        <v>0</v>
      </c>
      <c r="G50" s="9">
        <f>SUM(TX_FINANCIAL)</f>
        <v>369430.1489792678</v>
      </c>
      <c r="L50" s="6">
        <v>2765448</v>
      </c>
      <c r="M50" s="1">
        <v>2298097.341364</v>
      </c>
      <c r="O50" s="1">
        <v>419087</v>
      </c>
      <c r="P50" s="1">
        <v>348261.36863599997</v>
      </c>
      <c r="R50" s="1">
        <v>0</v>
      </c>
      <c r="S50" s="1">
        <v>0</v>
      </c>
      <c r="U50" s="1">
        <v>0</v>
      </c>
      <c r="V50" s="9">
        <v>0</v>
      </c>
    </row>
    <row r="51" spans="1:22">
      <c r="A51" s="1" t="s">
        <v>72</v>
      </c>
      <c r="B51" s="6">
        <v>56147.568903752312</v>
      </c>
      <c r="C51" s="1">
        <v>51460.710517846746</v>
      </c>
      <c r="D51" s="1">
        <v>0</v>
      </c>
      <c r="E51" s="1">
        <v>0</v>
      </c>
      <c r="F51" s="1">
        <v>0</v>
      </c>
      <c r="G51" s="9">
        <f>SUM(UT_FINANCIAL)</f>
        <v>107608.27942159906</v>
      </c>
      <c r="L51" s="6">
        <v>421547</v>
      </c>
      <c r="M51" s="1">
        <v>0</v>
      </c>
      <c r="O51" s="1">
        <v>283452</v>
      </c>
      <c r="P51" s="1">
        <v>0</v>
      </c>
      <c r="R51" s="1">
        <v>0</v>
      </c>
      <c r="S51" s="1">
        <v>0</v>
      </c>
      <c r="U51" s="1">
        <v>0</v>
      </c>
      <c r="V51" s="9">
        <v>0</v>
      </c>
    </row>
    <row r="52" spans="1:22">
      <c r="A52" s="1" t="s">
        <v>73</v>
      </c>
      <c r="B52" s="6">
        <v>0</v>
      </c>
      <c r="C52" s="1">
        <v>0</v>
      </c>
      <c r="D52" s="1">
        <v>0</v>
      </c>
      <c r="E52" s="1">
        <v>0</v>
      </c>
      <c r="F52" s="1">
        <v>0</v>
      </c>
      <c r="G52" s="9">
        <f>SUM(VT_FINANCIAL)</f>
        <v>0</v>
      </c>
      <c r="L52" s="6"/>
      <c r="V52" s="9"/>
    </row>
    <row r="53" spans="1:22">
      <c r="A53" s="1" t="s">
        <v>74</v>
      </c>
      <c r="B53" s="6">
        <v>48962.358281258494</v>
      </c>
      <c r="C53" s="1">
        <v>21064.779871461447</v>
      </c>
      <c r="D53" s="1">
        <v>8022.24</v>
      </c>
      <c r="E53" s="1">
        <v>0</v>
      </c>
      <c r="F53" s="1">
        <v>0</v>
      </c>
      <c r="G53" s="9">
        <f>SUM(VA_FINANCIAL)</f>
        <v>78049.378152719946</v>
      </c>
      <c r="L53" s="6">
        <v>2131843</v>
      </c>
      <c r="M53" s="1">
        <v>1763245</v>
      </c>
      <c r="O53" s="1">
        <v>979596</v>
      </c>
      <c r="P53" s="1">
        <v>794786</v>
      </c>
      <c r="R53" s="1">
        <v>4700</v>
      </c>
      <c r="S53" s="1">
        <v>0</v>
      </c>
      <c r="U53" s="1">
        <v>0</v>
      </c>
      <c r="V53" s="9">
        <v>0</v>
      </c>
    </row>
    <row r="54" spans="1:22">
      <c r="A54" s="1" t="s">
        <v>75</v>
      </c>
      <c r="B54" s="6">
        <v>265884.14379843371</v>
      </c>
      <c r="C54" s="1">
        <v>-142837.44446871965</v>
      </c>
      <c r="D54" s="1">
        <v>0</v>
      </c>
      <c r="E54" s="1">
        <v>0</v>
      </c>
      <c r="F54" s="1">
        <v>0</v>
      </c>
      <c r="G54" s="9">
        <f>SUM(WA_FINANCIAL)</f>
        <v>123046.69932971406</v>
      </c>
      <c r="L54" s="6">
        <v>3200000</v>
      </c>
      <c r="M54" s="1">
        <v>1200000</v>
      </c>
      <c r="O54" s="1">
        <v>1100000</v>
      </c>
      <c r="P54" s="1">
        <v>1200000</v>
      </c>
      <c r="R54" s="1">
        <v>0</v>
      </c>
      <c r="S54" s="1">
        <v>0</v>
      </c>
      <c r="U54" s="1">
        <v>0</v>
      </c>
      <c r="V54" s="9">
        <v>0</v>
      </c>
    </row>
    <row r="55" spans="1:22">
      <c r="A55" s="1" t="s">
        <v>76</v>
      </c>
      <c r="B55" s="6">
        <v>115031.36793060612</v>
      </c>
      <c r="C55" s="1">
        <v>-94678.887242947763</v>
      </c>
      <c r="D55" s="1">
        <v>5460.32</v>
      </c>
      <c r="E55" s="1">
        <v>0</v>
      </c>
      <c r="F55" s="1">
        <v>0</v>
      </c>
      <c r="G55" s="9">
        <f>SUM(WV_FINANCIAL)</f>
        <v>25812.80068765836</v>
      </c>
      <c r="L55" s="6">
        <v>515621</v>
      </c>
      <c r="M55" s="1">
        <v>503796</v>
      </c>
      <c r="O55" s="1">
        <v>221407</v>
      </c>
      <c r="P55" s="1">
        <v>251424</v>
      </c>
      <c r="R55" s="1">
        <v>50000</v>
      </c>
      <c r="S55" s="1">
        <v>103672</v>
      </c>
      <c r="U55" s="1">
        <v>0</v>
      </c>
      <c r="V55" s="9">
        <v>0</v>
      </c>
    </row>
    <row r="56" spans="1:22">
      <c r="A56" s="1" t="s">
        <v>77</v>
      </c>
      <c r="B56" s="6">
        <v>7219.4396229423</v>
      </c>
      <c r="C56" s="1">
        <v>5966.4629389768816</v>
      </c>
      <c r="D56" s="1">
        <v>0</v>
      </c>
      <c r="E56" s="1">
        <v>0</v>
      </c>
      <c r="F56" s="1">
        <v>0</v>
      </c>
      <c r="G56" s="9">
        <f>SUM(WI_FINANCIAL)</f>
        <v>13185.902561919182</v>
      </c>
      <c r="L56" s="6">
        <v>200000</v>
      </c>
      <c r="M56" s="1">
        <v>0</v>
      </c>
      <c r="O56" s="1">
        <v>250000</v>
      </c>
      <c r="P56" s="1">
        <v>0</v>
      </c>
      <c r="R56" s="1">
        <v>0</v>
      </c>
      <c r="S56" s="1">
        <v>0</v>
      </c>
      <c r="U56" s="1">
        <v>0</v>
      </c>
      <c r="V56" s="9">
        <v>0</v>
      </c>
    </row>
    <row r="57" spans="1:22">
      <c r="A57" s="1" t="s">
        <v>78</v>
      </c>
      <c r="B57" s="6">
        <v>3911.6383606036543</v>
      </c>
      <c r="C57" s="1">
        <v>3606.1938472393813</v>
      </c>
      <c r="D57" s="1">
        <v>0</v>
      </c>
      <c r="E57" s="1">
        <v>0</v>
      </c>
      <c r="F57" s="1">
        <v>0</v>
      </c>
      <c r="G57" s="9">
        <f>SUM(WY_FINANCIAL)</f>
        <v>7517.8322078430356</v>
      </c>
      <c r="L57" s="6">
        <v>0</v>
      </c>
      <c r="M57" s="1">
        <v>389679</v>
      </c>
      <c r="O57" s="1">
        <v>0</v>
      </c>
      <c r="P57" s="1">
        <v>0</v>
      </c>
      <c r="R57" s="1">
        <v>0</v>
      </c>
      <c r="S57" s="1">
        <v>0</v>
      </c>
      <c r="U57" s="1">
        <v>0</v>
      </c>
      <c r="V57" s="9">
        <v>0</v>
      </c>
    </row>
    <row r="58" spans="1:22">
      <c r="A58" s="1" t="s">
        <v>79</v>
      </c>
      <c r="B58" s="6">
        <v>0</v>
      </c>
      <c r="C58" s="1">
        <v>0</v>
      </c>
      <c r="D58" s="1">
        <v>0</v>
      </c>
      <c r="E58" s="1">
        <v>0</v>
      </c>
      <c r="F58" s="1">
        <v>0</v>
      </c>
      <c r="G58" s="9">
        <f>SUM(OT_FINANCIAL)</f>
        <v>0</v>
      </c>
      <c r="L58" s="6"/>
      <c r="V58" s="9"/>
    </row>
    <row r="59" spans="1:22">
      <c r="B59" s="6"/>
      <c r="G59" s="9"/>
      <c r="L59" s="6"/>
      <c r="V59" s="9"/>
    </row>
    <row r="60" spans="1:22">
      <c r="A60" s="1" t="s">
        <v>8</v>
      </c>
      <c r="B60" s="6">
        <f>SUM(LIFE)</f>
        <v>3768842.6602135198</v>
      </c>
      <c r="C60" s="1">
        <f>SUM(ALLOCATED)</f>
        <v>815376.26978646184</v>
      </c>
      <c r="D60" s="1">
        <f>SUM(HEALTH)</f>
        <v>73031.100000000006</v>
      </c>
      <c r="E60" s="1">
        <f>SUM(UNALLOCATED)</f>
        <v>0</v>
      </c>
      <c r="F60" s="1">
        <f>SUM(LTC)</f>
        <v>0</v>
      </c>
      <c r="G60" s="9">
        <f>SUM(ALL_BLOCKS)</f>
        <v>4657250.0299999807</v>
      </c>
      <c r="L60" s="6">
        <f>SUM(LIFE_CALLED)</f>
        <v>71046715</v>
      </c>
      <c r="M60" s="1">
        <f>SUM(LIFE_REFUNDED)</f>
        <v>40054374.341363996</v>
      </c>
      <c r="O60" s="1">
        <f>SUM(ALLOC_CALLED)</f>
        <v>31672495</v>
      </c>
      <c r="P60" s="1">
        <f>SUM(ALLOC_REFUNDED)</f>
        <v>12506699.048636001</v>
      </c>
      <c r="R60" s="1">
        <f>SUM(HEALTH_CALLED)</f>
        <v>79818</v>
      </c>
      <c r="S60" s="1">
        <f>SUM(HEALTH_REFUNDED)</f>
        <v>111672</v>
      </c>
      <c r="U60" s="1">
        <f>SUM(UNALLOC_CALLED)</f>
        <v>0</v>
      </c>
      <c r="V60" s="9">
        <f>SUM(UNALLOC_REFUNDED)</f>
        <v>0</v>
      </c>
    </row>
    <row r="61" spans="1:22" ht="5.0999999999999996" customHeight="1">
      <c r="B61" s="6"/>
      <c r="G61" s="9"/>
      <c r="L61" s="6"/>
      <c r="V61" s="9"/>
    </row>
    <row r="62" spans="1:22">
      <c r="B62" s="6"/>
      <c r="G62" s="9"/>
      <c r="L62" s="78" t="s">
        <v>80</v>
      </c>
      <c r="M62" s="79"/>
      <c r="N62" s="79"/>
      <c r="O62" s="79"/>
      <c r="P62" s="79"/>
      <c r="Q62" s="79"/>
      <c r="R62" s="79"/>
      <c r="S62" s="79"/>
      <c r="T62" s="79"/>
      <c r="U62" s="79"/>
      <c r="V62" s="80"/>
    </row>
    <row r="63" spans="1:22">
      <c r="B63" s="6"/>
      <c r="G63" s="9"/>
      <c r="L63" s="81"/>
      <c r="M63" s="79"/>
      <c r="N63" s="79"/>
      <c r="O63" s="79"/>
      <c r="P63" s="79"/>
      <c r="Q63" s="79"/>
      <c r="R63" s="79"/>
      <c r="S63" s="79"/>
      <c r="T63" s="79"/>
      <c r="U63" s="79"/>
      <c r="V63" s="80"/>
    </row>
    <row r="64" spans="1:22">
      <c r="B64" s="8"/>
      <c r="C64" s="5"/>
      <c r="D64" s="5"/>
      <c r="E64" s="5"/>
      <c r="F64" s="5"/>
      <c r="G64" s="11"/>
      <c r="L64" s="82"/>
      <c r="M64" s="83"/>
      <c r="N64" s="83"/>
      <c r="O64" s="83"/>
      <c r="P64" s="83"/>
      <c r="Q64" s="83"/>
      <c r="R64" s="83"/>
      <c r="S64" s="83"/>
      <c r="T64" s="83"/>
      <c r="U64" s="83"/>
      <c r="V64" s="84"/>
    </row>
  </sheetData>
  <mergeCells count="8">
    <mergeCell ref="L62:V64"/>
    <mergeCell ref="A1:G1"/>
    <mergeCell ref="B3:G3"/>
    <mergeCell ref="L3:V3"/>
    <mergeCell ref="L4:M4"/>
    <mergeCell ref="O4:P4"/>
    <mergeCell ref="R4:S4"/>
    <mergeCell ref="U4:V4"/>
  </mergeCells>
  <pageMargins left="0" right="0" top="0" bottom="0" header="0" footer="0"/>
  <pageSetup scale="48" orientation="landscape"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pageSetUpPr fitToPage="1"/>
  </sheetPr>
  <dimension ref="A1:V64"/>
  <sheetViews>
    <sheetView zoomScale="75" workbookViewId="0">
      <selection sqref="A1:G1"/>
    </sheetView>
  </sheetViews>
  <sheetFormatPr defaultColWidth="9.109375" defaultRowHeight="14.4"/>
  <cols>
    <col min="1" max="1" width="20" style="1" customWidth="1"/>
    <col min="2" max="7" width="15" style="1" customWidth="1"/>
    <col min="8" max="8" width="1" style="1" customWidth="1"/>
    <col min="9" max="9" width="30" style="1" customWidth="1"/>
    <col min="10" max="10" width="15" style="1" customWidth="1"/>
    <col min="11" max="11" width="1" style="1" customWidth="1"/>
    <col min="12" max="13" width="15" style="1" customWidth="1"/>
    <col min="14" max="14" width="1" style="1" customWidth="1"/>
    <col min="15" max="16" width="15" style="1" customWidth="1"/>
    <col min="17" max="17" width="1" style="1" customWidth="1"/>
    <col min="18" max="19" width="15" style="1" customWidth="1"/>
    <col min="20" max="20" width="1" style="1" customWidth="1"/>
    <col min="21" max="22" width="15" style="1" customWidth="1"/>
    <col min="23" max="23" width="9.109375" style="1" customWidth="1"/>
    <col min="24" max="16384" width="9.109375" style="1"/>
  </cols>
  <sheetData>
    <row r="1" spans="1:22">
      <c r="A1" s="85" t="s">
        <v>171</v>
      </c>
      <c r="B1" s="79"/>
      <c r="C1" s="79"/>
      <c r="D1" s="79"/>
      <c r="E1" s="79"/>
      <c r="F1" s="79"/>
      <c r="G1" s="79"/>
    </row>
    <row r="3" spans="1:22">
      <c r="B3" s="86" t="s">
        <v>1</v>
      </c>
      <c r="C3" s="87"/>
      <c r="D3" s="87"/>
      <c r="E3" s="87"/>
      <c r="F3" s="87"/>
      <c r="G3" s="88"/>
      <c r="L3" s="89" t="s">
        <v>2</v>
      </c>
      <c r="M3" s="90"/>
      <c r="N3" s="90"/>
      <c r="O3" s="90"/>
      <c r="P3" s="90"/>
      <c r="Q3" s="90"/>
      <c r="R3" s="90"/>
      <c r="S3" s="90"/>
      <c r="T3" s="90"/>
      <c r="U3" s="90"/>
      <c r="V3" s="91"/>
    </row>
    <row r="4" spans="1:22">
      <c r="B4" s="6"/>
      <c r="G4" s="9"/>
      <c r="L4" s="92" t="s">
        <v>3</v>
      </c>
      <c r="M4" s="93"/>
      <c r="N4" s="3"/>
      <c r="O4" s="94" t="s">
        <v>4</v>
      </c>
      <c r="P4" s="93"/>
      <c r="Q4" s="3"/>
      <c r="R4" s="94" t="s">
        <v>5</v>
      </c>
      <c r="S4" s="93"/>
      <c r="T4" s="3"/>
      <c r="U4" s="94" t="s">
        <v>6</v>
      </c>
      <c r="V4" s="95"/>
    </row>
    <row r="5" spans="1:22" ht="60" customHeight="1">
      <c r="B5" s="7" t="s">
        <v>3</v>
      </c>
      <c r="C5" s="4" t="s">
        <v>4</v>
      </c>
      <c r="D5" s="4" t="s">
        <v>5</v>
      </c>
      <c r="E5" s="4" t="s">
        <v>6</v>
      </c>
      <c r="F5" s="4" t="s">
        <v>7</v>
      </c>
      <c r="G5" s="10" t="s">
        <v>8</v>
      </c>
      <c r="L5" s="19" t="s">
        <v>9</v>
      </c>
      <c r="M5" s="18" t="s">
        <v>10</v>
      </c>
      <c r="N5" s="18"/>
      <c r="O5" s="18" t="s">
        <v>9</v>
      </c>
      <c r="P5" s="18" t="s">
        <v>10</v>
      </c>
      <c r="Q5" s="18"/>
      <c r="R5" s="18" t="s">
        <v>9</v>
      </c>
      <c r="S5" s="18" t="s">
        <v>10</v>
      </c>
      <c r="T5" s="18"/>
      <c r="U5" s="18" t="s">
        <v>9</v>
      </c>
      <c r="V5" s="20" t="s">
        <v>10</v>
      </c>
    </row>
    <row r="6" spans="1:22">
      <c r="A6" s="1" t="s">
        <v>11</v>
      </c>
      <c r="B6" s="6">
        <v>0</v>
      </c>
      <c r="C6" s="1">
        <v>0</v>
      </c>
      <c r="D6" s="1">
        <v>0</v>
      </c>
      <c r="E6" s="1">
        <v>0</v>
      </c>
      <c r="F6" s="1">
        <v>0</v>
      </c>
      <c r="G6" s="9">
        <f>SUM(AL_FINANCIAL)</f>
        <v>0</v>
      </c>
      <c r="L6" s="6"/>
      <c r="V6" s="9"/>
    </row>
    <row r="7" spans="1:22">
      <c r="A7" s="1" t="s">
        <v>12</v>
      </c>
      <c r="B7" s="6">
        <v>0</v>
      </c>
      <c r="C7" s="1">
        <v>0</v>
      </c>
      <c r="D7" s="1">
        <v>0</v>
      </c>
      <c r="E7" s="1">
        <v>0</v>
      </c>
      <c r="F7" s="1">
        <v>0</v>
      </c>
      <c r="G7" s="9">
        <f>SUM(AK_FINANCIAL)</f>
        <v>0</v>
      </c>
      <c r="I7" s="12"/>
      <c r="J7" s="15"/>
      <c r="L7" s="6"/>
      <c r="V7" s="9"/>
    </row>
    <row r="8" spans="1:22">
      <c r="A8" s="1" t="s">
        <v>13</v>
      </c>
      <c r="B8" s="6">
        <v>0</v>
      </c>
      <c r="C8" s="1">
        <v>0</v>
      </c>
      <c r="D8" s="1">
        <v>0</v>
      </c>
      <c r="E8" s="1">
        <v>0</v>
      </c>
      <c r="F8" s="1">
        <v>0</v>
      </c>
      <c r="G8" s="9">
        <f>SUM(AZ_FINANCIAL)</f>
        <v>0</v>
      </c>
      <c r="I8" s="13" t="s">
        <v>14</v>
      </c>
      <c r="J8" s="16"/>
      <c r="L8" s="6"/>
      <c r="V8" s="9"/>
    </row>
    <row r="9" spans="1:22">
      <c r="A9" s="1" t="s">
        <v>15</v>
      </c>
      <c r="B9" s="6">
        <v>0</v>
      </c>
      <c r="C9" s="1">
        <v>0</v>
      </c>
      <c r="D9" s="1">
        <v>0</v>
      </c>
      <c r="E9" s="1">
        <v>0</v>
      </c>
      <c r="F9" s="1">
        <v>0</v>
      </c>
      <c r="G9" s="9">
        <f>SUM(AR_FINANCIAL)</f>
        <v>0</v>
      </c>
      <c r="I9" s="13"/>
      <c r="J9" s="16"/>
      <c r="L9" s="6"/>
      <c r="V9" s="9"/>
    </row>
    <row r="10" spans="1:22">
      <c r="A10" s="1" t="s">
        <v>16</v>
      </c>
      <c r="B10" s="6">
        <v>1795.8211484868311</v>
      </c>
      <c r="C10" s="1">
        <v>0</v>
      </c>
      <c r="D10" s="1">
        <v>161.73061342008884</v>
      </c>
      <c r="E10" s="1">
        <v>0</v>
      </c>
      <c r="F10" s="1">
        <v>0</v>
      </c>
      <c r="G10" s="9">
        <f>SUM(CA_FINANCIAL)</f>
        <v>1957.5517619069201</v>
      </c>
      <c r="I10" s="13" t="s">
        <v>17</v>
      </c>
      <c r="J10" s="16">
        <v>0</v>
      </c>
      <c r="L10" s="6"/>
      <c r="V10" s="9"/>
    </row>
    <row r="11" spans="1:22">
      <c r="A11" s="1" t="s">
        <v>18</v>
      </c>
      <c r="B11" s="6">
        <v>0</v>
      </c>
      <c r="C11" s="1">
        <v>0</v>
      </c>
      <c r="D11" s="1">
        <v>0</v>
      </c>
      <c r="E11" s="1">
        <v>0</v>
      </c>
      <c r="F11" s="1">
        <v>0</v>
      </c>
      <c r="G11" s="9">
        <f>SUM(CO_FINANCIAL)</f>
        <v>0</v>
      </c>
      <c r="I11" s="13"/>
      <c r="J11" s="16"/>
      <c r="L11" s="6"/>
      <c r="V11" s="9"/>
    </row>
    <row r="12" spans="1:22">
      <c r="A12" s="1" t="s">
        <v>19</v>
      </c>
      <c r="B12" s="6">
        <v>0</v>
      </c>
      <c r="C12" s="1">
        <v>0</v>
      </c>
      <c r="D12" s="1">
        <v>0</v>
      </c>
      <c r="E12" s="1">
        <v>0</v>
      </c>
      <c r="F12" s="1">
        <v>0</v>
      </c>
      <c r="G12" s="9">
        <f>SUM(CT_FINANCIAL)</f>
        <v>0</v>
      </c>
      <c r="I12" s="13" t="s">
        <v>20</v>
      </c>
      <c r="J12" s="16"/>
      <c r="L12" s="6"/>
      <c r="V12" s="9"/>
    </row>
    <row r="13" spans="1:22">
      <c r="A13" s="1" t="s">
        <v>21</v>
      </c>
      <c r="B13" s="6">
        <v>0</v>
      </c>
      <c r="C13" s="1">
        <v>0</v>
      </c>
      <c r="D13" s="1">
        <v>0</v>
      </c>
      <c r="E13" s="1">
        <v>0</v>
      </c>
      <c r="F13" s="1">
        <v>0</v>
      </c>
      <c r="G13" s="9">
        <f>SUM(DE_FINANCIAL)</f>
        <v>0</v>
      </c>
      <c r="I13" s="13" t="s">
        <v>22</v>
      </c>
      <c r="J13" s="16">
        <v>0</v>
      </c>
      <c r="L13" s="6"/>
      <c r="V13" s="9"/>
    </row>
    <row r="14" spans="1:22">
      <c r="A14" s="1" t="s">
        <v>23</v>
      </c>
      <c r="B14" s="6">
        <v>1253.1596812673035</v>
      </c>
      <c r="C14" s="1">
        <v>0</v>
      </c>
      <c r="D14" s="1">
        <v>254.54634560540239</v>
      </c>
      <c r="E14" s="1">
        <v>0</v>
      </c>
      <c r="F14" s="1">
        <v>0</v>
      </c>
      <c r="G14" s="9">
        <f>SUM(DC_FINANCIAL)</f>
        <v>1507.7060268727059</v>
      </c>
      <c r="I14" s="13" t="s">
        <v>24</v>
      </c>
      <c r="J14" s="16">
        <v>0</v>
      </c>
      <c r="L14" s="6"/>
      <c r="V14" s="9"/>
    </row>
    <row r="15" spans="1:22">
      <c r="A15" s="1" t="s">
        <v>25</v>
      </c>
      <c r="B15" s="6">
        <v>0</v>
      </c>
      <c r="C15" s="1">
        <v>0</v>
      </c>
      <c r="D15" s="1">
        <v>0</v>
      </c>
      <c r="E15" s="1">
        <v>0</v>
      </c>
      <c r="F15" s="1">
        <v>0</v>
      </c>
      <c r="G15" s="9">
        <f>SUM(FL_FINANCIAL)</f>
        <v>0</v>
      </c>
      <c r="I15" s="13" t="s">
        <v>26</v>
      </c>
      <c r="J15" s="16">
        <v>37530.230000000003</v>
      </c>
      <c r="L15" s="6"/>
      <c r="V15" s="9"/>
    </row>
    <row r="16" spans="1:22">
      <c r="A16" s="1" t="s">
        <v>27</v>
      </c>
      <c r="B16" s="6">
        <v>0</v>
      </c>
      <c r="C16" s="1">
        <v>0</v>
      </c>
      <c r="D16" s="1">
        <v>0</v>
      </c>
      <c r="E16" s="1">
        <v>0</v>
      </c>
      <c r="F16" s="1">
        <v>0</v>
      </c>
      <c r="G16" s="9">
        <f>SUM(GA_FINANCIAL)</f>
        <v>0</v>
      </c>
      <c r="I16" s="13" t="s">
        <v>28</v>
      </c>
      <c r="J16" s="16">
        <v>0</v>
      </c>
      <c r="L16" s="6"/>
      <c r="V16" s="9"/>
    </row>
    <row r="17" spans="1:22">
      <c r="A17" s="1" t="s">
        <v>29</v>
      </c>
      <c r="B17" s="6">
        <v>0</v>
      </c>
      <c r="C17" s="1">
        <v>0</v>
      </c>
      <c r="D17" s="1">
        <v>0</v>
      </c>
      <c r="E17" s="1">
        <v>0</v>
      </c>
      <c r="F17" s="1">
        <v>0</v>
      </c>
      <c r="G17" s="9">
        <f>SUM(HI_FINANCIAL)</f>
        <v>0</v>
      </c>
      <c r="I17" s="13"/>
      <c r="J17" s="16"/>
      <c r="L17" s="6"/>
      <c r="V17" s="9"/>
    </row>
    <row r="18" spans="1:22">
      <c r="A18" s="1" t="s">
        <v>30</v>
      </c>
      <c r="B18" s="6">
        <v>0</v>
      </c>
      <c r="C18" s="1">
        <v>0</v>
      </c>
      <c r="D18" s="1">
        <v>0</v>
      </c>
      <c r="E18" s="1">
        <v>0</v>
      </c>
      <c r="F18" s="1">
        <v>0</v>
      </c>
      <c r="G18" s="9">
        <f>SUM(ID_FINANCIAL)</f>
        <v>0</v>
      </c>
      <c r="I18" s="13" t="s">
        <v>31</v>
      </c>
      <c r="J18" s="16"/>
      <c r="L18" s="6"/>
      <c r="V18" s="9"/>
    </row>
    <row r="19" spans="1:22">
      <c r="A19" s="1" t="s">
        <v>32</v>
      </c>
      <c r="B19" s="6">
        <v>9845.048879317992</v>
      </c>
      <c r="C19" s="1">
        <v>0</v>
      </c>
      <c r="D19" s="1">
        <v>5669.1015743005346</v>
      </c>
      <c r="E19" s="1">
        <v>0</v>
      </c>
      <c r="F19" s="1">
        <v>0</v>
      </c>
      <c r="G19" s="9">
        <f>SUM(IL_FINANCIAL)</f>
        <v>15514.150453618528</v>
      </c>
      <c r="I19" s="13" t="s">
        <v>33</v>
      </c>
      <c r="J19" s="16">
        <v>0</v>
      </c>
      <c r="L19" s="6">
        <v>80000</v>
      </c>
      <c r="M19" s="1">
        <v>54000</v>
      </c>
      <c r="O19" s="1">
        <v>0</v>
      </c>
      <c r="P19" s="1">
        <v>0</v>
      </c>
      <c r="R19" s="1">
        <v>20000</v>
      </c>
      <c r="S19" s="1">
        <v>24000</v>
      </c>
      <c r="U19" s="1">
        <v>0</v>
      </c>
      <c r="V19" s="9">
        <v>0</v>
      </c>
    </row>
    <row r="20" spans="1:22">
      <c r="A20" s="1" t="s">
        <v>34</v>
      </c>
      <c r="B20" s="6">
        <v>1260.6514903054633</v>
      </c>
      <c r="C20" s="1">
        <v>0</v>
      </c>
      <c r="D20" s="1">
        <v>311.6826572904946</v>
      </c>
      <c r="E20" s="1">
        <v>0</v>
      </c>
      <c r="F20" s="1">
        <v>0</v>
      </c>
      <c r="G20" s="9">
        <f>SUM(IN_FINANCIAL)</f>
        <v>1572.3341475959578</v>
      </c>
      <c r="I20" s="13" t="s">
        <v>35</v>
      </c>
      <c r="J20" s="16">
        <v>0</v>
      </c>
      <c r="L20" s="6"/>
      <c r="V20" s="9"/>
    </row>
    <row r="21" spans="1:22">
      <c r="A21" s="1" t="s">
        <v>36</v>
      </c>
      <c r="B21" s="6">
        <v>0</v>
      </c>
      <c r="C21" s="1">
        <v>0</v>
      </c>
      <c r="D21" s="1">
        <v>0</v>
      </c>
      <c r="E21" s="1">
        <v>0</v>
      </c>
      <c r="F21" s="1">
        <v>0</v>
      </c>
      <c r="G21" s="9">
        <f>SUM(IA_FINANCIAL)</f>
        <v>0</v>
      </c>
      <c r="I21" s="13" t="s">
        <v>37</v>
      </c>
      <c r="J21" s="16"/>
      <c r="L21" s="6"/>
      <c r="V21" s="9"/>
    </row>
    <row r="22" spans="1:22">
      <c r="A22" s="1" t="s">
        <v>38</v>
      </c>
      <c r="B22" s="6">
        <v>0</v>
      </c>
      <c r="C22" s="1">
        <v>0</v>
      </c>
      <c r="D22" s="1">
        <v>0</v>
      </c>
      <c r="E22" s="1">
        <v>0</v>
      </c>
      <c r="F22" s="1">
        <v>0</v>
      </c>
      <c r="G22" s="9">
        <f>SUM(KS_FINANCIAL)</f>
        <v>0</v>
      </c>
      <c r="I22" s="13" t="s">
        <v>39</v>
      </c>
      <c r="J22" s="16">
        <v>0</v>
      </c>
      <c r="L22" s="6"/>
      <c r="V22" s="9"/>
    </row>
    <row r="23" spans="1:22">
      <c r="A23" s="1" t="s">
        <v>40</v>
      </c>
      <c r="B23" s="6">
        <v>1456.5713818114373</v>
      </c>
      <c r="C23" s="1">
        <v>0</v>
      </c>
      <c r="D23" s="1">
        <v>670.20401198926083</v>
      </c>
      <c r="E23" s="1">
        <v>0</v>
      </c>
      <c r="F23" s="1">
        <v>0</v>
      </c>
      <c r="G23" s="9">
        <f>SUM(KY_FINANCIAL)</f>
        <v>2126.7753938006981</v>
      </c>
      <c r="I23" s="13" t="s">
        <v>41</v>
      </c>
      <c r="J23" s="16"/>
      <c r="L23" s="6"/>
      <c r="V23" s="9"/>
    </row>
    <row r="24" spans="1:22">
      <c r="A24" s="1" t="s">
        <v>42</v>
      </c>
      <c r="B24" s="6">
        <v>0</v>
      </c>
      <c r="C24" s="1">
        <v>0</v>
      </c>
      <c r="D24" s="1">
        <v>0</v>
      </c>
      <c r="E24" s="1">
        <v>0</v>
      </c>
      <c r="F24" s="1">
        <v>0</v>
      </c>
      <c r="G24" s="9">
        <f>SUM(LA_FINANCIAL)</f>
        <v>0</v>
      </c>
      <c r="I24" s="13" t="s">
        <v>43</v>
      </c>
      <c r="J24" s="16">
        <v>0</v>
      </c>
      <c r="L24" s="6"/>
      <c r="V24" s="9"/>
    </row>
    <row r="25" spans="1:22">
      <c r="A25" s="1" t="s">
        <v>44</v>
      </c>
      <c r="B25" s="6">
        <v>0</v>
      </c>
      <c r="C25" s="1">
        <v>0</v>
      </c>
      <c r="D25" s="1">
        <v>0</v>
      </c>
      <c r="E25" s="1">
        <v>0</v>
      </c>
      <c r="F25" s="1">
        <v>0</v>
      </c>
      <c r="G25" s="9">
        <f>SUM(ME_FINANCIAL)</f>
        <v>0</v>
      </c>
      <c r="I25" s="13"/>
      <c r="J25" s="16"/>
      <c r="L25" s="6"/>
      <c r="V25" s="9"/>
    </row>
    <row r="26" spans="1:22">
      <c r="A26" s="1" t="s">
        <v>45</v>
      </c>
      <c r="B26" s="6">
        <v>1263.7515462845488</v>
      </c>
      <c r="C26" s="1">
        <v>0</v>
      </c>
      <c r="D26" s="1">
        <v>112.1471291131039</v>
      </c>
      <c r="E26" s="1">
        <v>0</v>
      </c>
      <c r="F26" s="1">
        <v>0</v>
      </c>
      <c r="G26" s="9">
        <f>SUM(MD_FINANCIAL)</f>
        <v>1375.8986753976526</v>
      </c>
      <c r="I26" s="13" t="s">
        <v>46</v>
      </c>
      <c r="J26" s="16">
        <f>SUM(ADD_FINANCIAL)-SUM(LESS_FINANCIAL)</f>
        <v>37530.230000000003</v>
      </c>
      <c r="L26" s="6"/>
      <c r="V26" s="9"/>
    </row>
    <row r="27" spans="1:22">
      <c r="A27" s="1" t="s">
        <v>47</v>
      </c>
      <c r="B27" s="6">
        <v>0</v>
      </c>
      <c r="C27" s="1">
        <v>0</v>
      </c>
      <c r="D27" s="1">
        <v>0</v>
      </c>
      <c r="E27" s="1">
        <v>0</v>
      </c>
      <c r="F27" s="1">
        <v>0</v>
      </c>
      <c r="G27" s="9">
        <f>SUM(MA_FINANCIAL)</f>
        <v>0</v>
      </c>
      <c r="I27" s="13" t="s">
        <v>48</v>
      </c>
      <c r="J27" s="16">
        <f>SUM(ALL_BLOCKS)</f>
        <v>37530.230000000003</v>
      </c>
      <c r="L27" s="6"/>
      <c r="V27" s="9"/>
    </row>
    <row r="28" spans="1:22">
      <c r="A28" s="1" t="s">
        <v>49</v>
      </c>
      <c r="B28" s="6">
        <v>1966.9118658632019</v>
      </c>
      <c r="C28" s="1">
        <v>0</v>
      </c>
      <c r="D28" s="1">
        <v>294.22198944109914</v>
      </c>
      <c r="E28" s="1">
        <v>0</v>
      </c>
      <c r="F28" s="1">
        <v>0</v>
      </c>
      <c r="G28" s="9">
        <f>SUM(MI_FINANCIAL)</f>
        <v>2261.1338553043011</v>
      </c>
      <c r="I28" s="14"/>
      <c r="J28" s="17"/>
      <c r="L28" s="6"/>
      <c r="V28" s="9"/>
    </row>
    <row r="29" spans="1:22">
      <c r="A29" s="1" t="s">
        <v>50</v>
      </c>
      <c r="B29" s="6">
        <v>0</v>
      </c>
      <c r="C29" s="1">
        <v>0</v>
      </c>
      <c r="D29" s="1">
        <v>0</v>
      </c>
      <c r="E29" s="1">
        <v>0</v>
      </c>
      <c r="F29" s="1">
        <v>0</v>
      </c>
      <c r="G29" s="9">
        <f>SUM(MN_FINANCIAL)</f>
        <v>0</v>
      </c>
      <c r="L29" s="6"/>
      <c r="V29" s="9"/>
    </row>
    <row r="30" spans="1:22">
      <c r="A30" s="1" t="s">
        <v>51</v>
      </c>
      <c r="B30" s="6">
        <v>0</v>
      </c>
      <c r="C30" s="1">
        <v>0</v>
      </c>
      <c r="D30" s="1">
        <v>0</v>
      </c>
      <c r="E30" s="1">
        <v>0</v>
      </c>
      <c r="F30" s="1">
        <v>0</v>
      </c>
      <c r="G30" s="9">
        <f>SUM(MS_FINANCIAL)</f>
        <v>0</v>
      </c>
      <c r="L30" s="6"/>
      <c r="V30" s="9"/>
    </row>
    <row r="31" spans="1:22">
      <c r="A31" s="1" t="s">
        <v>52</v>
      </c>
      <c r="B31" s="6">
        <v>473.99865322462387</v>
      </c>
      <c r="C31" s="1">
        <v>0</v>
      </c>
      <c r="D31" s="1">
        <v>154.42478380804948</v>
      </c>
      <c r="E31" s="1">
        <v>0</v>
      </c>
      <c r="F31" s="1">
        <v>0</v>
      </c>
      <c r="G31" s="9">
        <f>SUM(MO_FINANCIAL)</f>
        <v>628.42343703267329</v>
      </c>
      <c r="L31" s="6"/>
      <c r="V31" s="9"/>
    </row>
    <row r="32" spans="1:22">
      <c r="A32" s="1" t="s">
        <v>53</v>
      </c>
      <c r="B32" s="6">
        <v>0</v>
      </c>
      <c r="C32" s="1">
        <v>0</v>
      </c>
      <c r="D32" s="1">
        <v>0</v>
      </c>
      <c r="E32" s="1">
        <v>0</v>
      </c>
      <c r="F32" s="1">
        <v>0</v>
      </c>
      <c r="G32" s="9">
        <f>SUM(MT_FINANCIAL)</f>
        <v>0</v>
      </c>
      <c r="L32" s="6"/>
      <c r="V32" s="9"/>
    </row>
    <row r="33" spans="1:22">
      <c r="A33" s="1" t="s">
        <v>54</v>
      </c>
      <c r="B33" s="6">
        <v>0</v>
      </c>
      <c r="C33" s="1">
        <v>0</v>
      </c>
      <c r="D33" s="1">
        <v>0</v>
      </c>
      <c r="E33" s="1">
        <v>0</v>
      </c>
      <c r="F33" s="1">
        <v>0</v>
      </c>
      <c r="G33" s="9">
        <f>SUM(NE_FINANCIAL)</f>
        <v>0</v>
      </c>
      <c r="L33" s="6"/>
      <c r="V33" s="9"/>
    </row>
    <row r="34" spans="1:22">
      <c r="A34" s="1" t="s">
        <v>55</v>
      </c>
      <c r="B34" s="6">
        <v>0</v>
      </c>
      <c r="C34" s="1">
        <v>0</v>
      </c>
      <c r="D34" s="1">
        <v>0</v>
      </c>
      <c r="E34" s="1">
        <v>0</v>
      </c>
      <c r="F34" s="1">
        <v>0</v>
      </c>
      <c r="G34" s="9">
        <f>SUM(NV_FINANCIAL)</f>
        <v>0</v>
      </c>
      <c r="L34" s="6"/>
      <c r="V34" s="9"/>
    </row>
    <row r="35" spans="1:22">
      <c r="A35" s="1" t="s">
        <v>56</v>
      </c>
      <c r="B35" s="6">
        <v>0</v>
      </c>
      <c r="C35" s="1">
        <v>0</v>
      </c>
      <c r="D35" s="1">
        <v>0</v>
      </c>
      <c r="E35" s="1">
        <v>0</v>
      </c>
      <c r="F35" s="1">
        <v>0</v>
      </c>
      <c r="G35" s="9">
        <f>SUM(NH_FINANCIAL)</f>
        <v>0</v>
      </c>
      <c r="L35" s="6"/>
      <c r="V35" s="9"/>
    </row>
    <row r="36" spans="1:22">
      <c r="A36" s="1" t="s">
        <v>57</v>
      </c>
      <c r="B36" s="6">
        <v>0</v>
      </c>
      <c r="C36" s="1">
        <v>0</v>
      </c>
      <c r="D36" s="1">
        <v>0</v>
      </c>
      <c r="E36" s="1">
        <v>0</v>
      </c>
      <c r="F36" s="1">
        <v>0</v>
      </c>
      <c r="G36" s="9">
        <f>SUM(NJ_FINANCIAL)</f>
        <v>0</v>
      </c>
      <c r="L36" s="6"/>
      <c r="V36" s="9"/>
    </row>
    <row r="37" spans="1:22">
      <c r="A37" s="1" t="s">
        <v>58</v>
      </c>
      <c r="B37" s="6">
        <v>0</v>
      </c>
      <c r="C37" s="1">
        <v>0</v>
      </c>
      <c r="D37" s="1">
        <v>0</v>
      </c>
      <c r="E37" s="1">
        <v>0</v>
      </c>
      <c r="F37" s="1">
        <v>0</v>
      </c>
      <c r="G37" s="9">
        <f>SUM(NM_FINANCIAL)</f>
        <v>0</v>
      </c>
      <c r="L37" s="6"/>
      <c r="V37" s="9"/>
    </row>
    <row r="38" spans="1:22">
      <c r="A38" s="1" t="s">
        <v>59</v>
      </c>
      <c r="B38" s="6">
        <v>0</v>
      </c>
      <c r="C38" s="1">
        <v>0</v>
      </c>
      <c r="D38" s="1">
        <v>0</v>
      </c>
      <c r="E38" s="1">
        <v>0</v>
      </c>
      <c r="F38" s="1">
        <v>0</v>
      </c>
      <c r="G38" s="9">
        <f>SUM(NY_FINANCIAL)</f>
        <v>0</v>
      </c>
      <c r="L38" s="6"/>
      <c r="V38" s="9"/>
    </row>
    <row r="39" spans="1:22">
      <c r="A39" s="1" t="s">
        <v>60</v>
      </c>
      <c r="B39" s="6">
        <v>0</v>
      </c>
      <c r="C39" s="1">
        <v>0</v>
      </c>
      <c r="D39" s="1">
        <v>0</v>
      </c>
      <c r="E39" s="1">
        <v>0</v>
      </c>
      <c r="F39" s="1">
        <v>0</v>
      </c>
      <c r="G39" s="9">
        <f>SUM(NC_FINANCIAL)</f>
        <v>0</v>
      </c>
      <c r="L39" s="6"/>
      <c r="V39" s="9"/>
    </row>
    <row r="40" spans="1:22">
      <c r="A40" s="1" t="s">
        <v>61</v>
      </c>
      <c r="B40" s="6">
        <v>0</v>
      </c>
      <c r="C40" s="1">
        <v>0</v>
      </c>
      <c r="D40" s="1">
        <v>0</v>
      </c>
      <c r="E40" s="1">
        <v>0</v>
      </c>
      <c r="F40" s="1">
        <v>0</v>
      </c>
      <c r="G40" s="9">
        <f>SUM(ND_FINANCIAL)</f>
        <v>0</v>
      </c>
      <c r="L40" s="6"/>
      <c r="V40" s="9"/>
    </row>
    <row r="41" spans="1:22">
      <c r="A41" s="1" t="s">
        <v>62</v>
      </c>
      <c r="B41" s="6">
        <v>7358.9662134389018</v>
      </c>
      <c r="C41" s="1">
        <v>0</v>
      </c>
      <c r="D41" s="1">
        <v>1621.7914570645657</v>
      </c>
      <c r="E41" s="1">
        <v>0</v>
      </c>
      <c r="F41" s="1">
        <v>0</v>
      </c>
      <c r="G41" s="9">
        <f>SUM(OH_FINANCIAL)</f>
        <v>8980.757670503468</v>
      </c>
      <c r="L41" s="6"/>
      <c r="V41" s="9"/>
    </row>
    <row r="42" spans="1:22">
      <c r="A42" s="1" t="s">
        <v>63</v>
      </c>
      <c r="B42" s="6">
        <v>0</v>
      </c>
      <c r="C42" s="1">
        <v>0</v>
      </c>
      <c r="D42" s="1">
        <v>0</v>
      </c>
      <c r="E42" s="1">
        <v>0</v>
      </c>
      <c r="F42" s="1">
        <v>0</v>
      </c>
      <c r="G42" s="9">
        <f>SUM(OK_FINANCIAL)</f>
        <v>0</v>
      </c>
      <c r="L42" s="6"/>
      <c r="V42" s="9"/>
    </row>
    <row r="43" spans="1:22">
      <c r="A43" s="1" t="s">
        <v>64</v>
      </c>
      <c r="B43" s="6">
        <v>0</v>
      </c>
      <c r="C43" s="1">
        <v>0</v>
      </c>
      <c r="D43" s="1">
        <v>0</v>
      </c>
      <c r="E43" s="1">
        <v>0</v>
      </c>
      <c r="F43" s="1">
        <v>0</v>
      </c>
      <c r="G43" s="9">
        <f>SUM(OR_FINANCIAL)</f>
        <v>0</v>
      </c>
      <c r="L43" s="6"/>
      <c r="V43" s="9"/>
    </row>
    <row r="44" spans="1:22">
      <c r="A44" s="1" t="s">
        <v>65</v>
      </c>
      <c r="B44" s="6">
        <v>0</v>
      </c>
      <c r="C44" s="1">
        <v>0</v>
      </c>
      <c r="D44" s="1">
        <v>0</v>
      </c>
      <c r="E44" s="1">
        <v>0</v>
      </c>
      <c r="F44" s="1">
        <v>0</v>
      </c>
      <c r="G44" s="9">
        <f>SUM(PA_FINANCIAL)</f>
        <v>0</v>
      </c>
      <c r="L44" s="6"/>
      <c r="V44" s="9"/>
    </row>
    <row r="45" spans="1:22">
      <c r="A45" s="1" t="s">
        <v>66</v>
      </c>
      <c r="B45" s="6">
        <v>0</v>
      </c>
      <c r="C45" s="1">
        <v>0</v>
      </c>
      <c r="D45" s="1">
        <v>0</v>
      </c>
      <c r="E45" s="1">
        <v>0</v>
      </c>
      <c r="F45" s="1">
        <v>0</v>
      </c>
      <c r="G45" s="9">
        <f>SUM(PR_FINANCIAL)</f>
        <v>0</v>
      </c>
      <c r="L45" s="6"/>
      <c r="V45" s="9"/>
    </row>
    <row r="46" spans="1:22">
      <c r="A46" s="1" t="s">
        <v>67</v>
      </c>
      <c r="B46" s="6">
        <v>0</v>
      </c>
      <c r="C46" s="1">
        <v>0</v>
      </c>
      <c r="D46" s="1">
        <v>0</v>
      </c>
      <c r="E46" s="1">
        <v>0</v>
      </c>
      <c r="F46" s="1">
        <v>0</v>
      </c>
      <c r="G46" s="9">
        <f>SUM(RI_FINANCIAL)</f>
        <v>0</v>
      </c>
      <c r="L46" s="6"/>
      <c r="V46" s="9"/>
    </row>
    <row r="47" spans="1:22">
      <c r="A47" s="1" t="s">
        <v>68</v>
      </c>
      <c r="B47" s="6">
        <v>0</v>
      </c>
      <c r="C47" s="1">
        <v>0</v>
      </c>
      <c r="D47" s="1">
        <v>0</v>
      </c>
      <c r="E47" s="1">
        <v>0</v>
      </c>
      <c r="F47" s="1">
        <v>0</v>
      </c>
      <c r="G47" s="9">
        <f>SUM(SC_FINANCIAL)</f>
        <v>0</v>
      </c>
      <c r="L47" s="6"/>
      <c r="V47" s="9"/>
    </row>
    <row r="48" spans="1:22">
      <c r="A48" s="1" t="s">
        <v>69</v>
      </c>
      <c r="B48" s="6">
        <v>0</v>
      </c>
      <c r="C48" s="1">
        <v>0</v>
      </c>
      <c r="D48" s="1">
        <v>0</v>
      </c>
      <c r="E48" s="1">
        <v>0</v>
      </c>
      <c r="F48" s="1">
        <v>0</v>
      </c>
      <c r="G48" s="9">
        <f>SUM(SD_FINANCIAL)</f>
        <v>0</v>
      </c>
      <c r="L48" s="6"/>
      <c r="V48" s="9"/>
    </row>
    <row r="49" spans="1:22">
      <c r="A49" s="1" t="s">
        <v>70</v>
      </c>
      <c r="B49" s="6">
        <v>0</v>
      </c>
      <c r="C49" s="1">
        <v>0</v>
      </c>
      <c r="D49" s="1">
        <v>0</v>
      </c>
      <c r="E49" s="1">
        <v>0</v>
      </c>
      <c r="F49" s="1">
        <v>0</v>
      </c>
      <c r="G49" s="9">
        <f>SUM(TN_FINANCIAL)</f>
        <v>0</v>
      </c>
      <c r="L49" s="6"/>
      <c r="V49" s="9"/>
    </row>
    <row r="50" spans="1:22">
      <c r="A50" s="1" t="s">
        <v>71</v>
      </c>
      <c r="B50" s="6">
        <v>0</v>
      </c>
      <c r="C50" s="1">
        <v>0</v>
      </c>
      <c r="D50" s="1">
        <v>0</v>
      </c>
      <c r="E50" s="1">
        <v>0</v>
      </c>
      <c r="F50" s="1">
        <v>0</v>
      </c>
      <c r="G50" s="9">
        <f>SUM(TX_FINANCIAL)</f>
        <v>0</v>
      </c>
      <c r="L50" s="6"/>
      <c r="V50" s="9"/>
    </row>
    <row r="51" spans="1:22">
      <c r="A51" s="1" t="s">
        <v>72</v>
      </c>
      <c r="B51" s="6">
        <v>0</v>
      </c>
      <c r="C51" s="1">
        <v>0</v>
      </c>
      <c r="D51" s="1">
        <v>0</v>
      </c>
      <c r="E51" s="1">
        <v>0</v>
      </c>
      <c r="F51" s="1">
        <v>0</v>
      </c>
      <c r="G51" s="9">
        <f>SUM(UT_FINANCIAL)</f>
        <v>0</v>
      </c>
      <c r="L51" s="6"/>
      <c r="V51" s="9"/>
    </row>
    <row r="52" spans="1:22">
      <c r="A52" s="1" t="s">
        <v>73</v>
      </c>
      <c r="B52" s="6">
        <v>0</v>
      </c>
      <c r="C52" s="1">
        <v>0</v>
      </c>
      <c r="D52" s="1">
        <v>0</v>
      </c>
      <c r="E52" s="1">
        <v>0</v>
      </c>
      <c r="F52" s="1">
        <v>0</v>
      </c>
      <c r="G52" s="9">
        <f>SUM(VT_FINANCIAL)</f>
        <v>0</v>
      </c>
      <c r="L52" s="6"/>
      <c r="V52" s="9"/>
    </row>
    <row r="53" spans="1:22">
      <c r="A53" s="1" t="s">
        <v>74</v>
      </c>
      <c r="B53" s="6">
        <v>0</v>
      </c>
      <c r="C53" s="1">
        <v>0</v>
      </c>
      <c r="D53" s="1">
        <v>0</v>
      </c>
      <c r="E53" s="1">
        <v>0</v>
      </c>
      <c r="F53" s="1">
        <v>0</v>
      </c>
      <c r="G53" s="9">
        <f>SUM(VA_FINANCIAL)</f>
        <v>0</v>
      </c>
      <c r="L53" s="6"/>
      <c r="V53" s="9"/>
    </row>
    <row r="54" spans="1:22">
      <c r="A54" s="1" t="s">
        <v>75</v>
      </c>
      <c r="B54" s="6">
        <v>0</v>
      </c>
      <c r="C54" s="1">
        <v>0</v>
      </c>
      <c r="D54" s="1">
        <v>0</v>
      </c>
      <c r="E54" s="1">
        <v>0</v>
      </c>
      <c r="F54" s="1">
        <v>0</v>
      </c>
      <c r="G54" s="9">
        <f>SUM(WA_FINANCIAL)</f>
        <v>0</v>
      </c>
      <c r="L54" s="6"/>
      <c r="V54" s="9"/>
    </row>
    <row r="55" spans="1:22">
      <c r="A55" s="1" t="s">
        <v>76</v>
      </c>
      <c r="B55" s="6">
        <v>1230.8303932154763</v>
      </c>
      <c r="C55" s="1">
        <v>0</v>
      </c>
      <c r="D55" s="1">
        <v>374.66818475162393</v>
      </c>
      <c r="E55" s="1">
        <v>0</v>
      </c>
      <c r="F55" s="1">
        <v>0</v>
      </c>
      <c r="G55" s="9">
        <f>SUM(WV_FINANCIAL)</f>
        <v>1605.4985779671001</v>
      </c>
      <c r="L55" s="6"/>
      <c r="V55" s="9"/>
    </row>
    <row r="56" spans="1:22">
      <c r="A56" s="1" t="s">
        <v>77</v>
      </c>
      <c r="B56" s="6">
        <v>0</v>
      </c>
      <c r="C56" s="1">
        <v>0</v>
      </c>
      <c r="D56" s="1">
        <v>0</v>
      </c>
      <c r="E56" s="1">
        <v>0</v>
      </c>
      <c r="F56" s="1">
        <v>0</v>
      </c>
      <c r="G56" s="9">
        <f>SUM(WI_FINANCIAL)</f>
        <v>0</v>
      </c>
      <c r="L56" s="6"/>
      <c r="V56" s="9"/>
    </row>
    <row r="57" spans="1:22">
      <c r="A57" s="1" t="s">
        <v>78</v>
      </c>
      <c r="B57" s="6">
        <v>0</v>
      </c>
      <c r="C57" s="1">
        <v>0</v>
      </c>
      <c r="D57" s="1">
        <v>0</v>
      </c>
      <c r="E57" s="1">
        <v>0</v>
      </c>
      <c r="F57" s="1">
        <v>0</v>
      </c>
      <c r="G57" s="9">
        <f>SUM(WY_FINANCIAL)</f>
        <v>0</v>
      </c>
      <c r="L57" s="6"/>
      <c r="V57" s="9"/>
    </row>
    <row r="58" spans="1:22">
      <c r="A58" s="1" t="s">
        <v>79</v>
      </c>
      <c r="B58" s="6">
        <v>0</v>
      </c>
      <c r="C58" s="1">
        <v>0</v>
      </c>
      <c r="D58" s="1">
        <v>0</v>
      </c>
      <c r="E58" s="1">
        <v>0</v>
      </c>
      <c r="F58" s="1">
        <v>0</v>
      </c>
      <c r="G58" s="9">
        <f>SUM(OT_FINANCIAL)</f>
        <v>0</v>
      </c>
      <c r="L58" s="6"/>
      <c r="V58" s="9"/>
    </row>
    <row r="59" spans="1:22">
      <c r="B59" s="6"/>
      <c r="G59" s="9"/>
      <c r="L59" s="6"/>
      <c r="V59" s="9"/>
    </row>
    <row r="60" spans="1:22">
      <c r="A60" s="1" t="s">
        <v>8</v>
      </c>
      <c r="B60" s="6">
        <f>SUM(LIFE)</f>
        <v>27905.711253215781</v>
      </c>
      <c r="C60" s="1">
        <f>SUM(ALLOCATED)</f>
        <v>0</v>
      </c>
      <c r="D60" s="1">
        <f>SUM(HEALTH)</f>
        <v>9624.5187467842243</v>
      </c>
      <c r="E60" s="1">
        <f>SUM(UNALLOCATED)</f>
        <v>0</v>
      </c>
      <c r="F60" s="1">
        <f>SUM(LTC)</f>
        <v>0</v>
      </c>
      <c r="G60" s="9">
        <f>SUM(ALL_BLOCKS)</f>
        <v>37530.230000000003</v>
      </c>
      <c r="L60" s="6">
        <f>SUM(LIFE_CALLED)</f>
        <v>80000</v>
      </c>
      <c r="M60" s="1">
        <f>SUM(LIFE_REFUNDED)</f>
        <v>54000</v>
      </c>
      <c r="O60" s="1">
        <f>SUM(ALLOC_CALLED)</f>
        <v>0</v>
      </c>
      <c r="P60" s="1">
        <f>SUM(ALLOC_REFUNDED)</f>
        <v>0</v>
      </c>
      <c r="R60" s="1">
        <f>SUM(HEALTH_CALLED)</f>
        <v>20000</v>
      </c>
      <c r="S60" s="1">
        <f>SUM(HEALTH_REFUNDED)</f>
        <v>24000</v>
      </c>
      <c r="U60" s="1">
        <f>SUM(UNALLOC_CALLED)</f>
        <v>0</v>
      </c>
      <c r="V60" s="9">
        <f>SUM(UNALLOC_REFUNDED)</f>
        <v>0</v>
      </c>
    </row>
    <row r="61" spans="1:22" ht="5.0999999999999996" customHeight="1">
      <c r="B61" s="6"/>
      <c r="G61" s="9"/>
      <c r="L61" s="6"/>
      <c r="V61" s="9"/>
    </row>
    <row r="62" spans="1:22">
      <c r="B62" s="6"/>
      <c r="G62" s="9"/>
      <c r="L62" s="78" t="s">
        <v>80</v>
      </c>
      <c r="M62" s="79"/>
      <c r="N62" s="79"/>
      <c r="O62" s="79"/>
      <c r="P62" s="79"/>
      <c r="Q62" s="79"/>
      <c r="R62" s="79"/>
      <c r="S62" s="79"/>
      <c r="T62" s="79"/>
      <c r="U62" s="79"/>
      <c r="V62" s="80"/>
    </row>
    <row r="63" spans="1:22">
      <c r="B63" s="6"/>
      <c r="G63" s="9"/>
      <c r="L63" s="81"/>
      <c r="M63" s="79"/>
      <c r="N63" s="79"/>
      <c r="O63" s="79"/>
      <c r="P63" s="79"/>
      <c r="Q63" s="79"/>
      <c r="R63" s="79"/>
      <c r="S63" s="79"/>
      <c r="T63" s="79"/>
      <c r="U63" s="79"/>
      <c r="V63" s="80"/>
    </row>
    <row r="64" spans="1:22">
      <c r="B64" s="8"/>
      <c r="C64" s="5"/>
      <c r="D64" s="5"/>
      <c r="E64" s="5"/>
      <c r="F64" s="5"/>
      <c r="G64" s="11"/>
      <c r="L64" s="82"/>
      <c r="M64" s="83"/>
      <c r="N64" s="83"/>
      <c r="O64" s="83"/>
      <c r="P64" s="83"/>
      <c r="Q64" s="83"/>
      <c r="R64" s="83"/>
      <c r="S64" s="83"/>
      <c r="T64" s="83"/>
      <c r="U64" s="83"/>
      <c r="V64" s="84"/>
    </row>
  </sheetData>
  <mergeCells count="8">
    <mergeCell ref="L62:V64"/>
    <mergeCell ref="A1:G1"/>
    <mergeCell ref="B3:G3"/>
    <mergeCell ref="L3:V3"/>
    <mergeCell ref="L4:M4"/>
    <mergeCell ref="O4:P4"/>
    <mergeCell ref="R4:S4"/>
    <mergeCell ref="U4:V4"/>
  </mergeCells>
  <pageMargins left="0" right="0" top="0" bottom="0" header="0" footer="0"/>
  <pageSetup scale="48" orientation="landscape"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pageSetUpPr fitToPage="1"/>
  </sheetPr>
  <dimension ref="A1:V64"/>
  <sheetViews>
    <sheetView zoomScale="75" workbookViewId="0">
      <selection sqref="A1:G1"/>
    </sheetView>
  </sheetViews>
  <sheetFormatPr defaultColWidth="9.109375" defaultRowHeight="14.4"/>
  <cols>
    <col min="1" max="1" width="20" style="1" customWidth="1"/>
    <col min="2" max="7" width="15" style="1" customWidth="1"/>
    <col min="8" max="8" width="1" style="1" customWidth="1"/>
    <col min="9" max="9" width="30" style="1" customWidth="1"/>
    <col min="10" max="10" width="15" style="1" customWidth="1"/>
    <col min="11" max="11" width="1" style="1" customWidth="1"/>
    <col min="12" max="13" width="15" style="1" customWidth="1"/>
    <col min="14" max="14" width="1" style="1" customWidth="1"/>
    <col min="15" max="16" width="15" style="1" customWidth="1"/>
    <col min="17" max="17" width="1" style="1" customWidth="1"/>
    <col min="18" max="19" width="15" style="1" customWidth="1"/>
    <col min="20" max="20" width="1" style="1" customWidth="1"/>
    <col min="21" max="22" width="15" style="1" customWidth="1"/>
    <col min="23" max="23" width="9.109375" style="1" customWidth="1"/>
    <col min="24" max="16384" width="9.109375" style="1"/>
  </cols>
  <sheetData>
    <row r="1" spans="1:22">
      <c r="A1" s="85" t="s">
        <v>172</v>
      </c>
      <c r="B1" s="79"/>
      <c r="C1" s="79"/>
      <c r="D1" s="79"/>
      <c r="E1" s="79"/>
      <c r="F1" s="79"/>
      <c r="G1" s="79"/>
    </row>
    <row r="3" spans="1:22">
      <c r="B3" s="86" t="s">
        <v>1</v>
      </c>
      <c r="C3" s="87"/>
      <c r="D3" s="87"/>
      <c r="E3" s="87"/>
      <c r="F3" s="87"/>
      <c r="G3" s="88"/>
      <c r="L3" s="89" t="s">
        <v>2</v>
      </c>
      <c r="M3" s="90"/>
      <c r="N3" s="90"/>
      <c r="O3" s="90"/>
      <c r="P3" s="90"/>
      <c r="Q3" s="90"/>
      <c r="R3" s="90"/>
      <c r="S3" s="90"/>
      <c r="T3" s="90"/>
      <c r="U3" s="90"/>
      <c r="V3" s="91"/>
    </row>
    <row r="4" spans="1:22">
      <c r="B4" s="6"/>
      <c r="G4" s="9"/>
      <c r="L4" s="92" t="s">
        <v>3</v>
      </c>
      <c r="M4" s="93"/>
      <c r="N4" s="3"/>
      <c r="O4" s="94" t="s">
        <v>4</v>
      </c>
      <c r="P4" s="93"/>
      <c r="Q4" s="3"/>
      <c r="R4" s="94" t="s">
        <v>5</v>
      </c>
      <c r="S4" s="93"/>
      <c r="T4" s="3"/>
      <c r="U4" s="94" t="s">
        <v>6</v>
      </c>
      <c r="V4" s="95"/>
    </row>
    <row r="5" spans="1:22" ht="60" customHeight="1">
      <c r="B5" s="7" t="s">
        <v>3</v>
      </c>
      <c r="C5" s="4" t="s">
        <v>4</v>
      </c>
      <c r="D5" s="4" t="s">
        <v>5</v>
      </c>
      <c r="E5" s="4" t="s">
        <v>6</v>
      </c>
      <c r="F5" s="4" t="s">
        <v>7</v>
      </c>
      <c r="G5" s="10" t="s">
        <v>8</v>
      </c>
      <c r="L5" s="19" t="s">
        <v>9</v>
      </c>
      <c r="M5" s="18" t="s">
        <v>10</v>
      </c>
      <c r="N5" s="18"/>
      <c r="O5" s="18" t="s">
        <v>9</v>
      </c>
      <c r="P5" s="18" t="s">
        <v>10</v>
      </c>
      <c r="Q5" s="18"/>
      <c r="R5" s="18" t="s">
        <v>9</v>
      </c>
      <c r="S5" s="18" t="s">
        <v>10</v>
      </c>
      <c r="T5" s="18"/>
      <c r="U5" s="18" t="s">
        <v>9</v>
      </c>
      <c r="V5" s="20" t="s">
        <v>10</v>
      </c>
    </row>
    <row r="6" spans="1:22">
      <c r="A6" s="1" t="s">
        <v>11</v>
      </c>
      <c r="B6" s="6">
        <v>29362.979408069419</v>
      </c>
      <c r="C6" s="1">
        <v>0</v>
      </c>
      <c r="D6" s="1">
        <v>-17348.20666374651</v>
      </c>
      <c r="E6" s="1">
        <v>0</v>
      </c>
      <c r="F6" s="1">
        <v>0</v>
      </c>
      <c r="G6" s="9">
        <f>SUM(AL_FINANCIAL)</f>
        <v>12014.772744322909</v>
      </c>
      <c r="L6" s="6"/>
      <c r="V6" s="9"/>
    </row>
    <row r="7" spans="1:22">
      <c r="A7" s="1" t="s">
        <v>12</v>
      </c>
      <c r="B7" s="6">
        <v>-184</v>
      </c>
      <c r="C7" s="1">
        <v>0</v>
      </c>
      <c r="D7" s="1">
        <v>-108</v>
      </c>
      <c r="E7" s="1">
        <v>0</v>
      </c>
      <c r="F7" s="1">
        <v>0</v>
      </c>
      <c r="G7" s="9">
        <f>SUM(AK_FINANCIAL)</f>
        <v>-292</v>
      </c>
      <c r="I7" s="12"/>
      <c r="J7" s="15"/>
      <c r="L7" s="6"/>
      <c r="V7" s="9"/>
    </row>
    <row r="8" spans="1:22">
      <c r="A8" s="1" t="s">
        <v>13</v>
      </c>
      <c r="B8" s="6">
        <v>-51340.2</v>
      </c>
      <c r="C8" s="1">
        <v>0</v>
      </c>
      <c r="D8" s="1">
        <v>87739.802745982684</v>
      </c>
      <c r="E8" s="1">
        <v>0</v>
      </c>
      <c r="F8" s="1">
        <v>0</v>
      </c>
      <c r="G8" s="9">
        <f>SUM(AZ_FINANCIAL)</f>
        <v>36399.602745982687</v>
      </c>
      <c r="I8" s="13" t="s">
        <v>14</v>
      </c>
      <c r="J8" s="16"/>
      <c r="L8" s="6"/>
      <c r="V8" s="9"/>
    </row>
    <row r="9" spans="1:22">
      <c r="A9" s="1" t="s">
        <v>15</v>
      </c>
      <c r="B9" s="6">
        <v>78366.993369570497</v>
      </c>
      <c r="C9" s="1">
        <v>0</v>
      </c>
      <c r="D9" s="1">
        <v>0</v>
      </c>
      <c r="E9" s="1">
        <v>0</v>
      </c>
      <c r="F9" s="1">
        <v>0</v>
      </c>
      <c r="G9" s="9">
        <f>SUM(AR_FINANCIAL)</f>
        <v>78366.993369570497</v>
      </c>
      <c r="I9" s="13"/>
      <c r="J9" s="16"/>
      <c r="L9" s="6"/>
      <c r="V9" s="9"/>
    </row>
    <row r="10" spans="1:22">
      <c r="A10" s="1" t="s">
        <v>16</v>
      </c>
      <c r="B10" s="6">
        <v>-140004.6</v>
      </c>
      <c r="C10" s="1">
        <v>0</v>
      </c>
      <c r="D10" s="1">
        <v>190325.59999999998</v>
      </c>
      <c r="E10" s="1">
        <v>0</v>
      </c>
      <c r="F10" s="1">
        <v>0</v>
      </c>
      <c r="G10" s="9">
        <f>SUM(CA_FINANCIAL)</f>
        <v>50320.999999999971</v>
      </c>
      <c r="I10" s="13" t="s">
        <v>17</v>
      </c>
      <c r="J10" s="16">
        <v>366100.43</v>
      </c>
      <c r="L10" s="6"/>
      <c r="V10" s="9"/>
    </row>
    <row r="11" spans="1:22">
      <c r="A11" s="1" t="s">
        <v>18</v>
      </c>
      <c r="B11" s="6">
        <v>125333.33989933002</v>
      </c>
      <c r="C11" s="1">
        <v>0</v>
      </c>
      <c r="D11" s="1">
        <v>-102530.40000000001</v>
      </c>
      <c r="E11" s="1">
        <v>0</v>
      </c>
      <c r="F11" s="1">
        <v>0</v>
      </c>
      <c r="G11" s="9">
        <f>SUM(CO_FINANCIAL)</f>
        <v>22802.939899330013</v>
      </c>
      <c r="I11" s="13"/>
      <c r="J11" s="16"/>
      <c r="L11" s="6"/>
      <c r="V11" s="9"/>
    </row>
    <row r="12" spans="1:22">
      <c r="A12" s="1" t="s">
        <v>19</v>
      </c>
      <c r="B12" s="6">
        <v>-5985.1999999999989</v>
      </c>
      <c r="C12" s="1">
        <v>0</v>
      </c>
      <c r="D12" s="1">
        <v>43893.2</v>
      </c>
      <c r="E12" s="1">
        <v>0</v>
      </c>
      <c r="F12" s="1">
        <v>0</v>
      </c>
      <c r="G12" s="9">
        <f>SUM(CT_FINANCIAL)</f>
        <v>37908</v>
      </c>
      <c r="I12" s="13" t="s">
        <v>20</v>
      </c>
      <c r="J12" s="16"/>
      <c r="L12" s="6"/>
      <c r="V12" s="9"/>
    </row>
    <row r="13" spans="1:22">
      <c r="A13" s="1" t="s">
        <v>21</v>
      </c>
      <c r="B13" s="6">
        <v>-88227.8</v>
      </c>
      <c r="C13" s="1">
        <v>0</v>
      </c>
      <c r="D13" s="1">
        <v>-52494.200000000004</v>
      </c>
      <c r="E13" s="1">
        <v>0</v>
      </c>
      <c r="F13" s="1">
        <v>0</v>
      </c>
      <c r="G13" s="9">
        <f>SUM(DE_FINANCIAL)</f>
        <v>-140722</v>
      </c>
      <c r="I13" s="13" t="s">
        <v>22</v>
      </c>
      <c r="J13" s="16">
        <v>2435.58</v>
      </c>
      <c r="L13" s="6"/>
      <c r="V13" s="9"/>
    </row>
    <row r="14" spans="1:22">
      <c r="A14" s="1" t="s">
        <v>23</v>
      </c>
      <c r="B14" s="6">
        <v>-558.79999999999995</v>
      </c>
      <c r="C14" s="1">
        <v>0</v>
      </c>
      <c r="D14" s="1">
        <v>5109.8</v>
      </c>
      <c r="E14" s="1">
        <v>0</v>
      </c>
      <c r="F14" s="1">
        <v>0</v>
      </c>
      <c r="G14" s="9">
        <f>SUM(DC_FINANCIAL)</f>
        <v>4551</v>
      </c>
      <c r="I14" s="13" t="s">
        <v>24</v>
      </c>
      <c r="J14" s="16">
        <v>0</v>
      </c>
      <c r="L14" s="6"/>
      <c r="V14" s="9"/>
    </row>
    <row r="15" spans="1:22">
      <c r="A15" s="1" t="s">
        <v>25</v>
      </c>
      <c r="B15" s="6">
        <v>-94610.4</v>
      </c>
      <c r="C15" s="1">
        <v>0</v>
      </c>
      <c r="D15" s="1">
        <v>428785.4</v>
      </c>
      <c r="E15" s="1">
        <v>0</v>
      </c>
      <c r="F15" s="1">
        <v>0</v>
      </c>
      <c r="G15" s="9">
        <f>SUM(FL_FINANCIAL)</f>
        <v>334175</v>
      </c>
      <c r="I15" s="13" t="s">
        <v>26</v>
      </c>
      <c r="J15" s="16">
        <v>4214471.623154033</v>
      </c>
      <c r="L15" s="6"/>
      <c r="V15" s="9"/>
    </row>
    <row r="16" spans="1:22">
      <c r="A16" s="1" t="s">
        <v>27</v>
      </c>
      <c r="B16" s="6">
        <v>65008.952911507455</v>
      </c>
      <c r="C16" s="1">
        <v>0</v>
      </c>
      <c r="D16" s="1">
        <v>26122.084671694785</v>
      </c>
      <c r="E16" s="1">
        <v>0</v>
      </c>
      <c r="F16" s="1">
        <v>0</v>
      </c>
      <c r="G16" s="9">
        <f>SUM(GA_FINANCIAL)</f>
        <v>91131.03758320224</v>
      </c>
      <c r="I16" s="13" t="s">
        <v>28</v>
      </c>
      <c r="J16" s="16">
        <v>366100.43</v>
      </c>
      <c r="L16" s="6"/>
      <c r="V16" s="9"/>
    </row>
    <row r="17" spans="1:22">
      <c r="A17" s="1" t="s">
        <v>29</v>
      </c>
      <c r="B17" s="6">
        <v>9.1999999999999993</v>
      </c>
      <c r="C17" s="1">
        <v>0</v>
      </c>
      <c r="D17" s="1">
        <v>-1.2000000000000002</v>
      </c>
      <c r="E17" s="1">
        <v>0</v>
      </c>
      <c r="F17" s="1">
        <v>0</v>
      </c>
      <c r="G17" s="9">
        <f>SUM(HI_FINANCIAL)</f>
        <v>7.9999999999999991</v>
      </c>
      <c r="I17" s="13"/>
      <c r="J17" s="16"/>
      <c r="L17" s="6"/>
      <c r="V17" s="9"/>
    </row>
    <row r="18" spans="1:22">
      <c r="A18" s="1" t="s">
        <v>30</v>
      </c>
      <c r="B18" s="6">
        <v>-342.4</v>
      </c>
      <c r="C18" s="1">
        <v>0</v>
      </c>
      <c r="D18" s="1">
        <v>1412.4</v>
      </c>
      <c r="E18" s="1">
        <v>0</v>
      </c>
      <c r="F18" s="1">
        <v>0</v>
      </c>
      <c r="G18" s="9">
        <f>SUM(ID_FINANCIAL)</f>
        <v>1070</v>
      </c>
      <c r="I18" s="13" t="s">
        <v>31</v>
      </c>
      <c r="J18" s="16"/>
      <c r="L18" s="6"/>
      <c r="V18" s="9"/>
    </row>
    <row r="19" spans="1:22">
      <c r="A19" s="1" t="s">
        <v>32</v>
      </c>
      <c r="B19" s="6">
        <v>-26326.399999999994</v>
      </c>
      <c r="C19" s="1">
        <v>0</v>
      </c>
      <c r="D19" s="1">
        <v>66660.399999999994</v>
      </c>
      <c r="E19" s="1">
        <v>0</v>
      </c>
      <c r="F19" s="1">
        <v>0</v>
      </c>
      <c r="G19" s="9">
        <f>SUM(IL_FINANCIAL)</f>
        <v>40334</v>
      </c>
      <c r="I19" s="13" t="s">
        <v>33</v>
      </c>
      <c r="J19" s="16">
        <v>0</v>
      </c>
      <c r="L19" s="6"/>
      <c r="V19" s="9"/>
    </row>
    <row r="20" spans="1:22">
      <c r="A20" s="1" t="s">
        <v>34</v>
      </c>
      <c r="B20" s="6">
        <v>-32497.579020458466</v>
      </c>
      <c r="C20" s="1">
        <v>0</v>
      </c>
      <c r="D20" s="1">
        <v>-11947.03010394935</v>
      </c>
      <c r="E20" s="1">
        <v>0</v>
      </c>
      <c r="F20" s="1">
        <v>0</v>
      </c>
      <c r="G20" s="9">
        <f>SUM(IN_FINANCIAL)</f>
        <v>-44444.609124407812</v>
      </c>
      <c r="I20" s="13" t="s">
        <v>35</v>
      </c>
      <c r="J20" s="16">
        <v>366100.43</v>
      </c>
      <c r="L20" s="6"/>
      <c r="V20" s="9"/>
    </row>
    <row r="21" spans="1:22">
      <c r="A21" s="1" t="s">
        <v>36</v>
      </c>
      <c r="B21" s="6">
        <v>-9336.5977089069129</v>
      </c>
      <c r="C21" s="1">
        <v>0</v>
      </c>
      <c r="D21" s="1">
        <v>8646.2820943120532</v>
      </c>
      <c r="E21" s="1">
        <v>0</v>
      </c>
      <c r="F21" s="1">
        <v>0</v>
      </c>
      <c r="G21" s="9">
        <f>SUM(IA_FINANCIAL)</f>
        <v>-690.31561459485965</v>
      </c>
      <c r="I21" s="13" t="s">
        <v>37</v>
      </c>
      <c r="J21" s="16"/>
      <c r="L21" s="6"/>
      <c r="V21" s="9"/>
    </row>
    <row r="22" spans="1:22">
      <c r="A22" s="1" t="s">
        <v>38</v>
      </c>
      <c r="B22" s="6">
        <v>-14738</v>
      </c>
      <c r="C22" s="1">
        <v>0</v>
      </c>
      <c r="D22" s="1">
        <v>29955</v>
      </c>
      <c r="E22" s="1">
        <v>0</v>
      </c>
      <c r="F22" s="1">
        <v>0</v>
      </c>
      <c r="G22" s="9">
        <f>SUM(KS_FINANCIAL)</f>
        <v>15217</v>
      </c>
      <c r="I22" s="13" t="s">
        <v>39</v>
      </c>
      <c r="J22" s="16">
        <v>0</v>
      </c>
      <c r="L22" s="6"/>
      <c r="V22" s="9"/>
    </row>
    <row r="23" spans="1:22">
      <c r="A23" s="1" t="s">
        <v>40</v>
      </c>
      <c r="B23" s="6">
        <v>-19708.8</v>
      </c>
      <c r="C23" s="1">
        <v>0</v>
      </c>
      <c r="D23" s="1">
        <v>65346.693796386855</v>
      </c>
      <c r="E23" s="1">
        <v>0</v>
      </c>
      <c r="F23" s="1">
        <v>0</v>
      </c>
      <c r="G23" s="9">
        <f>SUM(KY_FINANCIAL)</f>
        <v>45637.893796386852</v>
      </c>
      <c r="I23" s="13" t="s">
        <v>41</v>
      </c>
      <c r="J23" s="16"/>
      <c r="L23" s="6"/>
      <c r="V23" s="9"/>
    </row>
    <row r="24" spans="1:22">
      <c r="A24" s="1" t="s">
        <v>42</v>
      </c>
      <c r="B24" s="6">
        <v>-273577</v>
      </c>
      <c r="C24" s="1">
        <v>0</v>
      </c>
      <c r="D24" s="1">
        <v>-159427.37</v>
      </c>
      <c r="E24" s="1">
        <v>0</v>
      </c>
      <c r="F24" s="1">
        <v>0</v>
      </c>
      <c r="G24" s="9">
        <f>SUM(LA_FINANCIAL)</f>
        <v>-433004.37</v>
      </c>
      <c r="I24" s="13" t="s">
        <v>43</v>
      </c>
      <c r="J24" s="16">
        <v>3419594.0000000014</v>
      </c>
      <c r="L24" s="6"/>
      <c r="V24" s="9"/>
    </row>
    <row r="25" spans="1:22">
      <c r="A25" s="1" t="s">
        <v>44</v>
      </c>
      <c r="B25" s="6">
        <v>1022.6000000000001</v>
      </c>
      <c r="C25" s="1">
        <v>0</v>
      </c>
      <c r="D25" s="1">
        <v>5914.4</v>
      </c>
      <c r="E25" s="1">
        <v>0</v>
      </c>
      <c r="F25" s="1">
        <v>0</v>
      </c>
      <c r="G25" s="9">
        <f>SUM(ME_FINANCIAL)</f>
        <v>6937</v>
      </c>
      <c r="I25" s="13"/>
      <c r="J25" s="16"/>
      <c r="L25" s="6"/>
      <c r="V25" s="9"/>
    </row>
    <row r="26" spans="1:22">
      <c r="A26" s="1" t="s">
        <v>45</v>
      </c>
      <c r="B26" s="6">
        <v>-5559.6</v>
      </c>
      <c r="C26" s="1">
        <v>0</v>
      </c>
      <c r="D26" s="1">
        <v>45132.6</v>
      </c>
      <c r="E26" s="1">
        <v>0</v>
      </c>
      <c r="F26" s="1">
        <v>0</v>
      </c>
      <c r="G26" s="9">
        <f>SUM(MD_FINANCIAL)</f>
        <v>39573</v>
      </c>
      <c r="I26" s="13" t="s">
        <v>46</v>
      </c>
      <c r="J26" s="16">
        <f>SUM(ADD_FINANCIAL)-SUM(LESS_FINANCIAL)</f>
        <v>1163413.6331540309</v>
      </c>
      <c r="L26" s="6"/>
      <c r="V26" s="9"/>
    </row>
    <row r="27" spans="1:22">
      <c r="A27" s="1" t="s">
        <v>47</v>
      </c>
      <c r="B27" s="6">
        <v>-28441.199999999997</v>
      </c>
      <c r="C27" s="1">
        <v>0</v>
      </c>
      <c r="D27" s="1">
        <v>85882.2</v>
      </c>
      <c r="E27" s="1">
        <v>0</v>
      </c>
      <c r="F27" s="1">
        <v>0</v>
      </c>
      <c r="G27" s="9">
        <f>SUM(MA_FINANCIAL)</f>
        <v>57441</v>
      </c>
      <c r="I27" s="13" t="s">
        <v>48</v>
      </c>
      <c r="J27" s="16">
        <f>SUM(ALL_BLOCKS)</f>
        <v>1163413.6331540339</v>
      </c>
      <c r="L27" s="6"/>
      <c r="V27" s="9"/>
    </row>
    <row r="28" spans="1:22">
      <c r="A28" s="1" t="s">
        <v>49</v>
      </c>
      <c r="B28" s="6">
        <v>52582.1869789556</v>
      </c>
      <c r="C28" s="1">
        <v>0</v>
      </c>
      <c r="D28" s="1">
        <v>-25417.200000000001</v>
      </c>
      <c r="E28" s="1">
        <v>0</v>
      </c>
      <c r="F28" s="1">
        <v>0</v>
      </c>
      <c r="G28" s="9">
        <f>SUM(MI_FINANCIAL)</f>
        <v>27164.9869789556</v>
      </c>
      <c r="I28" s="14"/>
      <c r="J28" s="17"/>
      <c r="L28" s="6"/>
      <c r="V28" s="9"/>
    </row>
    <row r="29" spans="1:22">
      <c r="A29" s="1" t="s">
        <v>50</v>
      </c>
      <c r="B29" s="6">
        <v>47293.185890440422</v>
      </c>
      <c r="C29" s="1">
        <v>0</v>
      </c>
      <c r="D29" s="1">
        <v>-9381.2000000000007</v>
      </c>
      <c r="E29" s="1">
        <v>0</v>
      </c>
      <c r="F29" s="1">
        <v>0</v>
      </c>
      <c r="G29" s="9">
        <f>SUM(MN_FINANCIAL)</f>
        <v>37911.985890440425</v>
      </c>
      <c r="L29" s="6"/>
      <c r="V29" s="9"/>
    </row>
    <row r="30" spans="1:22">
      <c r="A30" s="1" t="s">
        <v>51</v>
      </c>
      <c r="B30" s="6">
        <v>-790.39999999999964</v>
      </c>
      <c r="C30" s="1">
        <v>0</v>
      </c>
      <c r="D30" s="1">
        <v>6784.35</v>
      </c>
      <c r="E30" s="1">
        <v>0</v>
      </c>
      <c r="F30" s="1">
        <v>0</v>
      </c>
      <c r="G30" s="9">
        <f>SUM(MS_FINANCIAL)</f>
        <v>5993.9500000000007</v>
      </c>
      <c r="L30" s="6"/>
      <c r="V30" s="9"/>
    </row>
    <row r="31" spans="1:22">
      <c r="A31" s="1" t="s">
        <v>52</v>
      </c>
      <c r="B31" s="6">
        <v>-20722.2</v>
      </c>
      <c r="C31" s="1">
        <v>0</v>
      </c>
      <c r="D31" s="1">
        <v>63818.182885044633</v>
      </c>
      <c r="E31" s="1">
        <v>0</v>
      </c>
      <c r="F31" s="1">
        <v>0</v>
      </c>
      <c r="G31" s="9">
        <f>SUM(MO_FINANCIAL)</f>
        <v>43095.982885044636</v>
      </c>
      <c r="L31" s="6"/>
      <c r="V31" s="9"/>
    </row>
    <row r="32" spans="1:22">
      <c r="A32" s="1" t="s">
        <v>53</v>
      </c>
      <c r="B32" s="6">
        <v>-1033</v>
      </c>
      <c r="C32" s="1">
        <v>0</v>
      </c>
      <c r="D32" s="1">
        <v>9946</v>
      </c>
      <c r="E32" s="1">
        <v>0</v>
      </c>
      <c r="F32" s="1">
        <v>0</v>
      </c>
      <c r="G32" s="9">
        <f>SUM(MT_FINANCIAL)</f>
        <v>8913</v>
      </c>
      <c r="L32" s="6"/>
      <c r="V32" s="9"/>
    </row>
    <row r="33" spans="1:22">
      <c r="A33" s="1" t="s">
        <v>54</v>
      </c>
      <c r="B33" s="6">
        <v>34479.386784953538</v>
      </c>
      <c r="C33" s="1">
        <v>0</v>
      </c>
      <c r="D33" s="1">
        <v>-21372.400000000001</v>
      </c>
      <c r="E33" s="1">
        <v>0</v>
      </c>
      <c r="F33" s="1">
        <v>0</v>
      </c>
      <c r="G33" s="9">
        <f>SUM(NE_FINANCIAL)</f>
        <v>13106.986784953537</v>
      </c>
      <c r="L33" s="6"/>
      <c r="V33" s="9"/>
    </row>
    <row r="34" spans="1:22">
      <c r="A34" s="1" t="s">
        <v>55</v>
      </c>
      <c r="B34" s="6">
        <v>-83036.399999999994</v>
      </c>
      <c r="C34" s="1">
        <v>0</v>
      </c>
      <c r="D34" s="1">
        <v>-39964.600000000006</v>
      </c>
      <c r="E34" s="1">
        <v>0</v>
      </c>
      <c r="F34" s="1">
        <v>0</v>
      </c>
      <c r="G34" s="9">
        <f>SUM(NV_FINANCIAL)</f>
        <v>-123001</v>
      </c>
      <c r="L34" s="6"/>
      <c r="V34" s="9"/>
    </row>
    <row r="35" spans="1:22">
      <c r="A35" s="1" t="s">
        <v>56</v>
      </c>
      <c r="B35" s="6">
        <v>-158.59999999999991</v>
      </c>
      <c r="C35" s="1">
        <v>0</v>
      </c>
      <c r="D35" s="1">
        <v>14155.6</v>
      </c>
      <c r="E35" s="1">
        <v>0</v>
      </c>
      <c r="F35" s="1">
        <v>0</v>
      </c>
      <c r="G35" s="9">
        <f>SUM(NH_FINANCIAL)</f>
        <v>13997</v>
      </c>
      <c r="L35" s="6"/>
      <c r="V35" s="9"/>
    </row>
    <row r="36" spans="1:22">
      <c r="A36" s="1" t="s">
        <v>57</v>
      </c>
      <c r="B36" s="6">
        <v>-25190</v>
      </c>
      <c r="C36" s="1">
        <v>0</v>
      </c>
      <c r="D36" s="1">
        <v>67735</v>
      </c>
      <c r="E36" s="1">
        <v>0</v>
      </c>
      <c r="F36" s="1">
        <v>0</v>
      </c>
      <c r="G36" s="9">
        <f>SUM(NJ_FINANCIAL)</f>
        <v>42545</v>
      </c>
      <c r="L36" s="6"/>
      <c r="V36" s="9"/>
    </row>
    <row r="37" spans="1:22">
      <c r="A37" s="1" t="s">
        <v>58</v>
      </c>
      <c r="B37" s="6">
        <v>-3303.5999999999995</v>
      </c>
      <c r="C37" s="1">
        <v>0</v>
      </c>
      <c r="D37" s="1">
        <v>16890.599999999999</v>
      </c>
      <c r="E37" s="1">
        <v>0</v>
      </c>
      <c r="F37" s="1">
        <v>0</v>
      </c>
      <c r="G37" s="9">
        <f>SUM(NM_FINANCIAL)</f>
        <v>13587</v>
      </c>
      <c r="L37" s="6"/>
      <c r="V37" s="9"/>
    </row>
    <row r="38" spans="1:22">
      <c r="A38" s="1" t="s">
        <v>59</v>
      </c>
      <c r="B38" s="6">
        <v>0</v>
      </c>
      <c r="C38" s="1">
        <v>0</v>
      </c>
      <c r="D38" s="1">
        <v>0</v>
      </c>
      <c r="E38" s="1">
        <v>0</v>
      </c>
      <c r="F38" s="1">
        <v>0</v>
      </c>
      <c r="G38" s="9">
        <f>SUM(NY_FINANCIAL)</f>
        <v>0</v>
      </c>
      <c r="L38" s="6"/>
      <c r="V38" s="9"/>
    </row>
    <row r="39" spans="1:22">
      <c r="A39" s="1" t="s">
        <v>60</v>
      </c>
      <c r="B39" s="6">
        <v>23599</v>
      </c>
      <c r="C39" s="1">
        <v>0</v>
      </c>
      <c r="D39" s="1">
        <v>38553</v>
      </c>
      <c r="E39" s="1">
        <v>0</v>
      </c>
      <c r="F39" s="1">
        <v>0</v>
      </c>
      <c r="G39" s="9">
        <f>SUM(NC_FINANCIAL)</f>
        <v>62152</v>
      </c>
      <c r="L39" s="6"/>
      <c r="V39" s="9"/>
    </row>
    <row r="40" spans="1:22">
      <c r="A40" s="1" t="s">
        <v>61</v>
      </c>
      <c r="B40" s="6">
        <v>1251.6000000000004</v>
      </c>
      <c r="C40" s="1">
        <v>0</v>
      </c>
      <c r="D40" s="1">
        <v>18058.400000000001</v>
      </c>
      <c r="E40" s="1">
        <v>0</v>
      </c>
      <c r="F40" s="1">
        <v>0</v>
      </c>
      <c r="G40" s="9">
        <f>SUM(ND_FINANCIAL)</f>
        <v>19310</v>
      </c>
      <c r="L40" s="6"/>
      <c r="V40" s="9"/>
    </row>
    <row r="41" spans="1:22">
      <c r="A41" s="1" t="s">
        <v>62</v>
      </c>
      <c r="B41" s="6">
        <v>88441.576215814712</v>
      </c>
      <c r="C41" s="1">
        <v>0</v>
      </c>
      <c r="D41" s="1">
        <v>-16209.6</v>
      </c>
      <c r="E41" s="1">
        <v>0</v>
      </c>
      <c r="F41" s="1">
        <v>0</v>
      </c>
      <c r="G41" s="9">
        <f>SUM(OH_FINANCIAL)</f>
        <v>72231.976215814706</v>
      </c>
      <c r="L41" s="6"/>
      <c r="V41" s="9"/>
    </row>
    <row r="42" spans="1:22">
      <c r="A42" s="1" t="s">
        <v>63</v>
      </c>
      <c r="B42" s="6">
        <v>-14918.8</v>
      </c>
      <c r="C42" s="1">
        <v>0</v>
      </c>
      <c r="D42" s="1">
        <v>1600.7999999999993</v>
      </c>
      <c r="E42" s="1">
        <v>0</v>
      </c>
      <c r="F42" s="1">
        <v>0</v>
      </c>
      <c r="G42" s="9">
        <f>SUM(OK_FINANCIAL)</f>
        <v>-13318</v>
      </c>
      <c r="L42" s="6"/>
      <c r="V42" s="9"/>
    </row>
    <row r="43" spans="1:22">
      <c r="A43" s="1" t="s">
        <v>64</v>
      </c>
      <c r="B43" s="6">
        <v>-6943.8</v>
      </c>
      <c r="C43" s="1">
        <v>0</v>
      </c>
      <c r="D43" s="1">
        <v>15165.796059654513</v>
      </c>
      <c r="E43" s="1">
        <v>0</v>
      </c>
      <c r="F43" s="1">
        <v>0</v>
      </c>
      <c r="G43" s="9">
        <f>SUM(OR_FINANCIAL)</f>
        <v>8221.9960596545134</v>
      </c>
      <c r="L43" s="6"/>
      <c r="V43" s="9"/>
    </row>
    <row r="44" spans="1:22">
      <c r="A44" s="1" t="s">
        <v>65</v>
      </c>
      <c r="B44" s="6">
        <v>-24599.4</v>
      </c>
      <c r="C44" s="1">
        <v>0</v>
      </c>
      <c r="D44" s="1">
        <v>177802.4</v>
      </c>
      <c r="E44" s="1">
        <v>0</v>
      </c>
      <c r="F44" s="1">
        <v>0</v>
      </c>
      <c r="G44" s="9">
        <f>SUM(PA_FINANCIAL)</f>
        <v>153203</v>
      </c>
      <c r="L44" s="6"/>
      <c r="V44" s="9"/>
    </row>
    <row r="45" spans="1:22">
      <c r="A45" s="1" t="s">
        <v>66</v>
      </c>
      <c r="B45" s="6">
        <v>0</v>
      </c>
      <c r="C45" s="1">
        <v>0</v>
      </c>
      <c r="D45" s="1">
        <v>0</v>
      </c>
      <c r="E45" s="1">
        <v>0</v>
      </c>
      <c r="F45" s="1">
        <v>0</v>
      </c>
      <c r="G45" s="9">
        <f>SUM(PR_FINANCIAL)</f>
        <v>0</v>
      </c>
      <c r="L45" s="6"/>
      <c r="V45" s="9"/>
    </row>
    <row r="46" spans="1:22">
      <c r="A46" s="1" t="s">
        <v>67</v>
      </c>
      <c r="B46" s="6">
        <v>-708.8</v>
      </c>
      <c r="C46" s="1">
        <v>0</v>
      </c>
      <c r="D46" s="1">
        <v>5085.8</v>
      </c>
      <c r="E46" s="1">
        <v>0</v>
      </c>
      <c r="F46" s="1">
        <v>0</v>
      </c>
      <c r="G46" s="9">
        <f>SUM(RI_FINANCIAL)</f>
        <v>4377</v>
      </c>
      <c r="L46" s="6"/>
      <c r="V46" s="9"/>
    </row>
    <row r="47" spans="1:22">
      <c r="A47" s="1" t="s">
        <v>68</v>
      </c>
      <c r="B47" s="6">
        <v>-23278.199999999997</v>
      </c>
      <c r="C47" s="1">
        <v>0</v>
      </c>
      <c r="D47" s="1">
        <v>10670.199999999997</v>
      </c>
      <c r="E47" s="1">
        <v>0</v>
      </c>
      <c r="F47" s="1">
        <v>0</v>
      </c>
      <c r="G47" s="9">
        <f>SUM(SC_FINANCIAL)</f>
        <v>-12608</v>
      </c>
      <c r="L47" s="6"/>
      <c r="V47" s="9"/>
    </row>
    <row r="48" spans="1:22">
      <c r="A48" s="1" t="s">
        <v>69</v>
      </c>
      <c r="B48" s="6">
        <v>32627.530344007977</v>
      </c>
      <c r="C48" s="1">
        <v>0</v>
      </c>
      <c r="D48" s="1">
        <v>8126.9740252692955</v>
      </c>
      <c r="E48" s="1">
        <v>0</v>
      </c>
      <c r="F48" s="1">
        <v>0</v>
      </c>
      <c r="G48" s="9">
        <f>SUM(SD_FINANCIAL)</f>
        <v>40754.504369277274</v>
      </c>
      <c r="L48" s="6"/>
      <c r="V48" s="9"/>
    </row>
    <row r="49" spans="1:22">
      <c r="A49" s="1" t="s">
        <v>70</v>
      </c>
      <c r="B49" s="6">
        <v>57264.452912234214</v>
      </c>
      <c r="C49" s="1">
        <v>0</v>
      </c>
      <c r="D49" s="1">
        <v>-6801.1515044100997</v>
      </c>
      <c r="E49" s="1">
        <v>0</v>
      </c>
      <c r="F49" s="1">
        <v>0</v>
      </c>
      <c r="G49" s="9">
        <f>SUM(TN_FINANCIAL)</f>
        <v>50463.30140782411</v>
      </c>
      <c r="L49" s="6"/>
      <c r="V49" s="9"/>
    </row>
    <row r="50" spans="1:22">
      <c r="A50" s="1" t="s">
        <v>71</v>
      </c>
      <c r="B50" s="6">
        <v>-55761.924699923162</v>
      </c>
      <c r="C50" s="1">
        <v>0</v>
      </c>
      <c r="D50" s="1">
        <v>272093.94186219975</v>
      </c>
      <c r="E50" s="1">
        <v>0</v>
      </c>
      <c r="F50" s="1">
        <v>0</v>
      </c>
      <c r="G50" s="9">
        <f>SUM(TX_FINANCIAL)</f>
        <v>216332.01716227658</v>
      </c>
      <c r="L50" s="6"/>
      <c r="V50" s="9"/>
    </row>
    <row r="51" spans="1:22">
      <c r="A51" s="1" t="s">
        <v>72</v>
      </c>
      <c r="B51" s="6">
        <v>87.600000000000023</v>
      </c>
      <c r="C51" s="1">
        <v>0</v>
      </c>
      <c r="D51" s="1">
        <v>2937.4</v>
      </c>
      <c r="E51" s="1">
        <v>0</v>
      </c>
      <c r="F51" s="1">
        <v>0</v>
      </c>
      <c r="G51" s="9">
        <f>SUM(UT_FINANCIAL)</f>
        <v>3025</v>
      </c>
      <c r="L51" s="6"/>
      <c r="V51" s="9"/>
    </row>
    <row r="52" spans="1:22">
      <c r="A52" s="1" t="s">
        <v>73</v>
      </c>
      <c r="B52" s="6">
        <v>5.5999999999999091</v>
      </c>
      <c r="C52" s="1">
        <v>0</v>
      </c>
      <c r="D52" s="1">
        <v>9470.4</v>
      </c>
      <c r="E52" s="1">
        <v>0</v>
      </c>
      <c r="F52" s="1">
        <v>0</v>
      </c>
      <c r="G52" s="9">
        <f>SUM(VT_FINANCIAL)</f>
        <v>9476</v>
      </c>
      <c r="L52" s="6"/>
      <c r="V52" s="9"/>
    </row>
    <row r="53" spans="1:22">
      <c r="A53" s="1" t="s">
        <v>74</v>
      </c>
      <c r="B53" s="6">
        <v>19108</v>
      </c>
      <c r="C53" s="1">
        <v>0</v>
      </c>
      <c r="D53" s="1">
        <v>107394</v>
      </c>
      <c r="E53" s="1">
        <v>0</v>
      </c>
      <c r="F53" s="1">
        <v>0</v>
      </c>
      <c r="G53" s="9">
        <f>SUM(VA_FINANCIAL)</f>
        <v>126502</v>
      </c>
      <c r="L53" s="6"/>
      <c r="V53" s="9"/>
    </row>
    <row r="54" spans="1:22">
      <c r="A54" s="1" t="s">
        <v>75</v>
      </c>
      <c r="B54" s="6">
        <v>-28034.199999999997</v>
      </c>
      <c r="C54" s="1">
        <v>0</v>
      </c>
      <c r="D54" s="1">
        <v>160752.20000000001</v>
      </c>
      <c r="E54" s="1">
        <v>0</v>
      </c>
      <c r="F54" s="1">
        <v>0</v>
      </c>
      <c r="G54" s="9">
        <f>SUM(WA_FINANCIAL)</f>
        <v>132718</v>
      </c>
      <c r="L54" s="6"/>
      <c r="V54" s="9"/>
    </row>
    <row r="55" spans="1:22">
      <c r="A55" s="1" t="s">
        <v>76</v>
      </c>
      <c r="B55" s="6">
        <v>10902.6</v>
      </c>
      <c r="C55" s="1">
        <v>0</v>
      </c>
      <c r="D55" s="1">
        <v>2375.4</v>
      </c>
      <c r="E55" s="1">
        <v>0</v>
      </c>
      <c r="F55" s="1">
        <v>0</v>
      </c>
      <c r="G55" s="9">
        <f>SUM(WV_FINANCIAL)</f>
        <v>13278</v>
      </c>
      <c r="L55" s="6"/>
      <c r="V55" s="9"/>
    </row>
    <row r="56" spans="1:22">
      <c r="A56" s="1" t="s">
        <v>77</v>
      </c>
      <c r="B56" s="6">
        <v>-106830</v>
      </c>
      <c r="C56" s="1">
        <v>0</v>
      </c>
      <c r="D56" s="1">
        <v>45859</v>
      </c>
      <c r="E56" s="1">
        <v>0</v>
      </c>
      <c r="F56" s="1">
        <v>0</v>
      </c>
      <c r="G56" s="9">
        <f>SUM(WI_FINANCIAL)</f>
        <v>-60971</v>
      </c>
      <c r="L56" s="6"/>
      <c r="V56" s="9"/>
    </row>
    <row r="57" spans="1:22">
      <c r="A57" s="1" t="s">
        <v>78</v>
      </c>
      <c r="B57" s="6">
        <v>-194.79999999999995</v>
      </c>
      <c r="C57" s="1">
        <v>0</v>
      </c>
      <c r="D57" s="1">
        <v>410.79999999999995</v>
      </c>
      <c r="E57" s="1">
        <v>0</v>
      </c>
      <c r="F57" s="1">
        <v>0</v>
      </c>
      <c r="G57" s="9">
        <f>SUM(WY_FINANCIAL)</f>
        <v>216</v>
      </c>
      <c r="L57" s="6"/>
      <c r="V57" s="9"/>
    </row>
    <row r="58" spans="1:22">
      <c r="A58" s="1" t="s">
        <v>79</v>
      </c>
      <c r="B58" s="6">
        <v>0</v>
      </c>
      <c r="C58" s="1">
        <v>0</v>
      </c>
      <c r="D58" s="1">
        <v>0</v>
      </c>
      <c r="E58" s="1">
        <v>0</v>
      </c>
      <c r="F58" s="1">
        <v>0</v>
      </c>
      <c r="G58" s="9">
        <f>SUM(OT_FINANCIAL)</f>
        <v>0</v>
      </c>
      <c r="L58" s="6"/>
      <c r="V58" s="9"/>
    </row>
    <row r="59" spans="1:22">
      <c r="B59" s="6"/>
      <c r="G59" s="9"/>
      <c r="L59" s="6"/>
      <c r="V59" s="9"/>
    </row>
    <row r="60" spans="1:22">
      <c r="A60" s="1" t="s">
        <v>8</v>
      </c>
      <c r="B60" s="6">
        <f>SUM(LIFE)</f>
        <v>-520195.91671440483</v>
      </c>
      <c r="C60" s="1">
        <f>SUM(ALLOCATED)</f>
        <v>0</v>
      </c>
      <c r="D60" s="1">
        <f>SUM(HEALTH)</f>
        <v>1683609.5498684382</v>
      </c>
      <c r="E60" s="1">
        <f>SUM(UNALLOCATED)</f>
        <v>0</v>
      </c>
      <c r="F60" s="1">
        <f>SUM(LTC)</f>
        <v>0</v>
      </c>
      <c r="G60" s="9">
        <f>SUM(ALL_BLOCKS)</f>
        <v>1163413.6331540339</v>
      </c>
      <c r="L60" s="6">
        <f>SUM(LIFE_CALLED)</f>
        <v>0</v>
      </c>
      <c r="M60" s="1">
        <f>SUM(LIFE_REFUNDED)</f>
        <v>0</v>
      </c>
      <c r="O60" s="1">
        <f>SUM(ALLOC_CALLED)</f>
        <v>0</v>
      </c>
      <c r="P60" s="1">
        <f>SUM(ALLOC_REFUNDED)</f>
        <v>0</v>
      </c>
      <c r="R60" s="1">
        <f>SUM(HEALTH_CALLED)</f>
        <v>0</v>
      </c>
      <c r="S60" s="1">
        <f>SUM(HEALTH_REFUNDED)</f>
        <v>0</v>
      </c>
      <c r="U60" s="1">
        <f>SUM(UNALLOC_CALLED)</f>
        <v>0</v>
      </c>
      <c r="V60" s="9">
        <f>SUM(UNALLOC_REFUNDED)</f>
        <v>0</v>
      </c>
    </row>
    <row r="61" spans="1:22" ht="5.0999999999999996" customHeight="1">
      <c r="B61" s="6"/>
      <c r="G61" s="9"/>
      <c r="L61" s="6"/>
      <c r="V61" s="9"/>
    </row>
    <row r="62" spans="1:22">
      <c r="B62" s="6"/>
      <c r="G62" s="9"/>
      <c r="L62" s="78" t="s">
        <v>80</v>
      </c>
      <c r="M62" s="79"/>
      <c r="N62" s="79"/>
      <c r="O62" s="79"/>
      <c r="P62" s="79"/>
      <c r="Q62" s="79"/>
      <c r="R62" s="79"/>
      <c r="S62" s="79"/>
      <c r="T62" s="79"/>
      <c r="U62" s="79"/>
      <c r="V62" s="80"/>
    </row>
    <row r="63" spans="1:22">
      <c r="B63" s="6"/>
      <c r="G63" s="9"/>
      <c r="L63" s="81"/>
      <c r="M63" s="79"/>
      <c r="N63" s="79"/>
      <c r="O63" s="79"/>
      <c r="P63" s="79"/>
      <c r="Q63" s="79"/>
      <c r="R63" s="79"/>
      <c r="S63" s="79"/>
      <c r="T63" s="79"/>
      <c r="U63" s="79"/>
      <c r="V63" s="80"/>
    </row>
    <row r="64" spans="1:22">
      <c r="B64" s="8"/>
      <c r="C64" s="5"/>
      <c r="D64" s="5"/>
      <c r="E64" s="5"/>
      <c r="F64" s="5"/>
      <c r="G64" s="11"/>
      <c r="L64" s="82"/>
      <c r="M64" s="83"/>
      <c r="N64" s="83"/>
      <c r="O64" s="83"/>
      <c r="P64" s="83"/>
      <c r="Q64" s="83"/>
      <c r="R64" s="83"/>
      <c r="S64" s="83"/>
      <c r="T64" s="83"/>
      <c r="U64" s="83"/>
      <c r="V64" s="84"/>
    </row>
  </sheetData>
  <mergeCells count="8">
    <mergeCell ref="L62:V64"/>
    <mergeCell ref="A1:G1"/>
    <mergeCell ref="B3:G3"/>
    <mergeCell ref="L3:V3"/>
    <mergeCell ref="L4:M4"/>
    <mergeCell ref="O4:P4"/>
    <mergeCell ref="R4:S4"/>
    <mergeCell ref="U4:V4"/>
  </mergeCells>
  <pageMargins left="0" right="0" top="0" bottom="0" header="0" footer="0"/>
  <pageSetup scale="48" orientation="landscape"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pageSetUpPr fitToPage="1"/>
  </sheetPr>
  <dimension ref="A1:V64"/>
  <sheetViews>
    <sheetView zoomScale="75" workbookViewId="0">
      <selection sqref="A1:G1"/>
    </sheetView>
  </sheetViews>
  <sheetFormatPr defaultColWidth="9.109375" defaultRowHeight="14.4"/>
  <cols>
    <col min="1" max="1" width="20" style="1" customWidth="1"/>
    <col min="2" max="7" width="15" style="1" customWidth="1"/>
    <col min="8" max="8" width="1" style="1" customWidth="1"/>
    <col min="9" max="9" width="30" style="1" customWidth="1"/>
    <col min="10" max="10" width="15" style="1" customWidth="1"/>
    <col min="11" max="11" width="1" style="1" customWidth="1"/>
    <col min="12" max="13" width="15" style="1" customWidth="1"/>
    <col min="14" max="14" width="1" style="1" customWidth="1"/>
    <col min="15" max="16" width="15" style="1" customWidth="1"/>
    <col min="17" max="17" width="1" style="1" customWidth="1"/>
    <col min="18" max="19" width="15" style="1" customWidth="1"/>
    <col min="20" max="20" width="1" style="1" customWidth="1"/>
    <col min="21" max="22" width="15" style="1" customWidth="1"/>
    <col min="23" max="23" width="9.109375" style="1" customWidth="1"/>
    <col min="24" max="16384" width="9.109375" style="1"/>
  </cols>
  <sheetData>
    <row r="1" spans="1:22">
      <c r="A1" s="85" t="s">
        <v>173</v>
      </c>
      <c r="B1" s="79"/>
      <c r="C1" s="79"/>
      <c r="D1" s="79"/>
      <c r="E1" s="79"/>
      <c r="F1" s="79"/>
      <c r="G1" s="79"/>
    </row>
    <row r="3" spans="1:22">
      <c r="B3" s="86" t="s">
        <v>1</v>
      </c>
      <c r="C3" s="87"/>
      <c r="D3" s="87"/>
      <c r="E3" s="87"/>
      <c r="F3" s="87"/>
      <c r="G3" s="88"/>
      <c r="L3" s="89" t="s">
        <v>2</v>
      </c>
      <c r="M3" s="90"/>
      <c r="N3" s="90"/>
      <c r="O3" s="90"/>
      <c r="P3" s="90"/>
      <c r="Q3" s="90"/>
      <c r="R3" s="90"/>
      <c r="S3" s="90"/>
      <c r="T3" s="90"/>
      <c r="U3" s="90"/>
      <c r="V3" s="91"/>
    </row>
    <row r="4" spans="1:22">
      <c r="B4" s="6"/>
      <c r="G4" s="9"/>
      <c r="L4" s="92" t="s">
        <v>3</v>
      </c>
      <c r="M4" s="93"/>
      <c r="N4" s="3"/>
      <c r="O4" s="94" t="s">
        <v>4</v>
      </c>
      <c r="P4" s="93"/>
      <c r="Q4" s="3"/>
      <c r="R4" s="94" t="s">
        <v>5</v>
      </c>
      <c r="S4" s="93"/>
      <c r="T4" s="3"/>
      <c r="U4" s="94" t="s">
        <v>6</v>
      </c>
      <c r="V4" s="95"/>
    </row>
    <row r="5" spans="1:22" ht="60" customHeight="1">
      <c r="B5" s="7" t="s">
        <v>3</v>
      </c>
      <c r="C5" s="4" t="s">
        <v>4</v>
      </c>
      <c r="D5" s="4" t="s">
        <v>5</v>
      </c>
      <c r="E5" s="4" t="s">
        <v>6</v>
      </c>
      <c r="F5" s="4" t="s">
        <v>7</v>
      </c>
      <c r="G5" s="10" t="s">
        <v>8</v>
      </c>
      <c r="L5" s="19" t="s">
        <v>9</v>
      </c>
      <c r="M5" s="18" t="s">
        <v>10</v>
      </c>
      <c r="N5" s="18"/>
      <c r="O5" s="18" t="s">
        <v>9</v>
      </c>
      <c r="P5" s="18" t="s">
        <v>10</v>
      </c>
      <c r="Q5" s="18"/>
      <c r="R5" s="18" t="s">
        <v>9</v>
      </c>
      <c r="S5" s="18" t="s">
        <v>10</v>
      </c>
      <c r="T5" s="18"/>
      <c r="U5" s="18" t="s">
        <v>9</v>
      </c>
      <c r="V5" s="20" t="s">
        <v>10</v>
      </c>
    </row>
    <row r="6" spans="1:22">
      <c r="A6" s="1" t="s">
        <v>11</v>
      </c>
      <c r="B6" s="6">
        <v>0</v>
      </c>
      <c r="C6" s="1">
        <v>0</v>
      </c>
      <c r="D6" s="1">
        <v>557191</v>
      </c>
      <c r="E6" s="1">
        <v>0</v>
      </c>
      <c r="F6" s="1">
        <v>0</v>
      </c>
      <c r="G6" s="9">
        <f>SUM(AL_FINANCIAL)</f>
        <v>557191</v>
      </c>
      <c r="L6" s="6">
        <v>0</v>
      </c>
      <c r="M6" s="1">
        <v>0</v>
      </c>
      <c r="O6" s="1">
        <v>0</v>
      </c>
      <c r="P6" s="1">
        <v>0</v>
      </c>
      <c r="R6" s="1">
        <v>555000</v>
      </c>
      <c r="S6" s="1">
        <v>0</v>
      </c>
      <c r="U6" s="1">
        <v>0</v>
      </c>
      <c r="V6" s="9">
        <v>0</v>
      </c>
    </row>
    <row r="7" spans="1:22">
      <c r="A7" s="1" t="s">
        <v>12</v>
      </c>
      <c r="B7" s="6">
        <v>0</v>
      </c>
      <c r="C7" s="1">
        <v>0</v>
      </c>
      <c r="D7" s="1">
        <v>0</v>
      </c>
      <c r="E7" s="1">
        <v>0</v>
      </c>
      <c r="F7" s="1">
        <v>0</v>
      </c>
      <c r="G7" s="9">
        <f>SUM(AK_FINANCIAL)</f>
        <v>0</v>
      </c>
      <c r="I7" s="12"/>
      <c r="J7" s="15"/>
      <c r="L7" s="6"/>
      <c r="V7" s="9"/>
    </row>
    <row r="8" spans="1:22">
      <c r="A8" s="1" t="s">
        <v>13</v>
      </c>
      <c r="B8" s="6">
        <v>0</v>
      </c>
      <c r="C8" s="1">
        <v>0</v>
      </c>
      <c r="D8" s="1">
        <v>193164</v>
      </c>
      <c r="E8" s="1">
        <v>0</v>
      </c>
      <c r="F8" s="1">
        <v>0</v>
      </c>
      <c r="G8" s="9">
        <f>SUM(AZ_FINANCIAL)</f>
        <v>193164</v>
      </c>
      <c r="I8" s="13" t="s">
        <v>14</v>
      </c>
      <c r="J8" s="16"/>
      <c r="L8" s="6">
        <v>0</v>
      </c>
      <c r="M8" s="1">
        <v>0</v>
      </c>
      <c r="O8" s="1">
        <v>0</v>
      </c>
      <c r="P8" s="1">
        <v>0</v>
      </c>
      <c r="R8" s="1">
        <v>90283</v>
      </c>
      <c r="S8" s="1">
        <v>0</v>
      </c>
      <c r="U8" s="1">
        <v>0</v>
      </c>
      <c r="V8" s="9">
        <v>0</v>
      </c>
    </row>
    <row r="9" spans="1:22">
      <c r="A9" s="1" t="s">
        <v>15</v>
      </c>
      <c r="B9" s="6">
        <v>0</v>
      </c>
      <c r="C9" s="1">
        <v>0</v>
      </c>
      <c r="D9" s="1">
        <v>87320</v>
      </c>
      <c r="E9" s="1">
        <v>0</v>
      </c>
      <c r="F9" s="1">
        <v>0</v>
      </c>
      <c r="G9" s="9">
        <f>SUM(AR_FINANCIAL)</f>
        <v>87320</v>
      </c>
      <c r="I9" s="13"/>
      <c r="J9" s="16"/>
      <c r="L9" s="6"/>
      <c r="V9" s="9"/>
    </row>
    <row r="10" spans="1:22">
      <c r="A10" s="1" t="s">
        <v>16</v>
      </c>
      <c r="B10" s="6">
        <v>0</v>
      </c>
      <c r="C10" s="1">
        <v>0</v>
      </c>
      <c r="D10" s="1">
        <v>164443</v>
      </c>
      <c r="E10" s="1">
        <v>0</v>
      </c>
      <c r="F10" s="1">
        <v>0</v>
      </c>
      <c r="G10" s="9">
        <f>SUM(CA_FINANCIAL)</f>
        <v>164443</v>
      </c>
      <c r="I10" s="13" t="s">
        <v>17</v>
      </c>
      <c r="J10" s="16">
        <v>8039193</v>
      </c>
      <c r="L10" s="6"/>
      <c r="V10" s="9"/>
    </row>
    <row r="11" spans="1:22">
      <c r="A11" s="1" t="s">
        <v>18</v>
      </c>
      <c r="B11" s="6">
        <v>0</v>
      </c>
      <c r="C11" s="1">
        <v>0</v>
      </c>
      <c r="D11" s="1">
        <v>55203</v>
      </c>
      <c r="E11" s="1">
        <v>0</v>
      </c>
      <c r="F11" s="1">
        <v>0</v>
      </c>
      <c r="G11" s="9">
        <f>SUM(CO_FINANCIAL)</f>
        <v>55203</v>
      </c>
      <c r="I11" s="13"/>
      <c r="J11" s="16"/>
      <c r="L11" s="6">
        <v>0</v>
      </c>
      <c r="M11" s="1">
        <v>0</v>
      </c>
      <c r="O11" s="1">
        <v>0</v>
      </c>
      <c r="P11" s="1">
        <v>0</v>
      </c>
      <c r="R11" s="1">
        <v>10000</v>
      </c>
      <c r="S11" s="1">
        <v>0</v>
      </c>
      <c r="U11" s="1">
        <v>0</v>
      </c>
      <c r="V11" s="9">
        <v>0</v>
      </c>
    </row>
    <row r="12" spans="1:22">
      <c r="A12" s="1" t="s">
        <v>19</v>
      </c>
      <c r="B12" s="6">
        <v>0</v>
      </c>
      <c r="C12" s="1">
        <v>0</v>
      </c>
      <c r="D12" s="1">
        <v>0</v>
      </c>
      <c r="E12" s="1">
        <v>0</v>
      </c>
      <c r="F12" s="1">
        <v>0</v>
      </c>
      <c r="G12" s="9">
        <f>SUM(CT_FINANCIAL)</f>
        <v>0</v>
      </c>
      <c r="I12" s="13" t="s">
        <v>20</v>
      </c>
      <c r="J12" s="16"/>
      <c r="L12" s="6"/>
      <c r="V12" s="9"/>
    </row>
    <row r="13" spans="1:22">
      <c r="A13" s="1" t="s">
        <v>21</v>
      </c>
      <c r="B13" s="6">
        <v>0</v>
      </c>
      <c r="C13" s="1">
        <v>0</v>
      </c>
      <c r="D13" s="1">
        <v>264</v>
      </c>
      <c r="E13" s="1">
        <v>0</v>
      </c>
      <c r="F13" s="1">
        <v>0</v>
      </c>
      <c r="G13" s="9">
        <f>SUM(DE_FINANCIAL)</f>
        <v>264</v>
      </c>
      <c r="I13" s="13" t="s">
        <v>22</v>
      </c>
      <c r="J13" s="16">
        <v>8039193</v>
      </c>
      <c r="L13" s="6"/>
      <c r="V13" s="9"/>
    </row>
    <row r="14" spans="1:22">
      <c r="A14" s="1" t="s">
        <v>23</v>
      </c>
      <c r="B14" s="6">
        <v>0</v>
      </c>
      <c r="C14" s="1">
        <v>0</v>
      </c>
      <c r="D14" s="1">
        <v>0</v>
      </c>
      <c r="E14" s="1">
        <v>0</v>
      </c>
      <c r="F14" s="1">
        <v>0</v>
      </c>
      <c r="G14" s="9">
        <f>SUM(DC_FINANCIAL)</f>
        <v>0</v>
      </c>
      <c r="I14" s="13" t="s">
        <v>24</v>
      </c>
      <c r="J14" s="16">
        <v>0</v>
      </c>
      <c r="L14" s="6"/>
      <c r="V14" s="9"/>
    </row>
    <row r="15" spans="1:22">
      <c r="A15" s="1" t="s">
        <v>25</v>
      </c>
      <c r="B15" s="6">
        <v>0</v>
      </c>
      <c r="C15" s="1">
        <v>0</v>
      </c>
      <c r="D15" s="1">
        <v>13820</v>
      </c>
      <c r="E15" s="1">
        <v>0</v>
      </c>
      <c r="F15" s="1">
        <v>0</v>
      </c>
      <c r="G15" s="9">
        <f>SUM(FL_FINANCIAL)</f>
        <v>13820</v>
      </c>
      <c r="I15" s="13" t="s">
        <v>26</v>
      </c>
      <c r="J15" s="16">
        <v>67801</v>
      </c>
      <c r="L15" s="6"/>
      <c r="V15" s="9"/>
    </row>
    <row r="16" spans="1:22">
      <c r="A16" s="1" t="s">
        <v>27</v>
      </c>
      <c r="B16" s="6">
        <v>0</v>
      </c>
      <c r="C16" s="1">
        <v>0</v>
      </c>
      <c r="D16" s="1">
        <v>2711387</v>
      </c>
      <c r="E16" s="1">
        <v>0</v>
      </c>
      <c r="F16" s="1">
        <v>0</v>
      </c>
      <c r="G16" s="9">
        <f>SUM(GA_FINANCIAL)</f>
        <v>2711387</v>
      </c>
      <c r="I16" s="13" t="s">
        <v>28</v>
      </c>
      <c r="J16" s="16">
        <v>0</v>
      </c>
      <c r="L16" s="6">
        <v>0</v>
      </c>
      <c r="M16" s="1">
        <v>0</v>
      </c>
      <c r="O16" s="1">
        <v>0</v>
      </c>
      <c r="P16" s="1">
        <v>0</v>
      </c>
      <c r="R16" s="1">
        <v>3083986</v>
      </c>
      <c r="S16" s="1">
        <v>0</v>
      </c>
      <c r="U16" s="1">
        <v>0</v>
      </c>
      <c r="V16" s="9">
        <v>0</v>
      </c>
    </row>
    <row r="17" spans="1:22">
      <c r="A17" s="1" t="s">
        <v>29</v>
      </c>
      <c r="B17" s="6">
        <v>0</v>
      </c>
      <c r="C17" s="1">
        <v>0</v>
      </c>
      <c r="D17" s="1">
        <v>0</v>
      </c>
      <c r="E17" s="1">
        <v>0</v>
      </c>
      <c r="F17" s="1">
        <v>0</v>
      </c>
      <c r="G17" s="9">
        <f>SUM(HI_FINANCIAL)</f>
        <v>0</v>
      </c>
      <c r="I17" s="13"/>
      <c r="J17" s="16"/>
      <c r="L17" s="6"/>
      <c r="V17" s="9"/>
    </row>
    <row r="18" spans="1:22">
      <c r="A18" s="1" t="s">
        <v>30</v>
      </c>
      <c r="B18" s="6">
        <v>0</v>
      </c>
      <c r="C18" s="1">
        <v>0</v>
      </c>
      <c r="D18" s="1">
        <v>21960</v>
      </c>
      <c r="E18" s="1">
        <v>0</v>
      </c>
      <c r="F18" s="1">
        <v>0</v>
      </c>
      <c r="G18" s="9">
        <f>SUM(ID_FINANCIAL)</f>
        <v>21960</v>
      </c>
      <c r="I18" s="13" t="s">
        <v>31</v>
      </c>
      <c r="J18" s="16"/>
      <c r="L18" s="6">
        <v>13000</v>
      </c>
      <c r="M18" s="1">
        <v>12848</v>
      </c>
      <c r="O18" s="1">
        <v>0</v>
      </c>
      <c r="P18" s="1">
        <v>0</v>
      </c>
      <c r="R18" s="1">
        <v>12000</v>
      </c>
      <c r="S18" s="1">
        <v>0</v>
      </c>
      <c r="U18" s="1">
        <v>0</v>
      </c>
      <c r="V18" s="9">
        <v>0</v>
      </c>
    </row>
    <row r="19" spans="1:22">
      <c r="A19" s="1" t="s">
        <v>32</v>
      </c>
      <c r="B19" s="6">
        <v>0</v>
      </c>
      <c r="C19" s="1">
        <v>0</v>
      </c>
      <c r="D19" s="1">
        <v>122013</v>
      </c>
      <c r="E19" s="1">
        <v>0</v>
      </c>
      <c r="F19" s="1">
        <v>0</v>
      </c>
      <c r="G19" s="9">
        <f>SUM(IL_FINANCIAL)</f>
        <v>122013</v>
      </c>
      <c r="I19" s="13" t="s">
        <v>33</v>
      </c>
      <c r="J19" s="16">
        <v>0</v>
      </c>
      <c r="L19" s="6">
        <v>0</v>
      </c>
      <c r="M19" s="1">
        <v>0</v>
      </c>
      <c r="O19" s="1">
        <v>0</v>
      </c>
      <c r="P19" s="1">
        <v>0</v>
      </c>
      <c r="R19" s="1">
        <v>145000</v>
      </c>
      <c r="S19" s="1">
        <v>20700</v>
      </c>
      <c r="U19" s="1">
        <v>0</v>
      </c>
      <c r="V19" s="9">
        <v>0</v>
      </c>
    </row>
    <row r="20" spans="1:22">
      <c r="A20" s="1" t="s">
        <v>34</v>
      </c>
      <c r="B20" s="6">
        <v>0</v>
      </c>
      <c r="C20" s="1">
        <v>0</v>
      </c>
      <c r="D20" s="1">
        <v>27047</v>
      </c>
      <c r="E20" s="1">
        <v>0</v>
      </c>
      <c r="F20" s="1">
        <v>0</v>
      </c>
      <c r="G20" s="9">
        <f>SUM(IN_FINANCIAL)</f>
        <v>27047</v>
      </c>
      <c r="I20" s="13" t="s">
        <v>35</v>
      </c>
      <c r="J20" s="16">
        <v>8039193</v>
      </c>
      <c r="L20" s="6">
        <v>0</v>
      </c>
      <c r="M20" s="1">
        <v>0</v>
      </c>
      <c r="O20" s="1">
        <v>0</v>
      </c>
      <c r="P20" s="1">
        <v>0</v>
      </c>
      <c r="R20" s="1">
        <v>240011</v>
      </c>
      <c r="S20" s="1">
        <v>0</v>
      </c>
      <c r="U20" s="1">
        <v>0</v>
      </c>
      <c r="V20" s="9">
        <v>0</v>
      </c>
    </row>
    <row r="21" spans="1:22">
      <c r="A21" s="1" t="s">
        <v>36</v>
      </c>
      <c r="B21" s="6">
        <v>0</v>
      </c>
      <c r="C21" s="1">
        <v>0</v>
      </c>
      <c r="D21" s="1">
        <v>25481</v>
      </c>
      <c r="E21" s="1">
        <v>0</v>
      </c>
      <c r="F21" s="1">
        <v>0</v>
      </c>
      <c r="G21" s="9">
        <f>SUM(IA_FINANCIAL)</f>
        <v>25481</v>
      </c>
      <c r="I21" s="13" t="s">
        <v>37</v>
      </c>
      <c r="J21" s="16"/>
      <c r="L21" s="6">
        <v>0</v>
      </c>
      <c r="M21" s="1">
        <v>0</v>
      </c>
      <c r="O21" s="1">
        <v>0</v>
      </c>
      <c r="P21" s="1">
        <v>0</v>
      </c>
      <c r="R21" s="1">
        <v>43800</v>
      </c>
      <c r="S21" s="1">
        <v>0</v>
      </c>
      <c r="U21" s="1">
        <v>0</v>
      </c>
      <c r="V21" s="9">
        <v>0</v>
      </c>
    </row>
    <row r="22" spans="1:22">
      <c r="A22" s="1" t="s">
        <v>38</v>
      </c>
      <c r="B22" s="6">
        <v>0</v>
      </c>
      <c r="C22" s="1">
        <v>0</v>
      </c>
      <c r="D22" s="1">
        <v>14496</v>
      </c>
      <c r="E22" s="1">
        <v>0</v>
      </c>
      <c r="F22" s="1">
        <v>0</v>
      </c>
      <c r="G22" s="9">
        <f>SUM(KS_FINANCIAL)</f>
        <v>14496</v>
      </c>
      <c r="I22" s="13" t="s">
        <v>39</v>
      </c>
      <c r="J22" s="16">
        <v>0</v>
      </c>
      <c r="L22" s="6"/>
      <c r="V22" s="9"/>
    </row>
    <row r="23" spans="1:22">
      <c r="A23" s="1" t="s">
        <v>40</v>
      </c>
      <c r="B23" s="6">
        <v>0</v>
      </c>
      <c r="C23" s="1">
        <v>0</v>
      </c>
      <c r="D23" s="1">
        <v>463038</v>
      </c>
      <c r="E23" s="1">
        <v>0</v>
      </c>
      <c r="F23" s="1">
        <v>0</v>
      </c>
      <c r="G23" s="9">
        <f>SUM(KY_FINANCIAL)</f>
        <v>463038</v>
      </c>
      <c r="I23" s="13" t="s">
        <v>41</v>
      </c>
      <c r="J23" s="16"/>
      <c r="L23" s="6">
        <v>15900</v>
      </c>
      <c r="M23" s="1">
        <v>10160.379999999999</v>
      </c>
      <c r="O23" s="1">
        <v>514100</v>
      </c>
      <c r="P23" s="1">
        <v>0</v>
      </c>
      <c r="R23" s="1">
        <v>0</v>
      </c>
      <c r="S23" s="1">
        <v>240218.01</v>
      </c>
      <c r="U23" s="1">
        <v>0</v>
      </c>
      <c r="V23" s="9">
        <v>0</v>
      </c>
    </row>
    <row r="24" spans="1:22">
      <c r="A24" s="1" t="s">
        <v>42</v>
      </c>
      <c r="B24" s="6">
        <v>0</v>
      </c>
      <c r="C24" s="1">
        <v>0</v>
      </c>
      <c r="D24" s="1">
        <v>70448</v>
      </c>
      <c r="E24" s="1">
        <v>0</v>
      </c>
      <c r="F24" s="1">
        <v>0</v>
      </c>
      <c r="G24" s="9">
        <f>SUM(LA_FINANCIAL)</f>
        <v>70448</v>
      </c>
      <c r="I24" s="13" t="s">
        <v>43</v>
      </c>
      <c r="J24" s="16">
        <v>0</v>
      </c>
      <c r="L24" s="6"/>
      <c r="V24" s="9"/>
    </row>
    <row r="25" spans="1:22">
      <c r="A25" s="1" t="s">
        <v>44</v>
      </c>
      <c r="B25" s="6">
        <v>0</v>
      </c>
      <c r="C25" s="1">
        <v>0</v>
      </c>
      <c r="D25" s="1">
        <v>0</v>
      </c>
      <c r="E25" s="1">
        <v>0</v>
      </c>
      <c r="F25" s="1">
        <v>0</v>
      </c>
      <c r="G25" s="9">
        <f>SUM(ME_FINANCIAL)</f>
        <v>0</v>
      </c>
      <c r="I25" s="13"/>
      <c r="J25" s="16"/>
      <c r="L25" s="6"/>
      <c r="V25" s="9"/>
    </row>
    <row r="26" spans="1:22">
      <c r="A26" s="1" t="s">
        <v>45</v>
      </c>
      <c r="B26" s="6">
        <v>0</v>
      </c>
      <c r="C26" s="1">
        <v>0</v>
      </c>
      <c r="D26" s="1">
        <v>6769</v>
      </c>
      <c r="E26" s="1">
        <v>0</v>
      </c>
      <c r="F26" s="1">
        <v>0</v>
      </c>
      <c r="G26" s="9">
        <f>SUM(MD_FINANCIAL)</f>
        <v>6769</v>
      </c>
      <c r="I26" s="13" t="s">
        <v>46</v>
      </c>
      <c r="J26" s="16">
        <f>SUM(ADD_FINANCIAL)-SUM(LESS_FINANCIAL)</f>
        <v>8106994</v>
      </c>
      <c r="L26" s="6"/>
      <c r="V26" s="9"/>
    </row>
    <row r="27" spans="1:22">
      <c r="A27" s="1" t="s">
        <v>47</v>
      </c>
      <c r="B27" s="6">
        <v>0</v>
      </c>
      <c r="C27" s="1">
        <v>0</v>
      </c>
      <c r="D27" s="1">
        <v>0</v>
      </c>
      <c r="E27" s="1">
        <v>0</v>
      </c>
      <c r="F27" s="1">
        <v>0</v>
      </c>
      <c r="G27" s="9">
        <f>SUM(MA_FINANCIAL)</f>
        <v>0</v>
      </c>
      <c r="I27" s="13" t="s">
        <v>48</v>
      </c>
      <c r="J27" s="16">
        <f>SUM(ALL_BLOCKS)</f>
        <v>8106994</v>
      </c>
      <c r="L27" s="6"/>
      <c r="V27" s="9"/>
    </row>
    <row r="28" spans="1:22">
      <c r="A28" s="1" t="s">
        <v>49</v>
      </c>
      <c r="B28" s="6">
        <v>0</v>
      </c>
      <c r="C28" s="1">
        <v>0</v>
      </c>
      <c r="D28" s="1">
        <v>111797</v>
      </c>
      <c r="E28" s="1">
        <v>0</v>
      </c>
      <c r="F28" s="1">
        <v>0</v>
      </c>
      <c r="G28" s="9">
        <f>SUM(MI_FINANCIAL)</f>
        <v>111797</v>
      </c>
      <c r="I28" s="14"/>
      <c r="J28" s="17"/>
      <c r="L28" s="6"/>
      <c r="V28" s="9"/>
    </row>
    <row r="29" spans="1:22">
      <c r="A29" s="1" t="s">
        <v>50</v>
      </c>
      <c r="B29" s="6">
        <v>0</v>
      </c>
      <c r="C29" s="1">
        <v>0</v>
      </c>
      <c r="D29" s="1">
        <v>0</v>
      </c>
      <c r="E29" s="1">
        <v>0</v>
      </c>
      <c r="F29" s="1">
        <v>0</v>
      </c>
      <c r="G29" s="9">
        <f>SUM(MN_FINANCIAL)</f>
        <v>0</v>
      </c>
      <c r="L29" s="6"/>
      <c r="V29" s="9"/>
    </row>
    <row r="30" spans="1:22">
      <c r="A30" s="1" t="s">
        <v>51</v>
      </c>
      <c r="B30" s="6">
        <v>0</v>
      </c>
      <c r="C30" s="1">
        <v>0</v>
      </c>
      <c r="D30" s="1">
        <v>189833</v>
      </c>
      <c r="E30" s="1">
        <v>0</v>
      </c>
      <c r="F30" s="1">
        <v>0</v>
      </c>
      <c r="G30" s="9">
        <f>SUM(MS_FINANCIAL)</f>
        <v>189833</v>
      </c>
      <c r="L30" s="6">
        <v>75235</v>
      </c>
      <c r="M30" s="1">
        <v>14145</v>
      </c>
      <c r="O30" s="1">
        <v>0</v>
      </c>
      <c r="P30" s="1">
        <v>0</v>
      </c>
      <c r="R30" s="1">
        <v>154765</v>
      </c>
      <c r="S30" s="1">
        <v>28210</v>
      </c>
      <c r="U30" s="1">
        <v>0</v>
      </c>
      <c r="V30" s="9">
        <v>0</v>
      </c>
    </row>
    <row r="31" spans="1:22">
      <c r="A31" s="1" t="s">
        <v>52</v>
      </c>
      <c r="B31" s="6">
        <v>0</v>
      </c>
      <c r="C31" s="1">
        <v>0</v>
      </c>
      <c r="D31" s="1">
        <v>143266</v>
      </c>
      <c r="E31" s="1">
        <v>0</v>
      </c>
      <c r="F31" s="1">
        <v>0</v>
      </c>
      <c r="G31" s="9">
        <f>SUM(MO_FINANCIAL)</f>
        <v>143266</v>
      </c>
      <c r="L31" s="6"/>
      <c r="V31" s="9"/>
    </row>
    <row r="32" spans="1:22">
      <c r="A32" s="1" t="s">
        <v>53</v>
      </c>
      <c r="B32" s="6">
        <v>0</v>
      </c>
      <c r="C32" s="1">
        <v>0</v>
      </c>
      <c r="D32" s="1">
        <v>15589</v>
      </c>
      <c r="E32" s="1">
        <v>0</v>
      </c>
      <c r="F32" s="1">
        <v>0</v>
      </c>
      <c r="G32" s="9">
        <f>SUM(MT_FINANCIAL)</f>
        <v>15589</v>
      </c>
      <c r="L32" s="6">
        <v>11160</v>
      </c>
      <c r="M32" s="1">
        <v>0</v>
      </c>
      <c r="O32" s="1">
        <v>0</v>
      </c>
      <c r="P32" s="1">
        <v>0</v>
      </c>
      <c r="R32" s="1">
        <v>19840</v>
      </c>
      <c r="S32" s="1">
        <v>0</v>
      </c>
      <c r="U32" s="1">
        <v>0</v>
      </c>
      <c r="V32" s="9">
        <v>0</v>
      </c>
    </row>
    <row r="33" spans="1:22">
      <c r="A33" s="1" t="s">
        <v>54</v>
      </c>
      <c r="B33" s="6">
        <v>0</v>
      </c>
      <c r="C33" s="1">
        <v>0</v>
      </c>
      <c r="D33" s="1">
        <v>47648</v>
      </c>
      <c r="E33" s="1">
        <v>0</v>
      </c>
      <c r="F33" s="1">
        <v>0</v>
      </c>
      <c r="G33" s="9">
        <f>SUM(NE_FINANCIAL)</f>
        <v>47648</v>
      </c>
      <c r="L33" s="6">
        <v>0</v>
      </c>
      <c r="M33" s="1">
        <v>0</v>
      </c>
      <c r="O33" s="1">
        <v>0</v>
      </c>
      <c r="P33" s="1">
        <v>0</v>
      </c>
      <c r="R33" s="1">
        <v>55000</v>
      </c>
      <c r="S33" s="1">
        <v>0</v>
      </c>
      <c r="U33" s="1">
        <v>0</v>
      </c>
      <c r="V33" s="9">
        <v>0</v>
      </c>
    </row>
    <row r="34" spans="1:22">
      <c r="A34" s="1" t="s">
        <v>55</v>
      </c>
      <c r="B34" s="6">
        <v>0</v>
      </c>
      <c r="C34" s="1">
        <v>0</v>
      </c>
      <c r="D34" s="1">
        <v>371517</v>
      </c>
      <c r="E34" s="1">
        <v>0</v>
      </c>
      <c r="F34" s="1">
        <v>0</v>
      </c>
      <c r="G34" s="9">
        <f>SUM(NV_FINANCIAL)</f>
        <v>371517</v>
      </c>
      <c r="L34" s="6">
        <v>0</v>
      </c>
      <c r="M34" s="1">
        <v>0</v>
      </c>
      <c r="O34" s="1">
        <v>0</v>
      </c>
      <c r="P34" s="1">
        <v>0</v>
      </c>
      <c r="R34" s="1">
        <v>419800</v>
      </c>
      <c r="S34" s="1">
        <v>0</v>
      </c>
      <c r="U34" s="1">
        <v>0</v>
      </c>
      <c r="V34" s="9">
        <v>0</v>
      </c>
    </row>
    <row r="35" spans="1:22">
      <c r="A35" s="1" t="s">
        <v>56</v>
      </c>
      <c r="B35" s="6">
        <v>0</v>
      </c>
      <c r="C35" s="1">
        <v>0</v>
      </c>
      <c r="D35" s="1">
        <v>0</v>
      </c>
      <c r="E35" s="1">
        <v>0</v>
      </c>
      <c r="F35" s="1">
        <v>0</v>
      </c>
      <c r="G35" s="9">
        <f>SUM(NH_FINANCIAL)</f>
        <v>0</v>
      </c>
      <c r="L35" s="6"/>
      <c r="V35" s="9"/>
    </row>
    <row r="36" spans="1:22">
      <c r="A36" s="1" t="s">
        <v>57</v>
      </c>
      <c r="B36" s="6">
        <v>0</v>
      </c>
      <c r="C36" s="1">
        <v>0</v>
      </c>
      <c r="D36" s="1">
        <v>4027</v>
      </c>
      <c r="E36" s="1">
        <v>0</v>
      </c>
      <c r="F36" s="1">
        <v>0</v>
      </c>
      <c r="G36" s="9">
        <f>SUM(NJ_FINANCIAL)</f>
        <v>4027</v>
      </c>
      <c r="L36" s="6"/>
      <c r="V36" s="9"/>
    </row>
    <row r="37" spans="1:22">
      <c r="A37" s="1" t="s">
        <v>58</v>
      </c>
      <c r="B37" s="6">
        <v>0</v>
      </c>
      <c r="C37" s="1">
        <v>0</v>
      </c>
      <c r="D37" s="1">
        <v>121733</v>
      </c>
      <c r="E37" s="1">
        <v>0</v>
      </c>
      <c r="F37" s="1">
        <v>0</v>
      </c>
      <c r="G37" s="9">
        <f>SUM(NM_FINANCIAL)</f>
        <v>121733</v>
      </c>
      <c r="L37" s="6"/>
      <c r="V37" s="9"/>
    </row>
    <row r="38" spans="1:22">
      <c r="A38" s="1" t="s">
        <v>59</v>
      </c>
      <c r="B38" s="6">
        <v>0</v>
      </c>
      <c r="C38" s="1">
        <v>0</v>
      </c>
      <c r="D38" s="1">
        <v>1484</v>
      </c>
      <c r="E38" s="1">
        <v>0</v>
      </c>
      <c r="F38" s="1">
        <v>0</v>
      </c>
      <c r="G38" s="9">
        <f>SUM(NY_FINANCIAL)</f>
        <v>1484</v>
      </c>
      <c r="L38" s="6"/>
      <c r="V38" s="9"/>
    </row>
    <row r="39" spans="1:22">
      <c r="A39" s="1" t="s">
        <v>60</v>
      </c>
      <c r="B39" s="6">
        <v>0</v>
      </c>
      <c r="C39" s="1">
        <v>0</v>
      </c>
      <c r="D39" s="1">
        <v>30</v>
      </c>
      <c r="E39" s="1">
        <v>0</v>
      </c>
      <c r="F39" s="1">
        <v>0</v>
      </c>
      <c r="G39" s="9">
        <f>SUM(NC_FINANCIAL)</f>
        <v>30</v>
      </c>
      <c r="L39" s="6"/>
      <c r="V39" s="9"/>
    </row>
    <row r="40" spans="1:22">
      <c r="A40" s="1" t="s">
        <v>61</v>
      </c>
      <c r="B40" s="6">
        <v>0</v>
      </c>
      <c r="C40" s="1">
        <v>0</v>
      </c>
      <c r="D40" s="1">
        <v>5374</v>
      </c>
      <c r="E40" s="1">
        <v>0</v>
      </c>
      <c r="F40" s="1">
        <v>0</v>
      </c>
      <c r="G40" s="9">
        <f>SUM(ND_FINANCIAL)</f>
        <v>5374</v>
      </c>
      <c r="L40" s="6">
        <v>0</v>
      </c>
      <c r="M40" s="1">
        <v>0</v>
      </c>
      <c r="O40" s="1">
        <v>0</v>
      </c>
      <c r="P40" s="1">
        <v>0</v>
      </c>
      <c r="R40" s="1">
        <v>4452</v>
      </c>
      <c r="S40" s="1">
        <v>0</v>
      </c>
      <c r="U40" s="1">
        <v>0</v>
      </c>
      <c r="V40" s="9">
        <v>0</v>
      </c>
    </row>
    <row r="41" spans="1:22">
      <c r="A41" s="1" t="s">
        <v>62</v>
      </c>
      <c r="B41" s="6">
        <v>0</v>
      </c>
      <c r="C41" s="1">
        <v>0</v>
      </c>
      <c r="D41" s="1">
        <v>99535</v>
      </c>
      <c r="E41" s="1">
        <v>0</v>
      </c>
      <c r="F41" s="1">
        <v>0</v>
      </c>
      <c r="G41" s="9">
        <f>SUM(OH_FINANCIAL)</f>
        <v>99535</v>
      </c>
      <c r="L41" s="6">
        <v>0</v>
      </c>
      <c r="M41" s="1">
        <v>0</v>
      </c>
      <c r="O41" s="1">
        <v>0</v>
      </c>
      <c r="P41" s="1">
        <v>0</v>
      </c>
      <c r="R41" s="1">
        <v>65000</v>
      </c>
      <c r="S41" s="1">
        <v>0</v>
      </c>
      <c r="U41" s="1">
        <v>0</v>
      </c>
      <c r="V41" s="9">
        <v>0</v>
      </c>
    </row>
    <row r="42" spans="1:22">
      <c r="A42" s="1" t="s">
        <v>63</v>
      </c>
      <c r="B42" s="6">
        <v>0</v>
      </c>
      <c r="C42" s="1">
        <v>0</v>
      </c>
      <c r="D42" s="1">
        <v>93787</v>
      </c>
      <c r="E42" s="1">
        <v>0</v>
      </c>
      <c r="F42" s="1">
        <v>0</v>
      </c>
      <c r="G42" s="9">
        <f>SUM(OK_FINANCIAL)</f>
        <v>93787</v>
      </c>
      <c r="L42" s="6"/>
      <c r="V42" s="9"/>
    </row>
    <row r="43" spans="1:22">
      <c r="A43" s="1" t="s">
        <v>64</v>
      </c>
      <c r="B43" s="6">
        <v>0</v>
      </c>
      <c r="C43" s="1">
        <v>0</v>
      </c>
      <c r="D43" s="1">
        <v>67597</v>
      </c>
      <c r="E43" s="1">
        <v>0</v>
      </c>
      <c r="F43" s="1">
        <v>0</v>
      </c>
      <c r="G43" s="9">
        <f>SUM(OR_FINANCIAL)</f>
        <v>67597</v>
      </c>
      <c r="L43" s="6"/>
      <c r="V43" s="9"/>
    </row>
    <row r="44" spans="1:22">
      <c r="A44" s="1" t="s">
        <v>65</v>
      </c>
      <c r="B44" s="6">
        <v>0</v>
      </c>
      <c r="C44" s="1">
        <v>0</v>
      </c>
      <c r="D44" s="1">
        <v>0</v>
      </c>
      <c r="E44" s="1">
        <v>0</v>
      </c>
      <c r="F44" s="1">
        <v>0</v>
      </c>
      <c r="G44" s="9">
        <f>SUM(PA_FINANCIAL)</f>
        <v>0</v>
      </c>
      <c r="L44" s="6"/>
      <c r="V44" s="9"/>
    </row>
    <row r="45" spans="1:22">
      <c r="A45" s="1" t="s">
        <v>66</v>
      </c>
      <c r="B45" s="6">
        <v>0</v>
      </c>
      <c r="C45" s="1">
        <v>0</v>
      </c>
      <c r="D45" s="1">
        <v>0</v>
      </c>
      <c r="E45" s="1">
        <v>0</v>
      </c>
      <c r="F45" s="1">
        <v>0</v>
      </c>
      <c r="G45" s="9">
        <f>SUM(PR_FINANCIAL)</f>
        <v>0</v>
      </c>
      <c r="L45" s="6"/>
      <c r="V45" s="9"/>
    </row>
    <row r="46" spans="1:22">
      <c r="A46" s="1" t="s">
        <v>67</v>
      </c>
      <c r="B46" s="6">
        <v>0</v>
      </c>
      <c r="C46" s="1">
        <v>0</v>
      </c>
      <c r="D46" s="1">
        <v>0</v>
      </c>
      <c r="E46" s="1">
        <v>0</v>
      </c>
      <c r="F46" s="1">
        <v>0</v>
      </c>
      <c r="G46" s="9">
        <f>SUM(RI_FINANCIAL)</f>
        <v>0</v>
      </c>
      <c r="L46" s="6"/>
      <c r="V46" s="9"/>
    </row>
    <row r="47" spans="1:22">
      <c r="A47" s="1" t="s">
        <v>68</v>
      </c>
      <c r="B47" s="6">
        <v>0</v>
      </c>
      <c r="C47" s="1">
        <v>0</v>
      </c>
      <c r="D47" s="1">
        <v>7267</v>
      </c>
      <c r="E47" s="1">
        <v>0</v>
      </c>
      <c r="F47" s="1">
        <v>0</v>
      </c>
      <c r="G47" s="9">
        <f>SUM(SC_FINANCIAL)</f>
        <v>7267</v>
      </c>
      <c r="L47" s="6"/>
      <c r="V47" s="9"/>
    </row>
    <row r="48" spans="1:22">
      <c r="A48" s="1" t="s">
        <v>69</v>
      </c>
      <c r="B48" s="6">
        <v>0</v>
      </c>
      <c r="C48" s="1">
        <v>0</v>
      </c>
      <c r="D48" s="1">
        <v>51116</v>
      </c>
      <c r="E48" s="1">
        <v>0</v>
      </c>
      <c r="F48" s="1">
        <v>0</v>
      </c>
      <c r="G48" s="9">
        <f>SUM(SD_FINANCIAL)</f>
        <v>51116</v>
      </c>
      <c r="L48" s="6">
        <v>150</v>
      </c>
      <c r="M48" s="1">
        <v>0</v>
      </c>
      <c r="O48" s="1">
        <v>0</v>
      </c>
      <c r="P48" s="1">
        <v>0</v>
      </c>
      <c r="R48" s="1">
        <v>82731</v>
      </c>
      <c r="S48" s="1">
        <v>0</v>
      </c>
      <c r="U48" s="1">
        <v>0</v>
      </c>
      <c r="V48" s="9">
        <v>0</v>
      </c>
    </row>
    <row r="49" spans="1:22">
      <c r="A49" s="1" t="s">
        <v>70</v>
      </c>
      <c r="B49" s="6">
        <v>0</v>
      </c>
      <c r="C49" s="1">
        <v>0</v>
      </c>
      <c r="D49" s="1">
        <v>67009</v>
      </c>
      <c r="E49" s="1">
        <v>0</v>
      </c>
      <c r="F49" s="1">
        <v>0</v>
      </c>
      <c r="G49" s="9">
        <f>SUM(TN_FINANCIAL)</f>
        <v>67009</v>
      </c>
      <c r="L49" s="6">
        <v>0</v>
      </c>
      <c r="M49" s="1">
        <v>0</v>
      </c>
      <c r="O49" s="1">
        <v>0</v>
      </c>
      <c r="P49" s="1">
        <v>0</v>
      </c>
      <c r="R49" s="1">
        <v>48000</v>
      </c>
      <c r="S49" s="1">
        <v>0</v>
      </c>
      <c r="U49" s="1">
        <v>0</v>
      </c>
      <c r="V49" s="9">
        <v>0</v>
      </c>
    </row>
    <row r="50" spans="1:22">
      <c r="A50" s="1" t="s">
        <v>71</v>
      </c>
      <c r="B50" s="6">
        <v>0</v>
      </c>
      <c r="C50" s="1">
        <v>0</v>
      </c>
      <c r="D50" s="1">
        <v>1832245</v>
      </c>
      <c r="E50" s="1">
        <v>0</v>
      </c>
      <c r="F50" s="1">
        <v>0</v>
      </c>
      <c r="G50" s="9">
        <f>SUM(TX_FINANCIAL)</f>
        <v>1832245</v>
      </c>
      <c r="L50" s="6">
        <v>17071</v>
      </c>
      <c r="M50" s="1">
        <v>11023.714</v>
      </c>
      <c r="O50" s="1">
        <v>0</v>
      </c>
      <c r="P50" s="1">
        <v>0</v>
      </c>
      <c r="R50" s="1">
        <v>1292203</v>
      </c>
      <c r="S50" s="1">
        <v>836954.28599999996</v>
      </c>
      <c r="U50" s="1">
        <v>0</v>
      </c>
      <c r="V50" s="9">
        <v>0</v>
      </c>
    </row>
    <row r="51" spans="1:22">
      <c r="A51" s="1" t="s">
        <v>72</v>
      </c>
      <c r="B51" s="6">
        <v>0</v>
      </c>
      <c r="C51" s="1">
        <v>0</v>
      </c>
      <c r="D51" s="1">
        <v>32888</v>
      </c>
      <c r="E51" s="1">
        <v>0</v>
      </c>
      <c r="F51" s="1">
        <v>0</v>
      </c>
      <c r="G51" s="9">
        <f>SUM(UT_FINANCIAL)</f>
        <v>32888</v>
      </c>
      <c r="L51" s="6">
        <v>2000</v>
      </c>
      <c r="M51" s="1">
        <v>0</v>
      </c>
      <c r="O51" s="1">
        <v>0</v>
      </c>
      <c r="P51" s="1">
        <v>0</v>
      </c>
      <c r="R51" s="1">
        <v>320000</v>
      </c>
      <c r="S51" s="1">
        <v>0</v>
      </c>
      <c r="U51" s="1">
        <v>0</v>
      </c>
      <c r="V51" s="9">
        <v>0</v>
      </c>
    </row>
    <row r="52" spans="1:22">
      <c r="A52" s="1" t="s">
        <v>73</v>
      </c>
      <c r="B52" s="6">
        <v>0</v>
      </c>
      <c r="C52" s="1">
        <v>0</v>
      </c>
      <c r="D52" s="1">
        <v>0</v>
      </c>
      <c r="E52" s="1">
        <v>0</v>
      </c>
      <c r="F52" s="1">
        <v>0</v>
      </c>
      <c r="G52" s="9">
        <f>SUM(VT_FINANCIAL)</f>
        <v>0</v>
      </c>
      <c r="L52" s="6"/>
      <c r="V52" s="9"/>
    </row>
    <row r="53" spans="1:22">
      <c r="A53" s="1" t="s">
        <v>74</v>
      </c>
      <c r="B53" s="6">
        <v>0</v>
      </c>
      <c r="C53" s="1">
        <v>0</v>
      </c>
      <c r="D53" s="1">
        <v>27892</v>
      </c>
      <c r="E53" s="1">
        <v>0</v>
      </c>
      <c r="F53" s="1">
        <v>0</v>
      </c>
      <c r="G53" s="9">
        <f>SUM(VA_FINANCIAL)</f>
        <v>27892</v>
      </c>
      <c r="L53" s="6">
        <v>0</v>
      </c>
      <c r="M53" s="1">
        <v>0</v>
      </c>
      <c r="O53" s="1">
        <v>0</v>
      </c>
      <c r="P53" s="1">
        <v>0</v>
      </c>
      <c r="R53" s="1">
        <v>30000</v>
      </c>
      <c r="S53" s="1">
        <v>42431</v>
      </c>
      <c r="U53" s="1">
        <v>0</v>
      </c>
      <c r="V53" s="9">
        <v>0</v>
      </c>
    </row>
    <row r="54" spans="1:22">
      <c r="A54" s="1" t="s">
        <v>75</v>
      </c>
      <c r="B54" s="6">
        <v>0</v>
      </c>
      <c r="C54" s="1">
        <v>0</v>
      </c>
      <c r="D54" s="1">
        <v>167735</v>
      </c>
      <c r="E54" s="1">
        <v>0</v>
      </c>
      <c r="F54" s="1">
        <v>0</v>
      </c>
      <c r="G54" s="9">
        <f>SUM(WA_FINANCIAL)</f>
        <v>167735</v>
      </c>
      <c r="L54" s="6">
        <v>0</v>
      </c>
      <c r="M54" s="1">
        <v>0</v>
      </c>
      <c r="O54" s="1">
        <v>0</v>
      </c>
      <c r="P54" s="1">
        <v>0</v>
      </c>
      <c r="R54" s="1">
        <v>200000</v>
      </c>
      <c r="S54" s="1">
        <v>85160</v>
      </c>
      <c r="U54" s="1">
        <v>0</v>
      </c>
      <c r="V54" s="9">
        <v>0</v>
      </c>
    </row>
    <row r="55" spans="1:22">
      <c r="A55" s="1" t="s">
        <v>76</v>
      </c>
      <c r="B55" s="6">
        <v>0</v>
      </c>
      <c r="C55" s="1">
        <v>0</v>
      </c>
      <c r="D55" s="1">
        <v>110539</v>
      </c>
      <c r="E55" s="1">
        <v>0</v>
      </c>
      <c r="F55" s="1">
        <v>0</v>
      </c>
      <c r="G55" s="9">
        <f>SUM(WV_FINANCIAL)</f>
        <v>110539</v>
      </c>
      <c r="L55" s="6">
        <v>2159</v>
      </c>
      <c r="M55" s="1">
        <v>0</v>
      </c>
      <c r="O55" s="1">
        <v>0</v>
      </c>
      <c r="P55" s="1">
        <v>0</v>
      </c>
      <c r="R55" s="1">
        <v>206730</v>
      </c>
      <c r="S55" s="1">
        <v>155286</v>
      </c>
      <c r="U55" s="1">
        <v>0</v>
      </c>
      <c r="V55" s="9">
        <v>0</v>
      </c>
    </row>
    <row r="56" spans="1:22">
      <c r="A56" s="1" t="s">
        <v>77</v>
      </c>
      <c r="B56" s="6">
        <v>0</v>
      </c>
      <c r="C56" s="1">
        <v>0</v>
      </c>
      <c r="D56" s="1">
        <v>2097</v>
      </c>
      <c r="E56" s="1">
        <v>0</v>
      </c>
      <c r="F56" s="1">
        <v>0</v>
      </c>
      <c r="G56" s="9">
        <f>SUM(WI_FINANCIAL)</f>
        <v>2097</v>
      </c>
      <c r="L56" s="6"/>
      <c r="V56" s="9"/>
    </row>
    <row r="57" spans="1:22">
      <c r="A57" s="1" t="s">
        <v>78</v>
      </c>
      <c r="B57" s="6">
        <v>0</v>
      </c>
      <c r="C57" s="1">
        <v>0</v>
      </c>
      <c r="D57" s="1">
        <v>945</v>
      </c>
      <c r="E57" s="1">
        <v>0</v>
      </c>
      <c r="F57" s="1">
        <v>0</v>
      </c>
      <c r="G57" s="9">
        <f>SUM(WY_FINANCIAL)</f>
        <v>945</v>
      </c>
      <c r="L57" s="6">
        <v>170</v>
      </c>
      <c r="M57" s="1">
        <v>0</v>
      </c>
      <c r="O57" s="1">
        <v>0</v>
      </c>
      <c r="P57" s="1">
        <v>0</v>
      </c>
      <c r="R57" s="1">
        <v>4830</v>
      </c>
      <c r="S57" s="1">
        <v>0</v>
      </c>
      <c r="U57" s="1">
        <v>0</v>
      </c>
      <c r="V57" s="9">
        <v>0</v>
      </c>
    </row>
    <row r="58" spans="1:22">
      <c r="A58" s="1" t="s">
        <v>79</v>
      </c>
      <c r="B58" s="6">
        <v>0</v>
      </c>
      <c r="C58" s="1">
        <v>0</v>
      </c>
      <c r="D58" s="1">
        <v>0</v>
      </c>
      <c r="E58" s="1">
        <v>0</v>
      </c>
      <c r="F58" s="1">
        <v>0</v>
      </c>
      <c r="G58" s="9">
        <f>SUM(OT_FINANCIAL)</f>
        <v>0</v>
      </c>
      <c r="L58" s="6"/>
      <c r="V58" s="9"/>
    </row>
    <row r="59" spans="1:22">
      <c r="B59" s="6"/>
      <c r="G59" s="9"/>
      <c r="L59" s="6"/>
      <c r="V59" s="9"/>
    </row>
    <row r="60" spans="1:22">
      <c r="A60" s="1" t="s">
        <v>8</v>
      </c>
      <c r="B60" s="6">
        <f>SUM(LIFE)</f>
        <v>0</v>
      </c>
      <c r="C60" s="1">
        <f>SUM(ALLOCATED)</f>
        <v>0</v>
      </c>
      <c r="D60" s="1">
        <f>SUM(HEALTH)</f>
        <v>8106994</v>
      </c>
      <c r="E60" s="1">
        <f>SUM(UNALLOCATED)</f>
        <v>0</v>
      </c>
      <c r="F60" s="1">
        <f>SUM(LTC)</f>
        <v>0</v>
      </c>
      <c r="G60" s="9">
        <f>SUM(ALL_BLOCKS)</f>
        <v>8106994</v>
      </c>
      <c r="L60" s="6">
        <f>SUM(LIFE_CALLED)</f>
        <v>136845</v>
      </c>
      <c r="M60" s="1">
        <f>SUM(LIFE_REFUNDED)</f>
        <v>48177.093999999997</v>
      </c>
      <c r="O60" s="1">
        <f>SUM(ALLOC_CALLED)</f>
        <v>514100</v>
      </c>
      <c r="P60" s="1">
        <f>SUM(ALLOC_REFUNDED)</f>
        <v>0</v>
      </c>
      <c r="R60" s="1">
        <f>SUM(HEALTH_CALLED)</f>
        <v>7083431</v>
      </c>
      <c r="S60" s="1">
        <f>SUM(HEALTH_REFUNDED)</f>
        <v>1408959.2960000001</v>
      </c>
      <c r="U60" s="1">
        <f>SUM(UNALLOC_CALLED)</f>
        <v>0</v>
      </c>
      <c r="V60" s="9">
        <f>SUM(UNALLOC_REFUNDED)</f>
        <v>0</v>
      </c>
    </row>
    <row r="61" spans="1:22" ht="5.0999999999999996" customHeight="1">
      <c r="B61" s="6"/>
      <c r="G61" s="9"/>
      <c r="L61" s="6"/>
      <c r="V61" s="9"/>
    </row>
    <row r="62" spans="1:22">
      <c r="B62" s="6"/>
      <c r="G62" s="9"/>
      <c r="L62" s="78" t="s">
        <v>80</v>
      </c>
      <c r="M62" s="79"/>
      <c r="N62" s="79"/>
      <c r="O62" s="79"/>
      <c r="P62" s="79"/>
      <c r="Q62" s="79"/>
      <c r="R62" s="79"/>
      <c r="S62" s="79"/>
      <c r="T62" s="79"/>
      <c r="U62" s="79"/>
      <c r="V62" s="80"/>
    </row>
    <row r="63" spans="1:22">
      <c r="B63" s="6"/>
      <c r="G63" s="9"/>
      <c r="L63" s="81"/>
      <c r="M63" s="79"/>
      <c r="N63" s="79"/>
      <c r="O63" s="79"/>
      <c r="P63" s="79"/>
      <c r="Q63" s="79"/>
      <c r="R63" s="79"/>
      <c r="S63" s="79"/>
      <c r="T63" s="79"/>
      <c r="U63" s="79"/>
      <c r="V63" s="80"/>
    </row>
    <row r="64" spans="1:22">
      <c r="B64" s="8"/>
      <c r="C64" s="5"/>
      <c r="D64" s="5"/>
      <c r="E64" s="5"/>
      <c r="F64" s="5"/>
      <c r="G64" s="11"/>
      <c r="L64" s="82"/>
      <c r="M64" s="83"/>
      <c r="N64" s="83"/>
      <c r="O64" s="83"/>
      <c r="P64" s="83"/>
      <c r="Q64" s="83"/>
      <c r="R64" s="83"/>
      <c r="S64" s="83"/>
      <c r="T64" s="83"/>
      <c r="U64" s="83"/>
      <c r="V64" s="84"/>
    </row>
  </sheetData>
  <mergeCells count="8">
    <mergeCell ref="L62:V64"/>
    <mergeCell ref="A1:G1"/>
    <mergeCell ref="B3:G3"/>
    <mergeCell ref="L3:V3"/>
    <mergeCell ref="L4:M4"/>
    <mergeCell ref="O4:P4"/>
    <mergeCell ref="R4:S4"/>
    <mergeCell ref="U4:V4"/>
  </mergeCells>
  <pageMargins left="0" right="0" top="0" bottom="0" header="0" footer="0"/>
  <pageSetup scale="48" orientation="landscape"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pageSetUpPr fitToPage="1"/>
  </sheetPr>
  <dimension ref="A1:V64"/>
  <sheetViews>
    <sheetView zoomScale="75" workbookViewId="0">
      <selection sqref="A1:G1"/>
    </sheetView>
  </sheetViews>
  <sheetFormatPr defaultColWidth="9.109375" defaultRowHeight="14.4"/>
  <cols>
    <col min="1" max="1" width="20" style="1" customWidth="1"/>
    <col min="2" max="7" width="15" style="1" customWidth="1"/>
    <col min="8" max="8" width="1" style="1" customWidth="1"/>
    <col min="9" max="9" width="30" style="1" customWidth="1"/>
    <col min="10" max="10" width="15" style="1" customWidth="1"/>
    <col min="11" max="11" width="1" style="1" customWidth="1"/>
    <col min="12" max="13" width="15" style="1" customWidth="1"/>
    <col min="14" max="14" width="1" style="1" customWidth="1"/>
    <col min="15" max="16" width="15" style="1" customWidth="1"/>
    <col min="17" max="17" width="1" style="1" customWidth="1"/>
    <col min="18" max="19" width="15" style="1" customWidth="1"/>
    <col min="20" max="20" width="1" style="1" customWidth="1"/>
    <col min="21" max="22" width="15" style="1" customWidth="1"/>
    <col min="23" max="23" width="9.109375" style="1" customWidth="1"/>
    <col min="24" max="16384" width="9.109375" style="1"/>
  </cols>
  <sheetData>
    <row r="1" spans="1:22">
      <c r="A1" s="85" t="s">
        <v>174</v>
      </c>
      <c r="B1" s="79"/>
      <c r="C1" s="79"/>
      <c r="D1" s="79"/>
      <c r="E1" s="79"/>
      <c r="F1" s="79"/>
      <c r="G1" s="79"/>
    </row>
    <row r="3" spans="1:22">
      <c r="B3" s="86" t="s">
        <v>1</v>
      </c>
      <c r="C3" s="87"/>
      <c r="D3" s="87"/>
      <c r="E3" s="87"/>
      <c r="F3" s="87"/>
      <c r="G3" s="88"/>
      <c r="L3" s="89" t="s">
        <v>2</v>
      </c>
      <c r="M3" s="90"/>
      <c r="N3" s="90"/>
      <c r="O3" s="90"/>
      <c r="P3" s="90"/>
      <c r="Q3" s="90"/>
      <c r="R3" s="90"/>
      <c r="S3" s="90"/>
      <c r="T3" s="90"/>
      <c r="U3" s="90"/>
      <c r="V3" s="91"/>
    </row>
    <row r="4" spans="1:22">
      <c r="B4" s="6"/>
      <c r="G4" s="9"/>
      <c r="L4" s="92" t="s">
        <v>3</v>
      </c>
      <c r="M4" s="93"/>
      <c r="N4" s="3"/>
      <c r="O4" s="94" t="s">
        <v>4</v>
      </c>
      <c r="P4" s="93"/>
      <c r="Q4" s="3"/>
      <c r="R4" s="94" t="s">
        <v>5</v>
      </c>
      <c r="S4" s="93"/>
      <c r="T4" s="3"/>
      <c r="U4" s="94" t="s">
        <v>6</v>
      </c>
      <c r="V4" s="95"/>
    </row>
    <row r="5" spans="1:22" ht="60" customHeight="1">
      <c r="B5" s="7" t="s">
        <v>3</v>
      </c>
      <c r="C5" s="4" t="s">
        <v>4</v>
      </c>
      <c r="D5" s="4" t="s">
        <v>5</v>
      </c>
      <c r="E5" s="4" t="s">
        <v>6</v>
      </c>
      <c r="F5" s="4" t="s">
        <v>7</v>
      </c>
      <c r="G5" s="10" t="s">
        <v>8</v>
      </c>
      <c r="L5" s="19" t="s">
        <v>9</v>
      </c>
      <c r="M5" s="18" t="s">
        <v>10</v>
      </c>
      <c r="N5" s="18"/>
      <c r="O5" s="18" t="s">
        <v>9</v>
      </c>
      <c r="P5" s="18" t="s">
        <v>10</v>
      </c>
      <c r="Q5" s="18"/>
      <c r="R5" s="18" t="s">
        <v>9</v>
      </c>
      <c r="S5" s="18" t="s">
        <v>10</v>
      </c>
      <c r="T5" s="18"/>
      <c r="U5" s="18" t="s">
        <v>9</v>
      </c>
      <c r="V5" s="20" t="s">
        <v>10</v>
      </c>
    </row>
    <row r="6" spans="1:22">
      <c r="A6" s="1" t="s">
        <v>11</v>
      </c>
      <c r="B6" s="6">
        <v>43713.746108570631</v>
      </c>
      <c r="C6" s="1">
        <v>127087.8938914294</v>
      </c>
      <c r="D6" s="1">
        <v>0</v>
      </c>
      <c r="E6" s="1">
        <v>0</v>
      </c>
      <c r="F6" s="1">
        <v>0</v>
      </c>
      <c r="G6" s="9">
        <f>SUM(AL_FINANCIAL)</f>
        <v>170801.64</v>
      </c>
      <c r="L6" s="6">
        <v>266000</v>
      </c>
      <c r="M6" s="1">
        <v>0</v>
      </c>
      <c r="O6" s="1">
        <v>171943</v>
      </c>
      <c r="P6" s="1">
        <v>0</v>
      </c>
      <c r="R6" s="1">
        <v>0</v>
      </c>
      <c r="S6" s="1">
        <v>0</v>
      </c>
      <c r="U6" s="1">
        <v>0</v>
      </c>
      <c r="V6" s="9">
        <v>0</v>
      </c>
    </row>
    <row r="7" spans="1:22">
      <c r="A7" s="1" t="s">
        <v>12</v>
      </c>
      <c r="B7" s="6">
        <v>0</v>
      </c>
      <c r="C7" s="1">
        <v>0</v>
      </c>
      <c r="D7" s="1">
        <v>0</v>
      </c>
      <c r="E7" s="1">
        <v>0</v>
      </c>
      <c r="F7" s="1">
        <v>0</v>
      </c>
      <c r="G7" s="9">
        <f>SUM(AK_FINANCIAL)</f>
        <v>0</v>
      </c>
      <c r="I7" s="12"/>
      <c r="J7" s="15"/>
      <c r="L7" s="6"/>
      <c r="V7" s="9"/>
    </row>
    <row r="8" spans="1:22">
      <c r="A8" s="1" t="s">
        <v>13</v>
      </c>
      <c r="B8" s="6">
        <v>116447.35864762857</v>
      </c>
      <c r="C8" s="1">
        <v>403774.3602659186</v>
      </c>
      <c r="D8" s="1">
        <v>0</v>
      </c>
      <c r="E8" s="1">
        <v>0</v>
      </c>
      <c r="F8" s="1">
        <v>0</v>
      </c>
      <c r="G8" s="9">
        <f>SUM(AZ_FINANCIAL)</f>
        <v>520221.71891354717</v>
      </c>
      <c r="I8" s="13" t="s">
        <v>14</v>
      </c>
      <c r="J8" s="16"/>
      <c r="L8" s="6">
        <v>0</v>
      </c>
      <c r="M8" s="1">
        <v>0</v>
      </c>
      <c r="O8" s="1">
        <v>418014</v>
      </c>
      <c r="P8" s="1">
        <v>0</v>
      </c>
      <c r="R8" s="1">
        <v>81022</v>
      </c>
      <c r="S8" s="1">
        <v>0</v>
      </c>
      <c r="U8" s="1">
        <v>0</v>
      </c>
      <c r="V8" s="9">
        <v>0</v>
      </c>
    </row>
    <row r="9" spans="1:22">
      <c r="A9" s="1" t="s">
        <v>15</v>
      </c>
      <c r="B9" s="6">
        <v>100076.55576328079</v>
      </c>
      <c r="C9" s="1">
        <v>289524.34423671919</v>
      </c>
      <c r="D9" s="1">
        <v>0</v>
      </c>
      <c r="E9" s="1">
        <v>0</v>
      </c>
      <c r="F9" s="1">
        <v>0</v>
      </c>
      <c r="G9" s="9">
        <f>SUM(AR_FINANCIAL)</f>
        <v>389600.89999999997</v>
      </c>
      <c r="I9" s="13"/>
      <c r="J9" s="16"/>
      <c r="L9" s="6">
        <v>659371</v>
      </c>
      <c r="M9" s="1">
        <v>0</v>
      </c>
      <c r="O9" s="1">
        <v>0</v>
      </c>
      <c r="P9" s="1">
        <v>0</v>
      </c>
      <c r="R9" s="1">
        <v>0</v>
      </c>
      <c r="S9" s="1">
        <v>0</v>
      </c>
      <c r="U9" s="1">
        <v>0</v>
      </c>
      <c r="V9" s="9">
        <v>0</v>
      </c>
    </row>
    <row r="10" spans="1:22">
      <c r="A10" s="1" t="s">
        <v>16</v>
      </c>
      <c r="B10" s="6">
        <v>0</v>
      </c>
      <c r="C10" s="1">
        <v>0</v>
      </c>
      <c r="D10" s="1">
        <v>0</v>
      </c>
      <c r="E10" s="1">
        <v>0</v>
      </c>
      <c r="F10" s="1">
        <v>0</v>
      </c>
      <c r="G10" s="9">
        <f>SUM(CA_FINANCIAL)</f>
        <v>0</v>
      </c>
      <c r="I10" s="13" t="s">
        <v>17</v>
      </c>
      <c r="J10" s="16">
        <v>23787587.611440528</v>
      </c>
      <c r="L10" s="6"/>
      <c r="V10" s="9"/>
    </row>
    <row r="11" spans="1:22">
      <c r="A11" s="1" t="s">
        <v>18</v>
      </c>
      <c r="B11" s="6">
        <v>92065.890055322365</v>
      </c>
      <c r="C11" s="1">
        <v>492208.85994467762</v>
      </c>
      <c r="D11" s="1">
        <v>0</v>
      </c>
      <c r="E11" s="1">
        <v>0</v>
      </c>
      <c r="F11" s="1">
        <v>0</v>
      </c>
      <c r="G11" s="9">
        <f>SUM(CO_FINANCIAL)</f>
        <v>584274.75</v>
      </c>
      <c r="I11" s="13"/>
      <c r="J11" s="16"/>
      <c r="L11" s="6">
        <v>216260</v>
      </c>
      <c r="M11" s="1">
        <v>251470</v>
      </c>
      <c r="O11" s="1">
        <v>906211</v>
      </c>
      <c r="P11" s="1">
        <v>80000</v>
      </c>
      <c r="R11" s="1">
        <v>0</v>
      </c>
      <c r="S11" s="1">
        <v>100117</v>
      </c>
      <c r="U11" s="1">
        <v>0</v>
      </c>
      <c r="V11" s="9">
        <v>0</v>
      </c>
    </row>
    <row r="12" spans="1:22">
      <c r="A12" s="1" t="s">
        <v>19</v>
      </c>
      <c r="B12" s="6">
        <v>0</v>
      </c>
      <c r="C12" s="1">
        <v>0</v>
      </c>
      <c r="D12" s="1">
        <v>0</v>
      </c>
      <c r="E12" s="1">
        <v>0</v>
      </c>
      <c r="F12" s="1">
        <v>0</v>
      </c>
      <c r="G12" s="9">
        <f>SUM(CT_FINANCIAL)</f>
        <v>0</v>
      </c>
      <c r="I12" s="13" t="s">
        <v>20</v>
      </c>
      <c r="J12" s="16"/>
      <c r="L12" s="6"/>
      <c r="V12" s="9"/>
    </row>
    <row r="13" spans="1:22">
      <c r="A13" s="1" t="s">
        <v>21</v>
      </c>
      <c r="B13" s="6">
        <v>0</v>
      </c>
      <c r="C13" s="1">
        <v>0</v>
      </c>
      <c r="D13" s="1">
        <v>0</v>
      </c>
      <c r="E13" s="1">
        <v>0</v>
      </c>
      <c r="F13" s="1">
        <v>0</v>
      </c>
      <c r="G13" s="9">
        <f>SUM(DE_FINANCIAL)</f>
        <v>0</v>
      </c>
      <c r="I13" s="13" t="s">
        <v>22</v>
      </c>
      <c r="J13" s="16">
        <v>4754904</v>
      </c>
      <c r="L13" s="6"/>
      <c r="V13" s="9"/>
    </row>
    <row r="14" spans="1:22">
      <c r="A14" s="1" t="s">
        <v>23</v>
      </c>
      <c r="B14" s="6">
        <v>0</v>
      </c>
      <c r="C14" s="1">
        <v>0</v>
      </c>
      <c r="D14" s="1">
        <v>0</v>
      </c>
      <c r="E14" s="1">
        <v>0</v>
      </c>
      <c r="F14" s="1">
        <v>0</v>
      </c>
      <c r="G14" s="9">
        <f>SUM(DC_FINANCIAL)</f>
        <v>0</v>
      </c>
      <c r="I14" s="13" t="s">
        <v>24</v>
      </c>
      <c r="J14" s="16">
        <v>1142999.24</v>
      </c>
      <c r="L14" s="6"/>
      <c r="V14" s="9"/>
    </row>
    <row r="15" spans="1:22">
      <c r="A15" s="1" t="s">
        <v>25</v>
      </c>
      <c r="B15" s="6">
        <v>0</v>
      </c>
      <c r="C15" s="1">
        <v>0</v>
      </c>
      <c r="D15" s="1">
        <v>0</v>
      </c>
      <c r="E15" s="1">
        <v>0</v>
      </c>
      <c r="F15" s="1">
        <v>0</v>
      </c>
      <c r="G15" s="9">
        <f>SUM(FL_FINANCIAL)</f>
        <v>0</v>
      </c>
      <c r="I15" s="13" t="s">
        <v>26</v>
      </c>
      <c r="J15" s="16">
        <v>612636.75999999954</v>
      </c>
      <c r="L15" s="6"/>
      <c r="V15" s="9"/>
    </row>
    <row r="16" spans="1:22">
      <c r="A16" s="1" t="s">
        <v>27</v>
      </c>
      <c r="B16" s="6">
        <v>0</v>
      </c>
      <c r="C16" s="1">
        <v>0</v>
      </c>
      <c r="D16" s="1">
        <v>0</v>
      </c>
      <c r="E16" s="1">
        <v>0</v>
      </c>
      <c r="F16" s="1">
        <v>0</v>
      </c>
      <c r="G16" s="9">
        <f>SUM(GA_FINANCIAL)</f>
        <v>0</v>
      </c>
      <c r="I16" s="13" t="s">
        <v>28</v>
      </c>
      <c r="J16" s="16">
        <v>0</v>
      </c>
      <c r="L16" s="6"/>
      <c r="V16" s="9"/>
    </row>
    <row r="17" spans="1:22">
      <c r="A17" s="1" t="s">
        <v>29</v>
      </c>
      <c r="B17" s="6">
        <v>0</v>
      </c>
      <c r="C17" s="1">
        <v>0</v>
      </c>
      <c r="D17" s="1">
        <v>0</v>
      </c>
      <c r="E17" s="1">
        <v>0</v>
      </c>
      <c r="F17" s="1">
        <v>0</v>
      </c>
      <c r="G17" s="9">
        <f>SUM(HI_FINANCIAL)</f>
        <v>0</v>
      </c>
      <c r="I17" s="13"/>
      <c r="J17" s="16"/>
      <c r="L17" s="6"/>
      <c r="V17" s="9"/>
    </row>
    <row r="18" spans="1:22">
      <c r="A18" s="1" t="s">
        <v>30</v>
      </c>
      <c r="B18" s="6">
        <v>12980.416210475571</v>
      </c>
      <c r="C18" s="1">
        <v>243466.25378952437</v>
      </c>
      <c r="D18" s="1">
        <v>0</v>
      </c>
      <c r="E18" s="1">
        <v>0</v>
      </c>
      <c r="F18" s="1">
        <v>0</v>
      </c>
      <c r="G18" s="9">
        <f>SUM(ID_FINANCIAL)</f>
        <v>256446.66999999995</v>
      </c>
      <c r="I18" s="13" t="s">
        <v>31</v>
      </c>
      <c r="J18" s="16"/>
      <c r="L18" s="6">
        <v>58740</v>
      </c>
      <c r="M18" s="1">
        <v>0</v>
      </c>
      <c r="O18" s="1">
        <v>371260</v>
      </c>
      <c r="P18" s="1">
        <v>0</v>
      </c>
      <c r="R18" s="1">
        <v>0</v>
      </c>
      <c r="S18" s="1">
        <v>0</v>
      </c>
      <c r="U18" s="1">
        <v>0</v>
      </c>
      <c r="V18" s="9">
        <v>0</v>
      </c>
    </row>
    <row r="19" spans="1:22">
      <c r="A19" s="1" t="s">
        <v>32</v>
      </c>
      <c r="B19" s="6">
        <v>0</v>
      </c>
      <c r="C19" s="1">
        <v>0</v>
      </c>
      <c r="D19" s="1">
        <v>0</v>
      </c>
      <c r="E19" s="1">
        <v>0</v>
      </c>
      <c r="F19" s="1">
        <v>0</v>
      </c>
      <c r="G19" s="9">
        <f>SUM(IL_FINANCIAL)</f>
        <v>0</v>
      </c>
      <c r="I19" s="13" t="s">
        <v>33</v>
      </c>
      <c r="J19" s="16">
        <v>0</v>
      </c>
      <c r="L19" s="6"/>
      <c r="V19" s="9"/>
    </row>
    <row r="20" spans="1:22">
      <c r="A20" s="1" t="s">
        <v>34</v>
      </c>
      <c r="B20" s="6">
        <v>0</v>
      </c>
      <c r="C20" s="1">
        <v>0</v>
      </c>
      <c r="D20" s="1">
        <v>0</v>
      </c>
      <c r="E20" s="1">
        <v>0</v>
      </c>
      <c r="F20" s="1">
        <v>0</v>
      </c>
      <c r="G20" s="9">
        <f>SUM(IN_FINANCIAL)</f>
        <v>0</v>
      </c>
      <c r="I20" s="13" t="s">
        <v>35</v>
      </c>
      <c r="J20" s="16">
        <v>4734481.0000000009</v>
      </c>
      <c r="L20" s="6"/>
      <c r="V20" s="9"/>
    </row>
    <row r="21" spans="1:22">
      <c r="A21" s="1" t="s">
        <v>36</v>
      </c>
      <c r="B21" s="6">
        <v>0</v>
      </c>
      <c r="C21" s="1">
        <v>0</v>
      </c>
      <c r="D21" s="1">
        <v>0</v>
      </c>
      <c r="E21" s="1">
        <v>0</v>
      </c>
      <c r="F21" s="1">
        <v>0</v>
      </c>
      <c r="G21" s="9">
        <f>SUM(IA_FINANCIAL)</f>
        <v>0</v>
      </c>
      <c r="I21" s="13" t="s">
        <v>37</v>
      </c>
      <c r="J21" s="16"/>
      <c r="L21" s="6"/>
      <c r="V21" s="9"/>
    </row>
    <row r="22" spans="1:22">
      <c r="A22" s="1" t="s">
        <v>38</v>
      </c>
      <c r="B22" s="6">
        <v>236544.78161360518</v>
      </c>
      <c r="C22" s="1">
        <v>1157829.4183863946</v>
      </c>
      <c r="D22" s="1">
        <v>0</v>
      </c>
      <c r="E22" s="1">
        <v>0</v>
      </c>
      <c r="F22" s="1">
        <v>0</v>
      </c>
      <c r="G22" s="9">
        <f>SUM(KS_FINANCIAL)</f>
        <v>1394374.1999999997</v>
      </c>
      <c r="I22" s="13" t="s">
        <v>39</v>
      </c>
      <c r="J22" s="16">
        <v>1898918.8425269816</v>
      </c>
      <c r="L22" s="6">
        <v>500000</v>
      </c>
      <c r="M22" s="1">
        <v>0</v>
      </c>
      <c r="O22" s="1">
        <v>1500000</v>
      </c>
      <c r="P22" s="1">
        <v>0</v>
      </c>
      <c r="R22" s="1">
        <v>0</v>
      </c>
      <c r="S22" s="1">
        <v>0</v>
      </c>
      <c r="U22" s="1">
        <v>0</v>
      </c>
      <c r="V22" s="9">
        <v>0</v>
      </c>
    </row>
    <row r="23" spans="1:22">
      <c r="A23" s="1" t="s">
        <v>40</v>
      </c>
      <c r="B23" s="6">
        <v>0</v>
      </c>
      <c r="C23" s="1">
        <v>0</v>
      </c>
      <c r="D23" s="1">
        <v>0</v>
      </c>
      <c r="E23" s="1">
        <v>0</v>
      </c>
      <c r="F23" s="1">
        <v>0</v>
      </c>
      <c r="G23" s="9">
        <f>SUM(KY_FINANCIAL)</f>
        <v>0</v>
      </c>
      <c r="I23" s="13" t="s">
        <v>41</v>
      </c>
      <c r="J23" s="16"/>
      <c r="L23" s="6"/>
      <c r="V23" s="9"/>
    </row>
    <row r="24" spans="1:22">
      <c r="A24" s="1" t="s">
        <v>42</v>
      </c>
      <c r="B24" s="6">
        <v>175965.40491098168</v>
      </c>
      <c r="C24" s="1">
        <v>668571.61508901836</v>
      </c>
      <c r="D24" s="1">
        <v>0</v>
      </c>
      <c r="E24" s="1">
        <v>0</v>
      </c>
      <c r="F24" s="1">
        <v>0</v>
      </c>
      <c r="G24" s="9">
        <f>SUM(LA_FINANCIAL)</f>
        <v>844537.02</v>
      </c>
      <c r="I24" s="13" t="s">
        <v>43</v>
      </c>
      <c r="J24" s="16">
        <v>10249807.68</v>
      </c>
      <c r="L24" s="6">
        <v>369626</v>
      </c>
      <c r="M24" s="1">
        <v>0</v>
      </c>
      <c r="O24" s="1">
        <v>1034674</v>
      </c>
      <c r="P24" s="1">
        <v>0</v>
      </c>
      <c r="R24" s="1">
        <v>0</v>
      </c>
      <c r="S24" s="1">
        <v>0</v>
      </c>
      <c r="U24" s="1">
        <v>0</v>
      </c>
      <c r="V24" s="9">
        <v>0</v>
      </c>
    </row>
    <row r="25" spans="1:22">
      <c r="A25" s="1" t="s">
        <v>44</v>
      </c>
      <c r="B25" s="6">
        <v>0</v>
      </c>
      <c r="C25" s="1">
        <v>0</v>
      </c>
      <c r="D25" s="1">
        <v>0</v>
      </c>
      <c r="E25" s="1">
        <v>0</v>
      </c>
      <c r="F25" s="1">
        <v>0</v>
      </c>
      <c r="G25" s="9">
        <f>SUM(ME_FINANCIAL)</f>
        <v>0</v>
      </c>
      <c r="I25" s="13"/>
      <c r="J25" s="16"/>
      <c r="L25" s="6"/>
      <c r="V25" s="9"/>
    </row>
    <row r="26" spans="1:22">
      <c r="A26" s="1" t="s">
        <v>45</v>
      </c>
      <c r="B26" s="6">
        <v>0</v>
      </c>
      <c r="C26" s="1">
        <v>0</v>
      </c>
      <c r="D26" s="1">
        <v>0</v>
      </c>
      <c r="E26" s="1">
        <v>0</v>
      </c>
      <c r="F26" s="1">
        <v>0</v>
      </c>
      <c r="G26" s="9">
        <f>SUM(MD_FINANCIAL)</f>
        <v>0</v>
      </c>
      <c r="I26" s="13" t="s">
        <v>46</v>
      </c>
      <c r="J26" s="16">
        <f>SUM(ADD_FINANCIAL)-SUM(LESS_FINANCIAL)</f>
        <v>13414920.088913541</v>
      </c>
      <c r="L26" s="6"/>
      <c r="V26" s="9"/>
    </row>
    <row r="27" spans="1:22">
      <c r="A27" s="1" t="s">
        <v>47</v>
      </c>
      <c r="B27" s="6">
        <v>0</v>
      </c>
      <c r="C27" s="1">
        <v>0</v>
      </c>
      <c r="D27" s="1">
        <v>0</v>
      </c>
      <c r="E27" s="1">
        <v>0</v>
      </c>
      <c r="F27" s="1">
        <v>0</v>
      </c>
      <c r="G27" s="9">
        <f>SUM(MA_FINANCIAL)</f>
        <v>0</v>
      </c>
      <c r="I27" s="13" t="s">
        <v>48</v>
      </c>
      <c r="J27" s="16">
        <f>SUM(ALL_BLOCKS)</f>
        <v>13414920.088913547</v>
      </c>
      <c r="L27" s="6"/>
      <c r="V27" s="9"/>
    </row>
    <row r="28" spans="1:22">
      <c r="A28" s="1" t="s">
        <v>49</v>
      </c>
      <c r="B28" s="6">
        <v>0</v>
      </c>
      <c r="C28" s="1">
        <v>0</v>
      </c>
      <c r="D28" s="1">
        <v>0</v>
      </c>
      <c r="E28" s="1">
        <v>0</v>
      </c>
      <c r="F28" s="1">
        <v>0</v>
      </c>
      <c r="G28" s="9">
        <f>SUM(MI_FINANCIAL)</f>
        <v>0</v>
      </c>
      <c r="I28" s="14"/>
      <c r="J28" s="17"/>
      <c r="L28" s="6"/>
      <c r="V28" s="9"/>
    </row>
    <row r="29" spans="1:22">
      <c r="A29" s="1" t="s">
        <v>50</v>
      </c>
      <c r="B29" s="6">
        <v>0</v>
      </c>
      <c r="C29" s="1">
        <v>0</v>
      </c>
      <c r="D29" s="1">
        <v>0</v>
      </c>
      <c r="E29" s="1">
        <v>0</v>
      </c>
      <c r="F29" s="1">
        <v>0</v>
      </c>
      <c r="G29" s="9">
        <f>SUM(MN_FINANCIAL)</f>
        <v>0</v>
      </c>
      <c r="L29" s="6"/>
      <c r="V29" s="9"/>
    </row>
    <row r="30" spans="1:22">
      <c r="A30" s="1" t="s">
        <v>51</v>
      </c>
      <c r="B30" s="6">
        <v>82657.124077029905</v>
      </c>
      <c r="C30" s="1">
        <v>375025.77592297015</v>
      </c>
      <c r="D30" s="1">
        <v>0</v>
      </c>
      <c r="E30" s="1">
        <v>0</v>
      </c>
      <c r="F30" s="1">
        <v>0</v>
      </c>
      <c r="G30" s="9">
        <f>SUM(MS_FINANCIAL)</f>
        <v>457682.9</v>
      </c>
      <c r="L30" s="6">
        <v>299790</v>
      </c>
      <c r="M30" s="1">
        <v>0</v>
      </c>
      <c r="O30" s="1">
        <v>600210</v>
      </c>
      <c r="P30" s="1">
        <v>0</v>
      </c>
      <c r="R30" s="1">
        <v>0</v>
      </c>
      <c r="S30" s="1">
        <v>0</v>
      </c>
      <c r="U30" s="1">
        <v>0</v>
      </c>
      <c r="V30" s="9">
        <v>0</v>
      </c>
    </row>
    <row r="31" spans="1:22">
      <c r="A31" s="1" t="s">
        <v>52</v>
      </c>
      <c r="B31" s="6">
        <v>140055.34021015669</v>
      </c>
      <c r="C31" s="1">
        <v>1108521.6397898435</v>
      </c>
      <c r="D31" s="1">
        <v>0</v>
      </c>
      <c r="E31" s="1">
        <v>0</v>
      </c>
      <c r="F31" s="1">
        <v>0</v>
      </c>
      <c r="G31" s="9">
        <f>SUM(MO_FINANCIAL)</f>
        <v>1248576.9800000002</v>
      </c>
      <c r="L31" s="6">
        <v>0</v>
      </c>
      <c r="M31" s="1">
        <v>0</v>
      </c>
      <c r="O31" s="1">
        <v>1723861</v>
      </c>
      <c r="P31" s="1">
        <v>0</v>
      </c>
      <c r="R31" s="1">
        <v>0</v>
      </c>
      <c r="S31" s="1">
        <v>0</v>
      </c>
      <c r="U31" s="1">
        <v>0</v>
      </c>
      <c r="V31" s="9">
        <v>0</v>
      </c>
    </row>
    <row r="32" spans="1:22">
      <c r="A32" s="1" t="s">
        <v>53</v>
      </c>
      <c r="B32" s="6">
        <v>0</v>
      </c>
      <c r="C32" s="1">
        <v>0</v>
      </c>
      <c r="D32" s="1">
        <v>0</v>
      </c>
      <c r="E32" s="1">
        <v>0</v>
      </c>
      <c r="F32" s="1">
        <v>0</v>
      </c>
      <c r="G32" s="9">
        <f>SUM(MT_FINANCIAL)</f>
        <v>0</v>
      </c>
      <c r="L32" s="6"/>
      <c r="V32" s="9"/>
    </row>
    <row r="33" spans="1:22">
      <c r="A33" s="1" t="s">
        <v>54</v>
      </c>
      <c r="B33" s="6">
        <v>0</v>
      </c>
      <c r="C33" s="1">
        <v>0</v>
      </c>
      <c r="D33" s="1">
        <v>0</v>
      </c>
      <c r="E33" s="1">
        <v>0</v>
      </c>
      <c r="F33" s="1">
        <v>0</v>
      </c>
      <c r="G33" s="9">
        <f>SUM(NE_FINANCIAL)</f>
        <v>0</v>
      </c>
      <c r="L33" s="6"/>
      <c r="V33" s="9"/>
    </row>
    <row r="34" spans="1:22">
      <c r="A34" s="1" t="s">
        <v>55</v>
      </c>
      <c r="B34" s="6">
        <v>875.06773569256256</v>
      </c>
      <c r="C34" s="1">
        <v>1014.9322643074374</v>
      </c>
      <c r="D34" s="1">
        <v>0</v>
      </c>
      <c r="E34" s="1">
        <v>0</v>
      </c>
      <c r="F34" s="1">
        <v>0</v>
      </c>
      <c r="G34" s="9">
        <f>SUM(NV_FINANCIAL)</f>
        <v>1890</v>
      </c>
      <c r="L34" s="6">
        <v>15200</v>
      </c>
      <c r="M34" s="1">
        <v>0</v>
      </c>
      <c r="O34" s="1">
        <v>14200</v>
      </c>
      <c r="P34" s="1">
        <v>0</v>
      </c>
      <c r="R34" s="1">
        <v>0</v>
      </c>
      <c r="S34" s="1">
        <v>0</v>
      </c>
      <c r="U34" s="1">
        <v>0</v>
      </c>
      <c r="V34" s="9">
        <v>0</v>
      </c>
    </row>
    <row r="35" spans="1:22">
      <c r="A35" s="1" t="s">
        <v>56</v>
      </c>
      <c r="B35" s="6">
        <v>0</v>
      </c>
      <c r="C35" s="1">
        <v>0</v>
      </c>
      <c r="D35" s="1">
        <v>0</v>
      </c>
      <c r="E35" s="1">
        <v>0</v>
      </c>
      <c r="F35" s="1">
        <v>0</v>
      </c>
      <c r="G35" s="9">
        <f>SUM(NH_FINANCIAL)</f>
        <v>0</v>
      </c>
      <c r="L35" s="6"/>
      <c r="V35" s="9"/>
    </row>
    <row r="36" spans="1:22">
      <c r="A36" s="1" t="s">
        <v>57</v>
      </c>
      <c r="B36" s="6">
        <v>0</v>
      </c>
      <c r="C36" s="1">
        <v>0</v>
      </c>
      <c r="D36" s="1">
        <v>0</v>
      </c>
      <c r="E36" s="1">
        <v>0</v>
      </c>
      <c r="F36" s="1">
        <v>0</v>
      </c>
      <c r="G36" s="9">
        <f>SUM(NJ_FINANCIAL)</f>
        <v>0</v>
      </c>
      <c r="L36" s="6"/>
      <c r="V36" s="9"/>
    </row>
    <row r="37" spans="1:22">
      <c r="A37" s="1" t="s">
        <v>58</v>
      </c>
      <c r="B37" s="6">
        <v>231.03459477044316</v>
      </c>
      <c r="C37" s="1">
        <v>42701.245405229536</v>
      </c>
      <c r="D37" s="1">
        <v>0</v>
      </c>
      <c r="E37" s="1">
        <v>0</v>
      </c>
      <c r="F37" s="1">
        <v>0</v>
      </c>
      <c r="G37" s="9">
        <f>SUM(NM_FINANCIAL)</f>
        <v>42932.279999999977</v>
      </c>
      <c r="L37" s="6">
        <v>35000</v>
      </c>
      <c r="M37" s="1">
        <v>0</v>
      </c>
      <c r="O37" s="1">
        <v>30000</v>
      </c>
      <c r="P37" s="1">
        <v>0</v>
      </c>
      <c r="R37" s="1">
        <v>0</v>
      </c>
      <c r="S37" s="1">
        <v>0</v>
      </c>
      <c r="U37" s="1">
        <v>0</v>
      </c>
      <c r="V37" s="9">
        <v>0</v>
      </c>
    </row>
    <row r="38" spans="1:22">
      <c r="A38" s="1" t="s">
        <v>59</v>
      </c>
      <c r="B38" s="6">
        <v>0</v>
      </c>
      <c r="C38" s="1">
        <v>0</v>
      </c>
      <c r="D38" s="1">
        <v>0</v>
      </c>
      <c r="E38" s="1">
        <v>0</v>
      </c>
      <c r="F38" s="1">
        <v>0</v>
      </c>
      <c r="G38" s="9">
        <f>SUM(NY_FINANCIAL)</f>
        <v>0</v>
      </c>
      <c r="L38" s="6"/>
      <c r="V38" s="9"/>
    </row>
    <row r="39" spans="1:22">
      <c r="A39" s="1" t="s">
        <v>60</v>
      </c>
      <c r="B39" s="6">
        <v>0</v>
      </c>
      <c r="C39" s="1">
        <v>0</v>
      </c>
      <c r="D39" s="1">
        <v>0</v>
      </c>
      <c r="E39" s="1">
        <v>0</v>
      </c>
      <c r="F39" s="1">
        <v>0</v>
      </c>
      <c r="G39" s="9">
        <f>SUM(NC_FINANCIAL)</f>
        <v>0</v>
      </c>
      <c r="L39" s="6"/>
      <c r="V39" s="9"/>
    </row>
    <row r="40" spans="1:22">
      <c r="A40" s="1" t="s">
        <v>61</v>
      </c>
      <c r="B40" s="6">
        <v>0</v>
      </c>
      <c r="C40" s="1">
        <v>0</v>
      </c>
      <c r="D40" s="1">
        <v>0</v>
      </c>
      <c r="E40" s="1">
        <v>0</v>
      </c>
      <c r="F40" s="1">
        <v>0</v>
      </c>
      <c r="G40" s="9">
        <f>SUM(ND_FINANCIAL)</f>
        <v>0</v>
      </c>
      <c r="L40" s="6"/>
      <c r="V40" s="9"/>
    </row>
    <row r="41" spans="1:22">
      <c r="A41" s="1" t="s">
        <v>62</v>
      </c>
      <c r="B41" s="6">
        <v>0</v>
      </c>
      <c r="C41" s="1">
        <v>0</v>
      </c>
      <c r="D41" s="1">
        <v>0</v>
      </c>
      <c r="E41" s="1">
        <v>0</v>
      </c>
      <c r="F41" s="1">
        <v>0</v>
      </c>
      <c r="G41" s="9">
        <f>SUM(OH_FINANCIAL)</f>
        <v>0</v>
      </c>
      <c r="L41" s="6"/>
      <c r="V41" s="9"/>
    </row>
    <row r="42" spans="1:22">
      <c r="A42" s="1" t="s">
        <v>63</v>
      </c>
      <c r="B42" s="6">
        <v>1602536.596318003</v>
      </c>
      <c r="C42" s="1">
        <v>2174253.2427838715</v>
      </c>
      <c r="D42" s="1">
        <v>3925.5008981258761</v>
      </c>
      <c r="E42" s="1">
        <v>0</v>
      </c>
      <c r="F42" s="1">
        <v>0</v>
      </c>
      <c r="G42" s="9">
        <f>SUM(OK_FINANCIAL)</f>
        <v>3780715.3400000003</v>
      </c>
      <c r="L42" s="6">
        <v>3455258</v>
      </c>
      <c r="M42" s="1">
        <v>1633000</v>
      </c>
      <c r="O42" s="1">
        <v>2943368</v>
      </c>
      <c r="P42" s="1">
        <v>1391000</v>
      </c>
      <c r="R42" s="1">
        <v>0</v>
      </c>
      <c r="S42" s="1">
        <v>0</v>
      </c>
      <c r="U42" s="1">
        <v>0</v>
      </c>
      <c r="V42" s="9">
        <v>0</v>
      </c>
    </row>
    <row r="43" spans="1:22">
      <c r="A43" s="1" t="s">
        <v>64</v>
      </c>
      <c r="B43" s="6">
        <v>0</v>
      </c>
      <c r="C43" s="1">
        <v>0</v>
      </c>
      <c r="D43" s="1">
        <v>0</v>
      </c>
      <c r="E43" s="1">
        <v>0</v>
      </c>
      <c r="F43" s="1">
        <v>0</v>
      </c>
      <c r="G43" s="9">
        <f>SUM(OR_FINANCIAL)</f>
        <v>0</v>
      </c>
      <c r="L43" s="6"/>
      <c r="V43" s="9"/>
    </row>
    <row r="44" spans="1:22">
      <c r="A44" s="1" t="s">
        <v>65</v>
      </c>
      <c r="B44" s="6">
        <v>0</v>
      </c>
      <c r="C44" s="1">
        <v>0</v>
      </c>
      <c r="D44" s="1">
        <v>0</v>
      </c>
      <c r="E44" s="1">
        <v>0</v>
      </c>
      <c r="F44" s="1">
        <v>0</v>
      </c>
      <c r="G44" s="9">
        <f>SUM(PA_FINANCIAL)</f>
        <v>0</v>
      </c>
      <c r="L44" s="6"/>
      <c r="V44" s="9"/>
    </row>
    <row r="45" spans="1:22">
      <c r="A45" s="1" t="s">
        <v>66</v>
      </c>
      <c r="B45" s="6">
        <v>0</v>
      </c>
      <c r="C45" s="1">
        <v>0</v>
      </c>
      <c r="D45" s="1">
        <v>0</v>
      </c>
      <c r="E45" s="1">
        <v>0</v>
      </c>
      <c r="F45" s="1">
        <v>0</v>
      </c>
      <c r="G45" s="9">
        <f>SUM(PR_FINANCIAL)</f>
        <v>0</v>
      </c>
      <c r="L45" s="6"/>
      <c r="V45" s="9"/>
    </row>
    <row r="46" spans="1:22">
      <c r="A46" s="1" t="s">
        <v>67</v>
      </c>
      <c r="B46" s="6">
        <v>0</v>
      </c>
      <c r="C46" s="1">
        <v>0</v>
      </c>
      <c r="D46" s="1">
        <v>0</v>
      </c>
      <c r="E46" s="1">
        <v>0</v>
      </c>
      <c r="F46" s="1">
        <v>0</v>
      </c>
      <c r="G46" s="9">
        <f>SUM(RI_FINANCIAL)</f>
        <v>0</v>
      </c>
      <c r="L46" s="6"/>
      <c r="V46" s="9"/>
    </row>
    <row r="47" spans="1:22">
      <c r="A47" s="1" t="s">
        <v>68</v>
      </c>
      <c r="B47" s="6">
        <v>0</v>
      </c>
      <c r="C47" s="1">
        <v>0</v>
      </c>
      <c r="D47" s="1">
        <v>0</v>
      </c>
      <c r="E47" s="1">
        <v>0</v>
      </c>
      <c r="F47" s="1">
        <v>0</v>
      </c>
      <c r="G47" s="9">
        <f>SUM(SC_FINANCIAL)</f>
        <v>0</v>
      </c>
      <c r="L47" s="6"/>
      <c r="V47" s="9"/>
    </row>
    <row r="48" spans="1:22">
      <c r="A48" s="1" t="s">
        <v>69</v>
      </c>
      <c r="B48" s="6">
        <v>0</v>
      </c>
      <c r="C48" s="1">
        <v>0</v>
      </c>
      <c r="D48" s="1">
        <v>0</v>
      </c>
      <c r="E48" s="1">
        <v>0</v>
      </c>
      <c r="F48" s="1">
        <v>0</v>
      </c>
      <c r="G48" s="9">
        <f>SUM(SD_FINANCIAL)</f>
        <v>0</v>
      </c>
      <c r="L48" s="6"/>
      <c r="V48" s="9"/>
    </row>
    <row r="49" spans="1:22">
      <c r="A49" s="1" t="s">
        <v>70</v>
      </c>
      <c r="B49" s="6">
        <v>0</v>
      </c>
      <c r="C49" s="1">
        <v>0</v>
      </c>
      <c r="D49" s="1">
        <v>0</v>
      </c>
      <c r="E49" s="1">
        <v>0</v>
      </c>
      <c r="F49" s="1">
        <v>0</v>
      </c>
      <c r="G49" s="9">
        <f>SUM(TN_FINANCIAL)</f>
        <v>0</v>
      </c>
      <c r="L49" s="6"/>
      <c r="V49" s="9"/>
    </row>
    <row r="50" spans="1:22">
      <c r="A50" s="1" t="s">
        <v>71</v>
      </c>
      <c r="B50" s="6">
        <v>738345.16772062343</v>
      </c>
      <c r="C50" s="1">
        <v>2963862.1087250831</v>
      </c>
      <c r="D50" s="1">
        <v>225.97355429443095</v>
      </c>
      <c r="E50" s="1">
        <v>0</v>
      </c>
      <c r="F50" s="1">
        <v>0</v>
      </c>
      <c r="G50" s="9">
        <f>SUM(TX_FINANCIAL)</f>
        <v>3702433.2500000009</v>
      </c>
      <c r="L50" s="6">
        <v>6280667</v>
      </c>
      <c r="M50" s="1">
        <v>2588740.9462700002</v>
      </c>
      <c r="O50" s="1">
        <v>53716</v>
      </c>
      <c r="P50" s="1">
        <v>22192.433730000001</v>
      </c>
      <c r="R50" s="1">
        <v>0</v>
      </c>
      <c r="S50" s="1">
        <v>0</v>
      </c>
      <c r="U50" s="1">
        <v>0</v>
      </c>
      <c r="V50" s="9">
        <v>0</v>
      </c>
    </row>
    <row r="51" spans="1:22">
      <c r="A51" s="1" t="s">
        <v>72</v>
      </c>
      <c r="B51" s="6">
        <v>1698.4848741687315</v>
      </c>
      <c r="C51" s="1">
        <v>18733.955125831271</v>
      </c>
      <c r="D51" s="1">
        <v>0</v>
      </c>
      <c r="E51" s="1">
        <v>0</v>
      </c>
      <c r="F51" s="1">
        <v>0</v>
      </c>
      <c r="G51" s="9">
        <f>SUM(UT_FINANCIAL)</f>
        <v>20432.440000000002</v>
      </c>
      <c r="L51" s="6">
        <v>8382</v>
      </c>
      <c r="M51" s="1">
        <v>0</v>
      </c>
      <c r="O51" s="1">
        <v>46618</v>
      </c>
      <c r="P51" s="1">
        <v>0</v>
      </c>
      <c r="R51" s="1">
        <v>0</v>
      </c>
      <c r="S51" s="1">
        <v>0</v>
      </c>
      <c r="U51" s="1">
        <v>0</v>
      </c>
      <c r="V51" s="9">
        <v>0</v>
      </c>
    </row>
    <row r="52" spans="1:22">
      <c r="A52" s="1" t="s">
        <v>73</v>
      </c>
      <c r="B52" s="6">
        <v>0</v>
      </c>
      <c r="C52" s="1">
        <v>0</v>
      </c>
      <c r="D52" s="1">
        <v>0</v>
      </c>
      <c r="E52" s="1">
        <v>0</v>
      </c>
      <c r="F52" s="1">
        <v>0</v>
      </c>
      <c r="G52" s="9">
        <f>SUM(VT_FINANCIAL)</f>
        <v>0</v>
      </c>
      <c r="L52" s="6"/>
      <c r="V52" s="9"/>
    </row>
    <row r="53" spans="1:22">
      <c r="A53" s="1" t="s">
        <v>74</v>
      </c>
      <c r="B53" s="6">
        <v>0</v>
      </c>
      <c r="C53" s="1">
        <v>0</v>
      </c>
      <c r="D53" s="1">
        <v>0</v>
      </c>
      <c r="E53" s="1">
        <v>0</v>
      </c>
      <c r="F53" s="1">
        <v>0</v>
      </c>
      <c r="G53" s="9">
        <f>SUM(VA_FINANCIAL)</f>
        <v>0</v>
      </c>
      <c r="L53" s="6"/>
      <c r="V53" s="9"/>
    </row>
    <row r="54" spans="1:22">
      <c r="A54" s="1" t="s">
        <v>75</v>
      </c>
      <c r="B54" s="6">
        <v>0</v>
      </c>
      <c r="C54" s="1">
        <v>0</v>
      </c>
      <c r="D54" s="1">
        <v>0</v>
      </c>
      <c r="E54" s="1">
        <v>0</v>
      </c>
      <c r="F54" s="1">
        <v>0</v>
      </c>
      <c r="G54" s="9">
        <f>SUM(WA_FINANCIAL)</f>
        <v>0</v>
      </c>
      <c r="L54" s="6"/>
      <c r="V54" s="9"/>
    </row>
    <row r="55" spans="1:22">
      <c r="A55" s="1" t="s">
        <v>76</v>
      </c>
      <c r="B55" s="6">
        <v>0</v>
      </c>
      <c r="C55" s="1">
        <v>0</v>
      </c>
      <c r="D55" s="1">
        <v>0</v>
      </c>
      <c r="E55" s="1">
        <v>0</v>
      </c>
      <c r="F55" s="1">
        <v>0</v>
      </c>
      <c r="G55" s="9">
        <f>SUM(WV_FINANCIAL)</f>
        <v>0</v>
      </c>
      <c r="L55" s="6"/>
      <c r="V55" s="9"/>
    </row>
    <row r="56" spans="1:22">
      <c r="A56" s="1" t="s">
        <v>77</v>
      </c>
      <c r="B56" s="6">
        <v>0</v>
      </c>
      <c r="C56" s="1">
        <v>0</v>
      </c>
      <c r="D56" s="1">
        <v>0</v>
      </c>
      <c r="E56" s="1">
        <v>0</v>
      </c>
      <c r="F56" s="1">
        <v>0</v>
      </c>
      <c r="G56" s="9">
        <f>SUM(WI_FINANCIAL)</f>
        <v>0</v>
      </c>
      <c r="L56" s="6"/>
      <c r="V56" s="9"/>
    </row>
    <row r="57" spans="1:22">
      <c r="A57" s="1" t="s">
        <v>78</v>
      </c>
      <c r="B57" s="6">
        <v>0</v>
      </c>
      <c r="C57" s="1">
        <v>0</v>
      </c>
      <c r="D57" s="1">
        <v>0</v>
      </c>
      <c r="E57" s="1">
        <v>0</v>
      </c>
      <c r="F57" s="1">
        <v>0</v>
      </c>
      <c r="G57" s="9">
        <f>SUM(WY_FINANCIAL)</f>
        <v>0</v>
      </c>
      <c r="L57" s="6"/>
      <c r="V57" s="9"/>
    </row>
    <row r="58" spans="1:22">
      <c r="A58" s="1" t="s">
        <v>79</v>
      </c>
      <c r="B58" s="6">
        <v>0</v>
      </c>
      <c r="C58" s="1">
        <v>0</v>
      </c>
      <c r="D58" s="1">
        <v>0</v>
      </c>
      <c r="E58" s="1">
        <v>0</v>
      </c>
      <c r="F58" s="1">
        <v>0</v>
      </c>
      <c r="G58" s="9">
        <f>SUM(OT_FINANCIAL)</f>
        <v>0</v>
      </c>
      <c r="L58" s="6"/>
      <c r="V58" s="9"/>
    </row>
    <row r="59" spans="1:22">
      <c r="B59" s="6"/>
      <c r="G59" s="9"/>
      <c r="L59" s="6"/>
      <c r="V59" s="9"/>
    </row>
    <row r="60" spans="1:22">
      <c r="A60" s="1" t="s">
        <v>8</v>
      </c>
      <c r="B60" s="6">
        <f>SUM(LIFE)</f>
        <v>3344192.9688403099</v>
      </c>
      <c r="C60" s="1">
        <f>SUM(ALLOCATED)</f>
        <v>10066575.645620819</v>
      </c>
      <c r="D60" s="1">
        <f>SUM(HEALTH)</f>
        <v>4151.474452420307</v>
      </c>
      <c r="E60" s="1">
        <f>SUM(UNALLOCATED)</f>
        <v>0</v>
      </c>
      <c r="F60" s="1">
        <f>SUM(LTC)</f>
        <v>0</v>
      </c>
      <c r="G60" s="9">
        <f>SUM(ALL_BLOCKS)</f>
        <v>13414920.088913547</v>
      </c>
      <c r="L60" s="6">
        <f>SUM(LIFE_CALLED)</f>
        <v>12164294</v>
      </c>
      <c r="M60" s="1">
        <f>SUM(LIFE_REFUNDED)</f>
        <v>4473210.9462700002</v>
      </c>
      <c r="O60" s="1">
        <f>SUM(ALLOC_CALLED)</f>
        <v>9814075</v>
      </c>
      <c r="P60" s="1">
        <f>SUM(ALLOC_REFUNDED)</f>
        <v>1493192.4337299999</v>
      </c>
      <c r="R60" s="1">
        <f>SUM(HEALTH_CALLED)</f>
        <v>81022</v>
      </c>
      <c r="S60" s="1">
        <f>SUM(HEALTH_REFUNDED)</f>
        <v>100117</v>
      </c>
      <c r="U60" s="1">
        <f>SUM(UNALLOC_CALLED)</f>
        <v>0</v>
      </c>
      <c r="V60" s="9">
        <f>SUM(UNALLOC_REFUNDED)</f>
        <v>0</v>
      </c>
    </row>
    <row r="61" spans="1:22" ht="5.0999999999999996" customHeight="1">
      <c r="B61" s="6"/>
      <c r="G61" s="9"/>
      <c r="L61" s="6"/>
      <c r="V61" s="9"/>
    </row>
    <row r="62" spans="1:22">
      <c r="B62" s="6"/>
      <c r="G62" s="9"/>
      <c r="L62" s="78" t="s">
        <v>80</v>
      </c>
      <c r="M62" s="79"/>
      <c r="N62" s="79"/>
      <c r="O62" s="79"/>
      <c r="P62" s="79"/>
      <c r="Q62" s="79"/>
      <c r="R62" s="79"/>
      <c r="S62" s="79"/>
      <c r="T62" s="79"/>
      <c r="U62" s="79"/>
      <c r="V62" s="80"/>
    </row>
    <row r="63" spans="1:22">
      <c r="B63" s="6"/>
      <c r="G63" s="9"/>
      <c r="L63" s="81"/>
      <c r="M63" s="79"/>
      <c r="N63" s="79"/>
      <c r="O63" s="79"/>
      <c r="P63" s="79"/>
      <c r="Q63" s="79"/>
      <c r="R63" s="79"/>
      <c r="S63" s="79"/>
      <c r="T63" s="79"/>
      <c r="U63" s="79"/>
      <c r="V63" s="80"/>
    </row>
    <row r="64" spans="1:22">
      <c r="B64" s="8"/>
      <c r="C64" s="5"/>
      <c r="D64" s="5"/>
      <c r="E64" s="5"/>
      <c r="F64" s="5"/>
      <c r="G64" s="11"/>
      <c r="L64" s="82"/>
      <c r="M64" s="83"/>
      <c r="N64" s="83"/>
      <c r="O64" s="83"/>
      <c r="P64" s="83"/>
      <c r="Q64" s="83"/>
      <c r="R64" s="83"/>
      <c r="S64" s="83"/>
      <c r="T64" s="83"/>
      <c r="U64" s="83"/>
      <c r="V64" s="84"/>
    </row>
  </sheetData>
  <mergeCells count="8">
    <mergeCell ref="L62:V64"/>
    <mergeCell ref="A1:G1"/>
    <mergeCell ref="B3:G3"/>
    <mergeCell ref="L3:V3"/>
    <mergeCell ref="L4:M4"/>
    <mergeCell ref="O4:P4"/>
    <mergeCell ref="R4:S4"/>
    <mergeCell ref="U4:V4"/>
  </mergeCells>
  <pageMargins left="0" right="0" top="0" bottom="0" header="0" footer="0"/>
  <pageSetup scale="48" orientation="landscape"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pageSetUpPr fitToPage="1"/>
  </sheetPr>
  <dimension ref="A1:V64"/>
  <sheetViews>
    <sheetView zoomScale="75" workbookViewId="0">
      <selection sqref="A1:G1"/>
    </sheetView>
  </sheetViews>
  <sheetFormatPr defaultColWidth="9.109375" defaultRowHeight="14.4"/>
  <cols>
    <col min="1" max="1" width="20" style="1" customWidth="1"/>
    <col min="2" max="7" width="15" style="1" customWidth="1"/>
    <col min="8" max="8" width="1" style="1" customWidth="1"/>
    <col min="9" max="9" width="30" style="1" customWidth="1"/>
    <col min="10" max="10" width="15" style="1" customWidth="1"/>
    <col min="11" max="11" width="1" style="1" customWidth="1"/>
    <col min="12" max="13" width="15" style="1" customWidth="1"/>
    <col min="14" max="14" width="1" style="1" customWidth="1"/>
    <col min="15" max="16" width="15" style="1" customWidth="1"/>
    <col min="17" max="17" width="1" style="1" customWidth="1"/>
    <col min="18" max="19" width="15" style="1" customWidth="1"/>
    <col min="20" max="20" width="1" style="1" customWidth="1"/>
    <col min="21" max="22" width="15" style="1" customWidth="1"/>
    <col min="23" max="23" width="9.109375" style="1" customWidth="1"/>
    <col min="24" max="16384" width="9.109375" style="1"/>
  </cols>
  <sheetData>
    <row r="1" spans="1:22">
      <c r="A1" s="85" t="s">
        <v>175</v>
      </c>
      <c r="B1" s="79"/>
      <c r="C1" s="79"/>
      <c r="D1" s="79"/>
      <c r="E1" s="79"/>
      <c r="F1" s="79"/>
      <c r="G1" s="79"/>
    </row>
    <row r="3" spans="1:22">
      <c r="B3" s="86" t="s">
        <v>1</v>
      </c>
      <c r="C3" s="87"/>
      <c r="D3" s="87"/>
      <c r="E3" s="87"/>
      <c r="F3" s="87"/>
      <c r="G3" s="88"/>
      <c r="L3" s="89" t="s">
        <v>2</v>
      </c>
      <c r="M3" s="90"/>
      <c r="N3" s="90"/>
      <c r="O3" s="90"/>
      <c r="P3" s="90"/>
      <c r="Q3" s="90"/>
      <c r="R3" s="90"/>
      <c r="S3" s="90"/>
      <c r="T3" s="90"/>
      <c r="U3" s="90"/>
      <c r="V3" s="91"/>
    </row>
    <row r="4" spans="1:22">
      <c r="B4" s="6"/>
      <c r="G4" s="9"/>
      <c r="L4" s="92" t="s">
        <v>3</v>
      </c>
      <c r="M4" s="93"/>
      <c r="N4" s="3"/>
      <c r="O4" s="94" t="s">
        <v>4</v>
      </c>
      <c r="P4" s="93"/>
      <c r="Q4" s="3"/>
      <c r="R4" s="94" t="s">
        <v>5</v>
      </c>
      <c r="S4" s="93"/>
      <c r="T4" s="3"/>
      <c r="U4" s="94" t="s">
        <v>6</v>
      </c>
      <c r="V4" s="95"/>
    </row>
    <row r="5" spans="1:22" ht="60" customHeight="1">
      <c r="B5" s="7" t="s">
        <v>3</v>
      </c>
      <c r="C5" s="4" t="s">
        <v>4</v>
      </c>
      <c r="D5" s="4" t="s">
        <v>5</v>
      </c>
      <c r="E5" s="4" t="s">
        <v>6</v>
      </c>
      <c r="F5" s="4" t="s">
        <v>7</v>
      </c>
      <c r="G5" s="10" t="s">
        <v>8</v>
      </c>
      <c r="L5" s="19" t="s">
        <v>9</v>
      </c>
      <c r="M5" s="18" t="s">
        <v>10</v>
      </c>
      <c r="N5" s="18"/>
      <c r="O5" s="18" t="s">
        <v>9</v>
      </c>
      <c r="P5" s="18" t="s">
        <v>10</v>
      </c>
      <c r="Q5" s="18"/>
      <c r="R5" s="18" t="s">
        <v>9</v>
      </c>
      <c r="S5" s="18" t="s">
        <v>10</v>
      </c>
      <c r="T5" s="18"/>
      <c r="U5" s="18" t="s">
        <v>9</v>
      </c>
      <c r="V5" s="20" t="s">
        <v>10</v>
      </c>
    </row>
    <row r="6" spans="1:22">
      <c r="A6" s="1" t="s">
        <v>11</v>
      </c>
      <c r="B6" s="6">
        <v>0</v>
      </c>
      <c r="C6" s="1">
        <v>0</v>
      </c>
      <c r="D6" s="1">
        <v>0</v>
      </c>
      <c r="E6" s="1">
        <v>0</v>
      </c>
      <c r="F6" s="1">
        <v>0</v>
      </c>
      <c r="G6" s="9">
        <f>SUM(AL_FINANCIAL)</f>
        <v>0</v>
      </c>
      <c r="L6" s="6"/>
      <c r="V6" s="9"/>
    </row>
    <row r="7" spans="1:22">
      <c r="A7" s="1" t="s">
        <v>12</v>
      </c>
      <c r="B7" s="6">
        <v>0</v>
      </c>
      <c r="C7" s="1">
        <v>0</v>
      </c>
      <c r="D7" s="1">
        <v>0</v>
      </c>
      <c r="E7" s="1">
        <v>0</v>
      </c>
      <c r="F7" s="1">
        <v>0</v>
      </c>
      <c r="G7" s="9">
        <f>SUM(AK_FINANCIAL)</f>
        <v>0</v>
      </c>
      <c r="I7" s="12"/>
      <c r="J7" s="15"/>
      <c r="L7" s="6"/>
      <c r="V7" s="9"/>
    </row>
    <row r="8" spans="1:22">
      <c r="A8" s="1" t="s">
        <v>13</v>
      </c>
      <c r="B8" s="6">
        <v>928.55306082589289</v>
      </c>
      <c r="C8" s="1">
        <v>0</v>
      </c>
      <c r="D8" s="1">
        <v>0</v>
      </c>
      <c r="E8" s="1">
        <v>0</v>
      </c>
      <c r="F8" s="1">
        <v>0</v>
      </c>
      <c r="G8" s="9">
        <f>SUM(AZ_FINANCIAL)</f>
        <v>928.55306082589289</v>
      </c>
      <c r="I8" s="13" t="s">
        <v>14</v>
      </c>
      <c r="J8" s="16"/>
      <c r="L8" s="6"/>
      <c r="V8" s="9"/>
    </row>
    <row r="9" spans="1:22">
      <c r="A9" s="1" t="s">
        <v>15</v>
      </c>
      <c r="B9" s="6">
        <v>0</v>
      </c>
      <c r="C9" s="1">
        <v>0</v>
      </c>
      <c r="D9" s="1">
        <v>0</v>
      </c>
      <c r="E9" s="1">
        <v>0</v>
      </c>
      <c r="F9" s="1">
        <v>0</v>
      </c>
      <c r="G9" s="9">
        <f>SUM(AR_FINANCIAL)</f>
        <v>0</v>
      </c>
      <c r="I9" s="13"/>
      <c r="J9" s="16"/>
      <c r="L9" s="6"/>
      <c r="V9" s="9"/>
    </row>
    <row r="10" spans="1:22">
      <c r="A10" s="1" t="s">
        <v>16</v>
      </c>
      <c r="B10" s="6">
        <v>0</v>
      </c>
      <c r="C10" s="1">
        <v>0</v>
      </c>
      <c r="D10" s="1">
        <v>0</v>
      </c>
      <c r="E10" s="1">
        <v>0</v>
      </c>
      <c r="F10" s="1">
        <v>0</v>
      </c>
      <c r="G10" s="9">
        <f>SUM(CA_FINANCIAL)</f>
        <v>0</v>
      </c>
      <c r="I10" s="13" t="s">
        <v>17</v>
      </c>
      <c r="J10" s="16">
        <v>0</v>
      </c>
      <c r="L10" s="6"/>
      <c r="V10" s="9"/>
    </row>
    <row r="11" spans="1:22">
      <c r="A11" s="1" t="s">
        <v>18</v>
      </c>
      <c r="B11" s="6">
        <v>0</v>
      </c>
      <c r="C11" s="1">
        <v>0</v>
      </c>
      <c r="D11" s="1">
        <v>0</v>
      </c>
      <c r="E11" s="1">
        <v>0</v>
      </c>
      <c r="F11" s="1">
        <v>0</v>
      </c>
      <c r="G11" s="9">
        <f>SUM(CO_FINANCIAL)</f>
        <v>0</v>
      </c>
      <c r="I11" s="13"/>
      <c r="J11" s="16"/>
      <c r="L11" s="6"/>
      <c r="V11" s="9"/>
    </row>
    <row r="12" spans="1:22">
      <c r="A12" s="1" t="s">
        <v>19</v>
      </c>
      <c r="B12" s="6">
        <v>0</v>
      </c>
      <c r="C12" s="1">
        <v>0</v>
      </c>
      <c r="D12" s="1">
        <v>0</v>
      </c>
      <c r="E12" s="1">
        <v>0</v>
      </c>
      <c r="F12" s="1">
        <v>0</v>
      </c>
      <c r="G12" s="9">
        <f>SUM(CT_FINANCIAL)</f>
        <v>0</v>
      </c>
      <c r="I12" s="13" t="s">
        <v>20</v>
      </c>
      <c r="J12" s="16"/>
      <c r="L12" s="6"/>
      <c r="V12" s="9"/>
    </row>
    <row r="13" spans="1:22">
      <c r="A13" s="1" t="s">
        <v>21</v>
      </c>
      <c r="B13" s="6">
        <v>0</v>
      </c>
      <c r="C13" s="1">
        <v>0</v>
      </c>
      <c r="D13" s="1">
        <v>0</v>
      </c>
      <c r="E13" s="1">
        <v>0</v>
      </c>
      <c r="F13" s="1">
        <v>0</v>
      </c>
      <c r="G13" s="9">
        <f>SUM(DE_FINANCIAL)</f>
        <v>0</v>
      </c>
      <c r="I13" s="13" t="s">
        <v>22</v>
      </c>
      <c r="J13" s="16">
        <v>0</v>
      </c>
      <c r="L13" s="6"/>
      <c r="V13" s="9"/>
    </row>
    <row r="14" spans="1:22">
      <c r="A14" s="1" t="s">
        <v>23</v>
      </c>
      <c r="B14" s="6">
        <v>0</v>
      </c>
      <c r="C14" s="1">
        <v>0</v>
      </c>
      <c r="D14" s="1">
        <v>0</v>
      </c>
      <c r="E14" s="1">
        <v>0</v>
      </c>
      <c r="F14" s="1">
        <v>0</v>
      </c>
      <c r="G14" s="9">
        <f>SUM(DC_FINANCIAL)</f>
        <v>0</v>
      </c>
      <c r="I14" s="13" t="s">
        <v>24</v>
      </c>
      <c r="J14" s="16">
        <v>0</v>
      </c>
      <c r="L14" s="6"/>
      <c r="V14" s="9"/>
    </row>
    <row r="15" spans="1:22">
      <c r="A15" s="1" t="s">
        <v>25</v>
      </c>
      <c r="B15" s="6">
        <v>0</v>
      </c>
      <c r="C15" s="1">
        <v>0</v>
      </c>
      <c r="D15" s="1">
        <v>0</v>
      </c>
      <c r="E15" s="1">
        <v>0</v>
      </c>
      <c r="F15" s="1">
        <v>0</v>
      </c>
      <c r="G15" s="9">
        <f>SUM(FL_FINANCIAL)</f>
        <v>0</v>
      </c>
      <c r="I15" s="13" t="s">
        <v>26</v>
      </c>
      <c r="J15" s="16">
        <v>40667.22</v>
      </c>
      <c r="L15" s="6"/>
      <c r="V15" s="9"/>
    </row>
    <row r="16" spans="1:22">
      <c r="A16" s="1" t="s">
        <v>27</v>
      </c>
      <c r="B16" s="6">
        <v>0</v>
      </c>
      <c r="C16" s="1">
        <v>0</v>
      </c>
      <c r="D16" s="1">
        <v>0</v>
      </c>
      <c r="E16" s="1">
        <v>0</v>
      </c>
      <c r="F16" s="1">
        <v>0</v>
      </c>
      <c r="G16" s="9">
        <f>SUM(GA_FINANCIAL)</f>
        <v>0</v>
      </c>
      <c r="I16" s="13" t="s">
        <v>28</v>
      </c>
      <c r="J16" s="16">
        <v>0</v>
      </c>
      <c r="L16" s="6"/>
      <c r="V16" s="9"/>
    </row>
    <row r="17" spans="1:22">
      <c r="A17" s="1" t="s">
        <v>29</v>
      </c>
      <c r="B17" s="6">
        <v>0</v>
      </c>
      <c r="C17" s="1">
        <v>0</v>
      </c>
      <c r="D17" s="1">
        <v>0</v>
      </c>
      <c r="E17" s="1">
        <v>0</v>
      </c>
      <c r="F17" s="1">
        <v>0</v>
      </c>
      <c r="G17" s="9">
        <f>SUM(HI_FINANCIAL)</f>
        <v>0</v>
      </c>
      <c r="I17" s="13"/>
      <c r="J17" s="16"/>
      <c r="L17" s="6"/>
      <c r="V17" s="9"/>
    </row>
    <row r="18" spans="1:22">
      <c r="A18" s="1" t="s">
        <v>30</v>
      </c>
      <c r="B18" s="6">
        <v>0</v>
      </c>
      <c r="C18" s="1">
        <v>0</v>
      </c>
      <c r="D18" s="1">
        <v>0</v>
      </c>
      <c r="E18" s="1">
        <v>0</v>
      </c>
      <c r="F18" s="1">
        <v>0</v>
      </c>
      <c r="G18" s="9">
        <f>SUM(ID_FINANCIAL)</f>
        <v>0</v>
      </c>
      <c r="I18" s="13" t="s">
        <v>31</v>
      </c>
      <c r="J18" s="16"/>
      <c r="L18" s="6"/>
      <c r="V18" s="9"/>
    </row>
    <row r="19" spans="1:22">
      <c r="A19" s="1" t="s">
        <v>32</v>
      </c>
      <c r="B19" s="6">
        <v>0</v>
      </c>
      <c r="C19" s="1">
        <v>0</v>
      </c>
      <c r="D19" s="1">
        <v>0</v>
      </c>
      <c r="E19" s="1">
        <v>0</v>
      </c>
      <c r="F19" s="1">
        <v>0</v>
      </c>
      <c r="G19" s="9">
        <f>SUM(IL_FINANCIAL)</f>
        <v>0</v>
      </c>
      <c r="I19" s="13" t="s">
        <v>33</v>
      </c>
      <c r="J19" s="16">
        <v>0</v>
      </c>
      <c r="L19" s="6"/>
      <c r="V19" s="9"/>
    </row>
    <row r="20" spans="1:22">
      <c r="A20" s="1" t="s">
        <v>34</v>
      </c>
      <c r="B20" s="6">
        <v>0</v>
      </c>
      <c r="C20" s="1">
        <v>0</v>
      </c>
      <c r="D20" s="1">
        <v>0</v>
      </c>
      <c r="E20" s="1">
        <v>0</v>
      </c>
      <c r="F20" s="1">
        <v>0</v>
      </c>
      <c r="G20" s="9">
        <f>SUM(IN_FINANCIAL)</f>
        <v>0</v>
      </c>
      <c r="I20" s="13" t="s">
        <v>35</v>
      </c>
      <c r="J20" s="16">
        <v>0</v>
      </c>
      <c r="L20" s="6"/>
      <c r="V20" s="9"/>
    </row>
    <row r="21" spans="1:22">
      <c r="A21" s="1" t="s">
        <v>36</v>
      </c>
      <c r="B21" s="6">
        <v>35.931788504464286</v>
      </c>
      <c r="C21" s="1">
        <v>0</v>
      </c>
      <c r="D21" s="1">
        <v>0</v>
      </c>
      <c r="E21" s="1">
        <v>0</v>
      </c>
      <c r="F21" s="1">
        <v>0</v>
      </c>
      <c r="G21" s="9">
        <f>SUM(IA_FINANCIAL)</f>
        <v>35.931788504464286</v>
      </c>
      <c r="I21" s="13" t="s">
        <v>37</v>
      </c>
      <c r="J21" s="16"/>
      <c r="L21" s="6"/>
      <c r="V21" s="9"/>
    </row>
    <row r="22" spans="1:22">
      <c r="A22" s="1" t="s">
        <v>38</v>
      </c>
      <c r="B22" s="6">
        <v>0</v>
      </c>
      <c r="C22" s="1">
        <v>0</v>
      </c>
      <c r="D22" s="1">
        <v>0</v>
      </c>
      <c r="E22" s="1">
        <v>0</v>
      </c>
      <c r="F22" s="1">
        <v>0</v>
      </c>
      <c r="G22" s="9">
        <f>SUM(KS_FINANCIAL)</f>
        <v>0</v>
      </c>
      <c r="I22" s="13" t="s">
        <v>39</v>
      </c>
      <c r="J22" s="16">
        <v>0</v>
      </c>
      <c r="L22" s="6"/>
      <c r="V22" s="9"/>
    </row>
    <row r="23" spans="1:22">
      <c r="A23" s="1" t="s">
        <v>40</v>
      </c>
      <c r="B23" s="6">
        <v>0</v>
      </c>
      <c r="C23" s="1">
        <v>0</v>
      </c>
      <c r="D23" s="1">
        <v>0</v>
      </c>
      <c r="E23" s="1">
        <v>0</v>
      </c>
      <c r="F23" s="1">
        <v>0</v>
      </c>
      <c r="G23" s="9">
        <f>SUM(KY_FINANCIAL)</f>
        <v>0</v>
      </c>
      <c r="I23" s="13" t="s">
        <v>41</v>
      </c>
      <c r="J23" s="16"/>
      <c r="L23" s="6"/>
      <c r="V23" s="9"/>
    </row>
    <row r="24" spans="1:22">
      <c r="A24" s="1" t="s">
        <v>42</v>
      </c>
      <c r="B24" s="6">
        <v>347.97100446428578</v>
      </c>
      <c r="C24" s="1">
        <v>0</v>
      </c>
      <c r="D24" s="1">
        <v>0</v>
      </c>
      <c r="E24" s="1">
        <v>0</v>
      </c>
      <c r="F24" s="1">
        <v>0</v>
      </c>
      <c r="G24" s="9">
        <f>SUM(LA_FINANCIAL)</f>
        <v>347.97100446428578</v>
      </c>
      <c r="I24" s="13" t="s">
        <v>43</v>
      </c>
      <c r="J24" s="16">
        <v>0</v>
      </c>
      <c r="L24" s="6"/>
      <c r="V24" s="9"/>
    </row>
    <row r="25" spans="1:22">
      <c r="A25" s="1" t="s">
        <v>44</v>
      </c>
      <c r="B25" s="6">
        <v>0</v>
      </c>
      <c r="C25" s="1">
        <v>0</v>
      </c>
      <c r="D25" s="1">
        <v>0</v>
      </c>
      <c r="E25" s="1">
        <v>0</v>
      </c>
      <c r="F25" s="1">
        <v>0</v>
      </c>
      <c r="G25" s="9">
        <f>SUM(ME_FINANCIAL)</f>
        <v>0</v>
      </c>
      <c r="I25" s="13"/>
      <c r="J25" s="16"/>
      <c r="L25" s="6"/>
      <c r="V25" s="9"/>
    </row>
    <row r="26" spans="1:22">
      <c r="A26" s="1" t="s">
        <v>45</v>
      </c>
      <c r="B26" s="6">
        <v>0</v>
      </c>
      <c r="C26" s="1">
        <v>0</v>
      </c>
      <c r="D26" s="1">
        <v>0</v>
      </c>
      <c r="E26" s="1">
        <v>0</v>
      </c>
      <c r="F26" s="1">
        <v>0</v>
      </c>
      <c r="G26" s="9">
        <f>SUM(MD_FINANCIAL)</f>
        <v>0</v>
      </c>
      <c r="I26" s="13" t="s">
        <v>46</v>
      </c>
      <c r="J26" s="16">
        <f>SUM(ADD_FINANCIAL)-SUM(LESS_FINANCIAL)</f>
        <v>40667.22</v>
      </c>
      <c r="L26" s="6"/>
      <c r="V26" s="9"/>
    </row>
    <row r="27" spans="1:22">
      <c r="A27" s="1" t="s">
        <v>47</v>
      </c>
      <c r="B27" s="6">
        <v>0</v>
      </c>
      <c r="C27" s="1">
        <v>0</v>
      </c>
      <c r="D27" s="1">
        <v>0</v>
      </c>
      <c r="E27" s="1">
        <v>0</v>
      </c>
      <c r="F27" s="1">
        <v>0</v>
      </c>
      <c r="G27" s="9">
        <f>SUM(MA_FINANCIAL)</f>
        <v>0</v>
      </c>
      <c r="I27" s="13" t="s">
        <v>48</v>
      </c>
      <c r="J27" s="16">
        <f>SUM(ALL_BLOCKS)</f>
        <v>40667.220000000008</v>
      </c>
      <c r="L27" s="6"/>
      <c r="V27" s="9"/>
    </row>
    <row r="28" spans="1:22">
      <c r="A28" s="1" t="s">
        <v>49</v>
      </c>
      <c r="B28" s="6">
        <v>0</v>
      </c>
      <c r="C28" s="1">
        <v>0</v>
      </c>
      <c r="D28" s="1">
        <v>0</v>
      </c>
      <c r="E28" s="1">
        <v>0</v>
      </c>
      <c r="F28" s="1">
        <v>0</v>
      </c>
      <c r="G28" s="9">
        <f>SUM(MI_FINANCIAL)</f>
        <v>0</v>
      </c>
      <c r="I28" s="14"/>
      <c r="J28" s="17"/>
      <c r="L28" s="6"/>
      <c r="V28" s="9"/>
    </row>
    <row r="29" spans="1:22">
      <c r="A29" s="1" t="s">
        <v>50</v>
      </c>
      <c r="B29" s="6">
        <v>0</v>
      </c>
      <c r="C29" s="1">
        <v>0</v>
      </c>
      <c r="D29" s="1">
        <v>0</v>
      </c>
      <c r="E29" s="1">
        <v>0</v>
      </c>
      <c r="F29" s="1">
        <v>0</v>
      </c>
      <c r="G29" s="9">
        <f>SUM(MN_FINANCIAL)</f>
        <v>0</v>
      </c>
      <c r="L29" s="6"/>
      <c r="V29" s="9"/>
    </row>
    <row r="30" spans="1:22">
      <c r="A30" s="1" t="s">
        <v>51</v>
      </c>
      <c r="B30" s="6">
        <v>0</v>
      </c>
      <c r="C30" s="1">
        <v>0</v>
      </c>
      <c r="D30" s="1">
        <v>0</v>
      </c>
      <c r="E30" s="1">
        <v>0</v>
      </c>
      <c r="F30" s="1">
        <v>0</v>
      </c>
      <c r="G30" s="9">
        <f>SUM(MS_FINANCIAL)</f>
        <v>0</v>
      </c>
      <c r="L30" s="6"/>
      <c r="V30" s="9"/>
    </row>
    <row r="31" spans="1:22">
      <c r="A31" s="1" t="s">
        <v>52</v>
      </c>
      <c r="B31" s="6">
        <v>3001.6059532864988</v>
      </c>
      <c r="C31" s="1">
        <v>0</v>
      </c>
      <c r="D31" s="1">
        <v>0</v>
      </c>
      <c r="E31" s="1">
        <v>27443.965790575112</v>
      </c>
      <c r="F31" s="1">
        <v>0</v>
      </c>
      <c r="G31" s="9">
        <f>SUM(MO_FINANCIAL)</f>
        <v>30445.571743861612</v>
      </c>
      <c r="L31" s="6"/>
      <c r="V31" s="9"/>
    </row>
    <row r="32" spans="1:22">
      <c r="A32" s="1" t="s">
        <v>53</v>
      </c>
      <c r="B32" s="6">
        <v>0</v>
      </c>
      <c r="C32" s="1">
        <v>0</v>
      </c>
      <c r="D32" s="1">
        <v>0</v>
      </c>
      <c r="E32" s="1">
        <v>0</v>
      </c>
      <c r="F32" s="1">
        <v>0</v>
      </c>
      <c r="G32" s="9">
        <f>SUM(MT_FINANCIAL)</f>
        <v>0</v>
      </c>
      <c r="L32" s="6"/>
      <c r="V32" s="9"/>
    </row>
    <row r="33" spans="1:22">
      <c r="A33" s="1" t="s">
        <v>54</v>
      </c>
      <c r="B33" s="6">
        <v>0</v>
      </c>
      <c r="C33" s="1">
        <v>0</v>
      </c>
      <c r="D33" s="1">
        <v>0</v>
      </c>
      <c r="E33" s="1">
        <v>0</v>
      </c>
      <c r="F33" s="1">
        <v>0</v>
      </c>
      <c r="G33" s="9">
        <f>SUM(NE_FINANCIAL)</f>
        <v>0</v>
      </c>
      <c r="L33" s="6"/>
      <c r="V33" s="9"/>
    </row>
    <row r="34" spans="1:22">
      <c r="A34" s="1" t="s">
        <v>55</v>
      </c>
      <c r="B34" s="6">
        <v>0</v>
      </c>
      <c r="C34" s="1">
        <v>0</v>
      </c>
      <c r="D34" s="1">
        <v>0</v>
      </c>
      <c r="E34" s="1">
        <v>0</v>
      </c>
      <c r="F34" s="1">
        <v>0</v>
      </c>
      <c r="G34" s="9">
        <f>SUM(NV_FINANCIAL)</f>
        <v>0</v>
      </c>
      <c r="L34" s="6"/>
      <c r="V34" s="9"/>
    </row>
    <row r="35" spans="1:22">
      <c r="A35" s="1" t="s">
        <v>56</v>
      </c>
      <c r="B35" s="6">
        <v>0</v>
      </c>
      <c r="C35" s="1">
        <v>0</v>
      </c>
      <c r="D35" s="1">
        <v>0</v>
      </c>
      <c r="E35" s="1">
        <v>0</v>
      </c>
      <c r="F35" s="1">
        <v>0</v>
      </c>
      <c r="G35" s="9">
        <f>SUM(NH_FINANCIAL)</f>
        <v>0</v>
      </c>
      <c r="L35" s="6"/>
      <c r="V35" s="9"/>
    </row>
    <row r="36" spans="1:22">
      <c r="A36" s="1" t="s">
        <v>57</v>
      </c>
      <c r="B36" s="6">
        <v>0</v>
      </c>
      <c r="C36" s="1">
        <v>0</v>
      </c>
      <c r="D36" s="1">
        <v>0</v>
      </c>
      <c r="E36" s="1">
        <v>0</v>
      </c>
      <c r="F36" s="1">
        <v>0</v>
      </c>
      <c r="G36" s="9">
        <f>SUM(NJ_FINANCIAL)</f>
        <v>0</v>
      </c>
      <c r="L36" s="6"/>
      <c r="V36" s="9"/>
    </row>
    <row r="37" spans="1:22">
      <c r="A37" s="1" t="s">
        <v>58</v>
      </c>
      <c r="B37" s="6">
        <v>0</v>
      </c>
      <c r="C37" s="1">
        <v>0</v>
      </c>
      <c r="D37" s="1">
        <v>0</v>
      </c>
      <c r="E37" s="1">
        <v>0</v>
      </c>
      <c r="F37" s="1">
        <v>0</v>
      </c>
      <c r="G37" s="9">
        <f>SUM(NM_FINANCIAL)</f>
        <v>0</v>
      </c>
      <c r="L37" s="6"/>
      <c r="V37" s="9"/>
    </row>
    <row r="38" spans="1:22">
      <c r="A38" s="1" t="s">
        <v>59</v>
      </c>
      <c r="B38" s="6">
        <v>0</v>
      </c>
      <c r="C38" s="1">
        <v>0</v>
      </c>
      <c r="D38" s="1">
        <v>0</v>
      </c>
      <c r="E38" s="1">
        <v>0</v>
      </c>
      <c r="F38" s="1">
        <v>0</v>
      </c>
      <c r="G38" s="9">
        <f>SUM(NY_FINANCIAL)</f>
        <v>0</v>
      </c>
      <c r="L38" s="6"/>
      <c r="V38" s="9"/>
    </row>
    <row r="39" spans="1:22">
      <c r="A39" s="1" t="s">
        <v>60</v>
      </c>
      <c r="B39" s="6">
        <v>0</v>
      </c>
      <c r="C39" s="1">
        <v>0</v>
      </c>
      <c r="D39" s="1">
        <v>0</v>
      </c>
      <c r="E39" s="1">
        <v>0</v>
      </c>
      <c r="F39" s="1">
        <v>0</v>
      </c>
      <c r="G39" s="9">
        <f>SUM(NC_FINANCIAL)</f>
        <v>0</v>
      </c>
      <c r="L39" s="6"/>
      <c r="V39" s="9"/>
    </row>
    <row r="40" spans="1:22">
      <c r="A40" s="1" t="s">
        <v>61</v>
      </c>
      <c r="B40" s="6">
        <v>0</v>
      </c>
      <c r="C40" s="1">
        <v>0</v>
      </c>
      <c r="D40" s="1">
        <v>0</v>
      </c>
      <c r="E40" s="1">
        <v>0</v>
      </c>
      <c r="F40" s="1">
        <v>0</v>
      </c>
      <c r="G40" s="9">
        <f>SUM(ND_FINANCIAL)</f>
        <v>0</v>
      </c>
      <c r="L40" s="6"/>
      <c r="V40" s="9"/>
    </row>
    <row r="41" spans="1:22">
      <c r="A41" s="1" t="s">
        <v>62</v>
      </c>
      <c r="B41" s="6">
        <v>907.75044642857142</v>
      </c>
      <c r="C41" s="1">
        <v>0</v>
      </c>
      <c r="D41" s="1">
        <v>0</v>
      </c>
      <c r="E41" s="1">
        <v>0</v>
      </c>
      <c r="F41" s="1">
        <v>0</v>
      </c>
      <c r="G41" s="9">
        <f>SUM(OH_FINANCIAL)</f>
        <v>907.75044642857142</v>
      </c>
      <c r="L41" s="6"/>
      <c r="V41" s="9"/>
    </row>
    <row r="42" spans="1:22">
      <c r="A42" s="1" t="s">
        <v>63</v>
      </c>
      <c r="B42" s="6">
        <v>6218.0905580357148</v>
      </c>
      <c r="C42" s="1">
        <v>0</v>
      </c>
      <c r="D42" s="1">
        <v>0</v>
      </c>
      <c r="E42" s="1">
        <v>0</v>
      </c>
      <c r="F42" s="1">
        <v>0</v>
      </c>
      <c r="G42" s="9">
        <f>SUM(OK_FINANCIAL)</f>
        <v>6218.0905580357148</v>
      </c>
      <c r="L42" s="6">
        <v>30000</v>
      </c>
      <c r="M42" s="1">
        <v>0</v>
      </c>
      <c r="O42" s="1">
        <v>0</v>
      </c>
      <c r="P42" s="1">
        <v>0</v>
      </c>
      <c r="R42" s="1">
        <v>0</v>
      </c>
      <c r="S42" s="1">
        <v>0</v>
      </c>
      <c r="U42" s="1">
        <v>0</v>
      </c>
      <c r="V42" s="9">
        <v>0</v>
      </c>
    </row>
    <row r="43" spans="1:22">
      <c r="A43" s="1" t="s">
        <v>64</v>
      </c>
      <c r="B43" s="6">
        <v>0</v>
      </c>
      <c r="C43" s="1">
        <v>0</v>
      </c>
      <c r="D43" s="1">
        <v>0</v>
      </c>
      <c r="E43" s="1">
        <v>0</v>
      </c>
      <c r="F43" s="1">
        <v>0</v>
      </c>
      <c r="G43" s="9">
        <f>SUM(OR_FINANCIAL)</f>
        <v>0</v>
      </c>
      <c r="L43" s="6"/>
      <c r="V43" s="9"/>
    </row>
    <row r="44" spans="1:22">
      <c r="A44" s="1" t="s">
        <v>65</v>
      </c>
      <c r="B44" s="6">
        <v>0</v>
      </c>
      <c r="C44" s="1">
        <v>0</v>
      </c>
      <c r="D44" s="1">
        <v>0</v>
      </c>
      <c r="E44" s="1">
        <v>0</v>
      </c>
      <c r="F44" s="1">
        <v>0</v>
      </c>
      <c r="G44" s="9">
        <f>SUM(PA_FINANCIAL)</f>
        <v>0</v>
      </c>
      <c r="L44" s="6"/>
      <c r="V44" s="9"/>
    </row>
    <row r="45" spans="1:22">
      <c r="A45" s="1" t="s">
        <v>66</v>
      </c>
      <c r="B45" s="6">
        <v>0</v>
      </c>
      <c r="C45" s="1">
        <v>0</v>
      </c>
      <c r="D45" s="1">
        <v>0</v>
      </c>
      <c r="E45" s="1">
        <v>0</v>
      </c>
      <c r="F45" s="1">
        <v>0</v>
      </c>
      <c r="G45" s="9">
        <f>SUM(PR_FINANCIAL)</f>
        <v>0</v>
      </c>
      <c r="L45" s="6"/>
      <c r="V45" s="9"/>
    </row>
    <row r="46" spans="1:22">
      <c r="A46" s="1" t="s">
        <v>67</v>
      </c>
      <c r="B46" s="6">
        <v>0</v>
      </c>
      <c r="C46" s="1">
        <v>0</v>
      </c>
      <c r="D46" s="1">
        <v>0</v>
      </c>
      <c r="E46" s="1">
        <v>0</v>
      </c>
      <c r="F46" s="1">
        <v>0</v>
      </c>
      <c r="G46" s="9">
        <f>SUM(RI_FINANCIAL)</f>
        <v>0</v>
      </c>
      <c r="L46" s="6"/>
      <c r="V46" s="9"/>
    </row>
    <row r="47" spans="1:22">
      <c r="A47" s="1" t="s">
        <v>68</v>
      </c>
      <c r="B47" s="6">
        <v>0</v>
      </c>
      <c r="C47" s="1">
        <v>0</v>
      </c>
      <c r="D47" s="1">
        <v>0</v>
      </c>
      <c r="E47" s="1">
        <v>0</v>
      </c>
      <c r="F47" s="1">
        <v>0</v>
      </c>
      <c r="G47" s="9">
        <f>SUM(SC_FINANCIAL)</f>
        <v>0</v>
      </c>
      <c r="L47" s="6"/>
      <c r="V47" s="9"/>
    </row>
    <row r="48" spans="1:22">
      <c r="A48" s="1" t="s">
        <v>69</v>
      </c>
      <c r="B48" s="6">
        <v>0</v>
      </c>
      <c r="C48" s="1">
        <v>0</v>
      </c>
      <c r="D48" s="1">
        <v>0</v>
      </c>
      <c r="E48" s="1">
        <v>0</v>
      </c>
      <c r="F48" s="1">
        <v>0</v>
      </c>
      <c r="G48" s="9">
        <f>SUM(SD_FINANCIAL)</f>
        <v>0</v>
      </c>
      <c r="L48" s="6"/>
      <c r="V48" s="9"/>
    </row>
    <row r="49" spans="1:22">
      <c r="A49" s="1" t="s">
        <v>70</v>
      </c>
      <c r="B49" s="6">
        <v>0</v>
      </c>
      <c r="C49" s="1">
        <v>0</v>
      </c>
      <c r="D49" s="1">
        <v>0</v>
      </c>
      <c r="E49" s="1">
        <v>0</v>
      </c>
      <c r="F49" s="1">
        <v>0</v>
      </c>
      <c r="G49" s="9">
        <f>SUM(TN_FINANCIAL)</f>
        <v>0</v>
      </c>
      <c r="L49" s="6"/>
      <c r="V49" s="9"/>
    </row>
    <row r="50" spans="1:22">
      <c r="A50" s="1" t="s">
        <v>71</v>
      </c>
      <c r="B50" s="6">
        <v>0</v>
      </c>
      <c r="C50" s="1">
        <v>0</v>
      </c>
      <c r="D50" s="1">
        <v>0</v>
      </c>
      <c r="E50" s="1">
        <v>0</v>
      </c>
      <c r="F50" s="1">
        <v>0</v>
      </c>
      <c r="G50" s="9">
        <f>SUM(TX_FINANCIAL)</f>
        <v>0</v>
      </c>
      <c r="L50" s="6"/>
      <c r="V50" s="9"/>
    </row>
    <row r="51" spans="1:22">
      <c r="A51" s="1" t="s">
        <v>72</v>
      </c>
      <c r="B51" s="6">
        <v>1584.5189094794912</v>
      </c>
      <c r="C51" s="1">
        <v>198.8324883999733</v>
      </c>
      <c r="D51" s="1">
        <v>0</v>
      </c>
      <c r="E51" s="1">
        <v>0</v>
      </c>
      <c r="F51" s="1">
        <v>0</v>
      </c>
      <c r="G51" s="9">
        <f>SUM(UT_FINANCIAL)</f>
        <v>1783.3513978794645</v>
      </c>
      <c r="L51" s="6">
        <v>27000</v>
      </c>
      <c r="M51" s="1">
        <v>0</v>
      </c>
      <c r="O51" s="1">
        <v>0</v>
      </c>
      <c r="P51" s="1">
        <v>0</v>
      </c>
      <c r="R51" s="1">
        <v>0</v>
      </c>
      <c r="S51" s="1">
        <v>0</v>
      </c>
      <c r="U51" s="1">
        <v>0</v>
      </c>
      <c r="V51" s="9">
        <v>0</v>
      </c>
    </row>
    <row r="52" spans="1:22">
      <c r="A52" s="1" t="s">
        <v>73</v>
      </c>
      <c r="B52" s="6">
        <v>0</v>
      </c>
      <c r="C52" s="1">
        <v>0</v>
      </c>
      <c r="D52" s="1">
        <v>0</v>
      </c>
      <c r="E52" s="1">
        <v>0</v>
      </c>
      <c r="F52" s="1">
        <v>0</v>
      </c>
      <c r="G52" s="9">
        <f>SUM(VT_FINANCIAL)</f>
        <v>0</v>
      </c>
      <c r="L52" s="6"/>
      <c r="V52" s="9"/>
    </row>
    <row r="53" spans="1:22">
      <c r="A53" s="1" t="s">
        <v>74</v>
      </c>
      <c r="B53" s="6">
        <v>0</v>
      </c>
      <c r="C53" s="1">
        <v>0</v>
      </c>
      <c r="D53" s="1">
        <v>0</v>
      </c>
      <c r="E53" s="1">
        <v>0</v>
      </c>
      <c r="F53" s="1">
        <v>0</v>
      </c>
      <c r="G53" s="9">
        <f>SUM(VA_FINANCIAL)</f>
        <v>0</v>
      </c>
      <c r="L53" s="6"/>
      <c r="V53" s="9"/>
    </row>
    <row r="54" spans="1:22">
      <c r="A54" s="1" t="s">
        <v>75</v>
      </c>
      <c r="B54" s="6">
        <v>0</v>
      </c>
      <c r="C54" s="1">
        <v>0</v>
      </c>
      <c r="D54" s="1">
        <v>0</v>
      </c>
      <c r="E54" s="1">
        <v>0</v>
      </c>
      <c r="F54" s="1">
        <v>0</v>
      </c>
      <c r="G54" s="9">
        <f>SUM(WA_FINANCIAL)</f>
        <v>0</v>
      </c>
      <c r="L54" s="6"/>
      <c r="V54" s="9"/>
    </row>
    <row r="55" spans="1:22">
      <c r="A55" s="1" t="s">
        <v>76</v>
      </c>
      <c r="B55" s="6">
        <v>0</v>
      </c>
      <c r="C55" s="1">
        <v>0</v>
      </c>
      <c r="D55" s="1">
        <v>0</v>
      </c>
      <c r="E55" s="1">
        <v>0</v>
      </c>
      <c r="F55" s="1">
        <v>0</v>
      </c>
      <c r="G55" s="9">
        <f>SUM(WV_FINANCIAL)</f>
        <v>0</v>
      </c>
      <c r="L55" s="6"/>
      <c r="V55" s="9"/>
    </row>
    <row r="56" spans="1:22">
      <c r="A56" s="1" t="s">
        <v>77</v>
      </c>
      <c r="B56" s="6">
        <v>0</v>
      </c>
      <c r="C56" s="1">
        <v>0</v>
      </c>
      <c r="D56" s="1">
        <v>0</v>
      </c>
      <c r="E56" s="1">
        <v>0</v>
      </c>
      <c r="F56" s="1">
        <v>0</v>
      </c>
      <c r="G56" s="9">
        <f>SUM(WI_FINANCIAL)</f>
        <v>0</v>
      </c>
      <c r="L56" s="6"/>
      <c r="V56" s="9"/>
    </row>
    <row r="57" spans="1:22">
      <c r="A57" s="1" t="s">
        <v>78</v>
      </c>
      <c r="B57" s="6">
        <v>0</v>
      </c>
      <c r="C57" s="1">
        <v>0</v>
      </c>
      <c r="D57" s="1">
        <v>0</v>
      </c>
      <c r="E57" s="1">
        <v>0</v>
      </c>
      <c r="F57" s="1">
        <v>0</v>
      </c>
      <c r="G57" s="9">
        <f>SUM(WY_FINANCIAL)</f>
        <v>0</v>
      </c>
      <c r="L57" s="6"/>
      <c r="V57" s="9"/>
    </row>
    <row r="58" spans="1:22">
      <c r="A58" s="1" t="s">
        <v>79</v>
      </c>
      <c r="B58" s="6">
        <v>0</v>
      </c>
      <c r="C58" s="1">
        <v>0</v>
      </c>
      <c r="D58" s="1">
        <v>0</v>
      </c>
      <c r="E58" s="1">
        <v>0</v>
      </c>
      <c r="F58" s="1">
        <v>0</v>
      </c>
      <c r="G58" s="9">
        <f>SUM(OT_FINANCIAL)</f>
        <v>0</v>
      </c>
      <c r="L58" s="6"/>
      <c r="V58" s="9"/>
    </row>
    <row r="59" spans="1:22">
      <c r="B59" s="6"/>
      <c r="G59" s="9"/>
      <c r="L59" s="6"/>
      <c r="V59" s="9"/>
    </row>
    <row r="60" spans="1:22">
      <c r="A60" s="1" t="s">
        <v>8</v>
      </c>
      <c r="B60" s="6">
        <f>SUM(LIFE)</f>
        <v>13024.421721024919</v>
      </c>
      <c r="C60" s="1">
        <f>SUM(ALLOCATED)</f>
        <v>198.8324883999733</v>
      </c>
      <c r="D60" s="1">
        <f>SUM(HEALTH)</f>
        <v>0</v>
      </c>
      <c r="E60" s="1">
        <f>SUM(UNALLOCATED)</f>
        <v>27443.965790575112</v>
      </c>
      <c r="F60" s="1">
        <f>SUM(LTC)</f>
        <v>0</v>
      </c>
      <c r="G60" s="9">
        <f>SUM(ALL_BLOCKS)</f>
        <v>40667.220000000008</v>
      </c>
      <c r="L60" s="6">
        <f>SUM(LIFE_CALLED)</f>
        <v>57000</v>
      </c>
      <c r="M60" s="1">
        <f>SUM(LIFE_REFUNDED)</f>
        <v>0</v>
      </c>
      <c r="O60" s="1">
        <f>SUM(ALLOC_CALLED)</f>
        <v>0</v>
      </c>
      <c r="P60" s="1">
        <f>SUM(ALLOC_REFUNDED)</f>
        <v>0</v>
      </c>
      <c r="R60" s="1">
        <f>SUM(HEALTH_CALLED)</f>
        <v>0</v>
      </c>
      <c r="S60" s="1">
        <f>SUM(HEALTH_REFUNDED)</f>
        <v>0</v>
      </c>
      <c r="U60" s="1">
        <f>SUM(UNALLOC_CALLED)</f>
        <v>0</v>
      </c>
      <c r="V60" s="9">
        <f>SUM(UNALLOC_REFUNDED)</f>
        <v>0</v>
      </c>
    </row>
    <row r="61" spans="1:22" ht="5.0999999999999996" customHeight="1">
      <c r="B61" s="6"/>
      <c r="G61" s="9"/>
      <c r="L61" s="6"/>
      <c r="V61" s="9"/>
    </row>
    <row r="62" spans="1:22">
      <c r="B62" s="6"/>
      <c r="G62" s="9"/>
      <c r="L62" s="78" t="s">
        <v>80</v>
      </c>
      <c r="M62" s="79"/>
      <c r="N62" s="79"/>
      <c r="O62" s="79"/>
      <c r="P62" s="79"/>
      <c r="Q62" s="79"/>
      <c r="R62" s="79"/>
      <c r="S62" s="79"/>
      <c r="T62" s="79"/>
      <c r="U62" s="79"/>
      <c r="V62" s="80"/>
    </row>
    <row r="63" spans="1:22">
      <c r="B63" s="6"/>
      <c r="G63" s="9"/>
      <c r="L63" s="81"/>
      <c r="M63" s="79"/>
      <c r="N63" s="79"/>
      <c r="O63" s="79"/>
      <c r="P63" s="79"/>
      <c r="Q63" s="79"/>
      <c r="R63" s="79"/>
      <c r="S63" s="79"/>
      <c r="T63" s="79"/>
      <c r="U63" s="79"/>
      <c r="V63" s="80"/>
    </row>
    <row r="64" spans="1:22">
      <c r="B64" s="8"/>
      <c r="C64" s="5"/>
      <c r="D64" s="5"/>
      <c r="E64" s="5"/>
      <c r="F64" s="5"/>
      <c r="G64" s="11"/>
      <c r="L64" s="82"/>
      <c r="M64" s="83"/>
      <c r="N64" s="83"/>
      <c r="O64" s="83"/>
      <c r="P64" s="83"/>
      <c r="Q64" s="83"/>
      <c r="R64" s="83"/>
      <c r="S64" s="83"/>
      <c r="T64" s="83"/>
      <c r="U64" s="83"/>
      <c r="V64" s="84"/>
    </row>
  </sheetData>
  <mergeCells count="8">
    <mergeCell ref="L62:V64"/>
    <mergeCell ref="A1:G1"/>
    <mergeCell ref="B3:G3"/>
    <mergeCell ref="L3:V3"/>
    <mergeCell ref="L4:M4"/>
    <mergeCell ref="O4:P4"/>
    <mergeCell ref="R4:S4"/>
    <mergeCell ref="U4:V4"/>
  </mergeCells>
  <pageMargins left="0" right="0" top="0" bottom="0" header="0" footer="0"/>
  <pageSetup scale="48" orientation="landscape"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pageSetUpPr fitToPage="1"/>
  </sheetPr>
  <dimension ref="A1:V64"/>
  <sheetViews>
    <sheetView zoomScale="75" workbookViewId="0">
      <selection sqref="A1:G1"/>
    </sheetView>
  </sheetViews>
  <sheetFormatPr defaultColWidth="9.109375" defaultRowHeight="14.4"/>
  <cols>
    <col min="1" max="1" width="20" style="1" customWidth="1"/>
    <col min="2" max="7" width="15" style="1" customWidth="1"/>
    <col min="8" max="8" width="1" style="1" customWidth="1"/>
    <col min="9" max="9" width="30" style="1" customWidth="1"/>
    <col min="10" max="10" width="15" style="1" customWidth="1"/>
    <col min="11" max="11" width="1" style="1" customWidth="1"/>
    <col min="12" max="13" width="15" style="1" customWidth="1"/>
    <col min="14" max="14" width="1" style="1" customWidth="1"/>
    <col min="15" max="16" width="15" style="1" customWidth="1"/>
    <col min="17" max="17" width="1" style="1" customWidth="1"/>
    <col min="18" max="19" width="15" style="1" customWidth="1"/>
    <col min="20" max="20" width="1" style="1" customWidth="1"/>
    <col min="21" max="22" width="15" style="1" customWidth="1"/>
    <col min="23" max="23" width="9.109375" style="1" customWidth="1"/>
    <col min="24" max="16384" width="9.109375" style="1"/>
  </cols>
  <sheetData>
    <row r="1" spans="1:22">
      <c r="A1" s="85" t="s">
        <v>176</v>
      </c>
      <c r="B1" s="79"/>
      <c r="C1" s="79"/>
      <c r="D1" s="79"/>
      <c r="E1" s="79"/>
      <c r="F1" s="79"/>
      <c r="G1" s="79"/>
    </row>
    <row r="3" spans="1:22">
      <c r="B3" s="86" t="s">
        <v>1</v>
      </c>
      <c r="C3" s="87"/>
      <c r="D3" s="87"/>
      <c r="E3" s="87"/>
      <c r="F3" s="87"/>
      <c r="G3" s="88"/>
      <c r="L3" s="89" t="s">
        <v>2</v>
      </c>
      <c r="M3" s="90"/>
      <c r="N3" s="90"/>
      <c r="O3" s="90"/>
      <c r="P3" s="90"/>
      <c r="Q3" s="90"/>
      <c r="R3" s="90"/>
      <c r="S3" s="90"/>
      <c r="T3" s="90"/>
      <c r="U3" s="90"/>
      <c r="V3" s="91"/>
    </row>
    <row r="4" spans="1:22">
      <c r="B4" s="6"/>
      <c r="G4" s="9"/>
      <c r="L4" s="92" t="s">
        <v>3</v>
      </c>
      <c r="M4" s="93"/>
      <c r="N4" s="3"/>
      <c r="O4" s="94" t="s">
        <v>4</v>
      </c>
      <c r="P4" s="93"/>
      <c r="Q4" s="3"/>
      <c r="R4" s="94" t="s">
        <v>5</v>
      </c>
      <c r="S4" s="93"/>
      <c r="T4" s="3"/>
      <c r="U4" s="94" t="s">
        <v>6</v>
      </c>
      <c r="V4" s="95"/>
    </row>
    <row r="5" spans="1:22" ht="60" customHeight="1">
      <c r="B5" s="7" t="s">
        <v>3</v>
      </c>
      <c r="C5" s="4" t="s">
        <v>4</v>
      </c>
      <c r="D5" s="4" t="s">
        <v>5</v>
      </c>
      <c r="E5" s="4" t="s">
        <v>6</v>
      </c>
      <c r="F5" s="4" t="s">
        <v>7</v>
      </c>
      <c r="G5" s="10" t="s">
        <v>8</v>
      </c>
      <c r="L5" s="19" t="s">
        <v>9</v>
      </c>
      <c r="M5" s="18" t="s">
        <v>10</v>
      </c>
      <c r="N5" s="18"/>
      <c r="O5" s="18" t="s">
        <v>9</v>
      </c>
      <c r="P5" s="18" t="s">
        <v>10</v>
      </c>
      <c r="Q5" s="18"/>
      <c r="R5" s="18" t="s">
        <v>9</v>
      </c>
      <c r="S5" s="18" t="s">
        <v>10</v>
      </c>
      <c r="T5" s="18"/>
      <c r="U5" s="18" t="s">
        <v>9</v>
      </c>
      <c r="V5" s="20" t="s">
        <v>10</v>
      </c>
    </row>
    <row r="6" spans="1:22">
      <c r="A6" s="1" t="s">
        <v>11</v>
      </c>
      <c r="B6" s="6">
        <v>0</v>
      </c>
      <c r="C6" s="1">
        <v>0</v>
      </c>
      <c r="D6" s="1">
        <v>0</v>
      </c>
      <c r="E6" s="1">
        <v>0</v>
      </c>
      <c r="F6" s="1">
        <v>0</v>
      </c>
      <c r="G6" s="9">
        <f>SUM(AL_FINANCIAL)</f>
        <v>0</v>
      </c>
      <c r="L6" s="6"/>
      <c r="V6" s="9"/>
    </row>
    <row r="7" spans="1:22">
      <c r="A7" s="1" t="s">
        <v>12</v>
      </c>
      <c r="B7" s="6">
        <v>0</v>
      </c>
      <c r="C7" s="1">
        <v>0</v>
      </c>
      <c r="D7" s="1">
        <v>0</v>
      </c>
      <c r="E7" s="1">
        <v>0</v>
      </c>
      <c r="F7" s="1">
        <v>0</v>
      </c>
      <c r="G7" s="9">
        <f>SUM(AK_FINANCIAL)</f>
        <v>0</v>
      </c>
      <c r="I7" s="12"/>
      <c r="J7" s="15"/>
      <c r="L7" s="6"/>
      <c r="V7" s="9"/>
    </row>
    <row r="8" spans="1:22">
      <c r="A8" s="1" t="s">
        <v>13</v>
      </c>
      <c r="B8" s="6">
        <v>0</v>
      </c>
      <c r="C8" s="1">
        <v>0</v>
      </c>
      <c r="D8" s="1">
        <v>-162364.17845843034</v>
      </c>
      <c r="E8" s="1">
        <v>0</v>
      </c>
      <c r="F8" s="1">
        <v>0</v>
      </c>
      <c r="G8" s="9">
        <f>SUM(AZ_FINANCIAL)</f>
        <v>-162364.17845843034</v>
      </c>
      <c r="I8" s="13" t="s">
        <v>14</v>
      </c>
      <c r="J8" s="16"/>
      <c r="L8" s="6"/>
      <c r="V8" s="9"/>
    </row>
    <row r="9" spans="1:22">
      <c r="A9" s="1" t="s">
        <v>15</v>
      </c>
      <c r="B9" s="6">
        <v>0</v>
      </c>
      <c r="C9" s="1">
        <v>0</v>
      </c>
      <c r="D9" s="1">
        <v>-5.6843418860808015E-14</v>
      </c>
      <c r="E9" s="1">
        <v>0</v>
      </c>
      <c r="F9" s="1">
        <v>0</v>
      </c>
      <c r="G9" s="9">
        <f>SUM(AR_FINANCIAL)</f>
        <v>-5.6843418860808015E-14</v>
      </c>
      <c r="I9" s="13"/>
      <c r="J9" s="16"/>
      <c r="L9" s="6"/>
      <c r="V9" s="9"/>
    </row>
    <row r="10" spans="1:22">
      <c r="A10" s="1" t="s">
        <v>16</v>
      </c>
      <c r="B10" s="6">
        <v>0</v>
      </c>
      <c r="C10" s="1">
        <v>0</v>
      </c>
      <c r="D10" s="1">
        <v>0</v>
      </c>
      <c r="E10" s="1">
        <v>0</v>
      </c>
      <c r="F10" s="1">
        <v>0</v>
      </c>
      <c r="G10" s="9">
        <f>SUM(CA_FINANCIAL)</f>
        <v>0</v>
      </c>
      <c r="I10" s="13" t="s">
        <v>17</v>
      </c>
      <c r="J10" s="16">
        <v>6483172.1899999995</v>
      </c>
      <c r="L10" s="6"/>
      <c r="V10" s="9"/>
    </row>
    <row r="11" spans="1:22">
      <c r="A11" s="1" t="s">
        <v>18</v>
      </c>
      <c r="B11" s="6">
        <v>0</v>
      </c>
      <c r="C11" s="1">
        <v>0</v>
      </c>
      <c r="D11" s="1">
        <v>0</v>
      </c>
      <c r="E11" s="1">
        <v>0</v>
      </c>
      <c r="F11" s="1">
        <v>0</v>
      </c>
      <c r="G11" s="9">
        <f>SUM(CO_FINANCIAL)</f>
        <v>0</v>
      </c>
      <c r="I11" s="13"/>
      <c r="J11" s="16"/>
      <c r="L11" s="6"/>
      <c r="V11" s="9"/>
    </row>
    <row r="12" spans="1:22">
      <c r="A12" s="1" t="s">
        <v>19</v>
      </c>
      <c r="B12" s="6">
        <v>0</v>
      </c>
      <c r="C12" s="1">
        <v>0</v>
      </c>
      <c r="D12" s="1">
        <v>0</v>
      </c>
      <c r="E12" s="1">
        <v>0</v>
      </c>
      <c r="F12" s="1">
        <v>0</v>
      </c>
      <c r="G12" s="9">
        <f>SUM(CT_FINANCIAL)</f>
        <v>0</v>
      </c>
      <c r="I12" s="13" t="s">
        <v>20</v>
      </c>
      <c r="J12" s="16"/>
      <c r="L12" s="6"/>
      <c r="V12" s="9"/>
    </row>
    <row r="13" spans="1:22">
      <c r="A13" s="1" t="s">
        <v>21</v>
      </c>
      <c r="B13" s="6">
        <v>0</v>
      </c>
      <c r="C13" s="1">
        <v>0</v>
      </c>
      <c r="D13" s="1">
        <v>0</v>
      </c>
      <c r="E13" s="1">
        <v>0</v>
      </c>
      <c r="F13" s="1">
        <v>0</v>
      </c>
      <c r="G13" s="9">
        <f>SUM(DE_FINANCIAL)</f>
        <v>0</v>
      </c>
      <c r="I13" s="13" t="s">
        <v>22</v>
      </c>
      <c r="J13" s="16">
        <v>6483172.1899999995</v>
      </c>
      <c r="L13" s="6"/>
      <c r="V13" s="9"/>
    </row>
    <row r="14" spans="1:22">
      <c r="A14" s="1" t="s">
        <v>23</v>
      </c>
      <c r="B14" s="6">
        <v>0</v>
      </c>
      <c r="C14" s="1">
        <v>0</v>
      </c>
      <c r="D14" s="1">
        <v>0</v>
      </c>
      <c r="E14" s="1">
        <v>0</v>
      </c>
      <c r="F14" s="1">
        <v>0</v>
      </c>
      <c r="G14" s="9">
        <f>SUM(DC_FINANCIAL)</f>
        <v>0</v>
      </c>
      <c r="I14" s="13" t="s">
        <v>24</v>
      </c>
      <c r="J14" s="16">
        <v>1119709.19</v>
      </c>
      <c r="L14" s="6"/>
      <c r="V14" s="9"/>
    </row>
    <row r="15" spans="1:22">
      <c r="A15" s="1" t="s">
        <v>25</v>
      </c>
      <c r="B15" s="6">
        <v>0</v>
      </c>
      <c r="C15" s="1">
        <v>0</v>
      </c>
      <c r="D15" s="1">
        <v>-266841.76664467994</v>
      </c>
      <c r="E15" s="1">
        <v>0</v>
      </c>
      <c r="F15" s="1">
        <v>0</v>
      </c>
      <c r="G15" s="9">
        <f>SUM(FL_FINANCIAL)</f>
        <v>-266841.76664467994</v>
      </c>
      <c r="I15" s="13" t="s">
        <v>26</v>
      </c>
      <c r="J15" s="16">
        <v>1453370.7686441548</v>
      </c>
      <c r="L15" s="6"/>
      <c r="V15" s="9"/>
    </row>
    <row r="16" spans="1:22">
      <c r="A16" s="1" t="s">
        <v>27</v>
      </c>
      <c r="B16" s="6">
        <v>0</v>
      </c>
      <c r="C16" s="1">
        <v>0</v>
      </c>
      <c r="D16" s="1">
        <v>-126376.71997427405</v>
      </c>
      <c r="E16" s="1">
        <v>0</v>
      </c>
      <c r="F16" s="1">
        <v>0</v>
      </c>
      <c r="G16" s="9">
        <f>SUM(GA_FINANCIAL)</f>
        <v>-126376.71997427405</v>
      </c>
      <c r="I16" s="13" t="s">
        <v>28</v>
      </c>
      <c r="J16" s="16">
        <v>0</v>
      </c>
      <c r="L16" s="6"/>
      <c r="V16" s="9"/>
    </row>
    <row r="17" spans="1:22">
      <c r="A17" s="1" t="s">
        <v>29</v>
      </c>
      <c r="B17" s="6">
        <v>0</v>
      </c>
      <c r="C17" s="1">
        <v>0</v>
      </c>
      <c r="D17" s="1">
        <v>0</v>
      </c>
      <c r="E17" s="1">
        <v>0</v>
      </c>
      <c r="F17" s="1">
        <v>0</v>
      </c>
      <c r="G17" s="9">
        <f>SUM(HI_FINANCIAL)</f>
        <v>0</v>
      </c>
      <c r="I17" s="13"/>
      <c r="J17" s="16"/>
      <c r="L17" s="6"/>
      <c r="V17" s="9"/>
    </row>
    <row r="18" spans="1:22">
      <c r="A18" s="1" t="s">
        <v>30</v>
      </c>
      <c r="B18" s="6">
        <v>0</v>
      </c>
      <c r="C18" s="1">
        <v>0</v>
      </c>
      <c r="D18" s="1">
        <v>0</v>
      </c>
      <c r="E18" s="1">
        <v>0</v>
      </c>
      <c r="F18" s="1">
        <v>0</v>
      </c>
      <c r="G18" s="9">
        <f>SUM(ID_FINANCIAL)</f>
        <v>0</v>
      </c>
      <c r="I18" s="13" t="s">
        <v>31</v>
      </c>
      <c r="J18" s="16"/>
      <c r="L18" s="6"/>
      <c r="V18" s="9"/>
    </row>
    <row r="19" spans="1:22">
      <c r="A19" s="1" t="s">
        <v>32</v>
      </c>
      <c r="B19" s="6">
        <v>0</v>
      </c>
      <c r="C19" s="1">
        <v>0</v>
      </c>
      <c r="D19" s="1">
        <v>0</v>
      </c>
      <c r="E19" s="1">
        <v>0</v>
      </c>
      <c r="F19" s="1">
        <v>0</v>
      </c>
      <c r="G19" s="9">
        <f>SUM(IL_FINANCIAL)</f>
        <v>0</v>
      </c>
      <c r="I19" s="13" t="s">
        <v>33</v>
      </c>
      <c r="J19" s="16">
        <v>0</v>
      </c>
      <c r="L19" s="6"/>
      <c r="V19" s="9"/>
    </row>
    <row r="20" spans="1:22">
      <c r="A20" s="1" t="s">
        <v>34</v>
      </c>
      <c r="B20" s="6">
        <v>0</v>
      </c>
      <c r="C20" s="1">
        <v>0</v>
      </c>
      <c r="D20" s="1">
        <v>0</v>
      </c>
      <c r="E20" s="1">
        <v>0</v>
      </c>
      <c r="F20" s="1">
        <v>0</v>
      </c>
      <c r="G20" s="9">
        <f>SUM(IN_FINANCIAL)</f>
        <v>0</v>
      </c>
      <c r="I20" s="13" t="s">
        <v>35</v>
      </c>
      <c r="J20" s="16">
        <v>6483172.1899999995</v>
      </c>
      <c r="L20" s="6"/>
      <c r="V20" s="9"/>
    </row>
    <row r="21" spans="1:22">
      <c r="A21" s="1" t="s">
        <v>36</v>
      </c>
      <c r="B21" s="6">
        <v>0</v>
      </c>
      <c r="C21" s="1">
        <v>0</v>
      </c>
      <c r="D21" s="1">
        <v>0</v>
      </c>
      <c r="E21" s="1">
        <v>0</v>
      </c>
      <c r="F21" s="1">
        <v>0</v>
      </c>
      <c r="G21" s="9">
        <f>SUM(IA_FINANCIAL)</f>
        <v>0</v>
      </c>
      <c r="I21" s="13" t="s">
        <v>37</v>
      </c>
      <c r="J21" s="16"/>
      <c r="L21" s="6"/>
      <c r="V21" s="9"/>
    </row>
    <row r="22" spans="1:22">
      <c r="A22" s="1" t="s">
        <v>38</v>
      </c>
      <c r="B22" s="6">
        <v>0</v>
      </c>
      <c r="C22" s="1">
        <v>0</v>
      </c>
      <c r="D22" s="1">
        <v>0</v>
      </c>
      <c r="E22" s="1">
        <v>0</v>
      </c>
      <c r="F22" s="1">
        <v>0</v>
      </c>
      <c r="G22" s="9">
        <f>SUM(KS_FINANCIAL)</f>
        <v>0</v>
      </c>
      <c r="I22" s="13" t="s">
        <v>39</v>
      </c>
      <c r="J22" s="16">
        <v>0</v>
      </c>
      <c r="L22" s="6"/>
      <c r="V22" s="9"/>
    </row>
    <row r="23" spans="1:22">
      <c r="A23" s="1" t="s">
        <v>40</v>
      </c>
      <c r="B23" s="6">
        <v>0</v>
      </c>
      <c r="C23" s="1">
        <v>0</v>
      </c>
      <c r="D23" s="1">
        <v>0</v>
      </c>
      <c r="E23" s="1">
        <v>0</v>
      </c>
      <c r="F23" s="1">
        <v>0</v>
      </c>
      <c r="G23" s="9">
        <f>SUM(KY_FINANCIAL)</f>
        <v>0</v>
      </c>
      <c r="I23" s="13" t="s">
        <v>41</v>
      </c>
      <c r="J23" s="16"/>
      <c r="L23" s="6"/>
      <c r="V23" s="9"/>
    </row>
    <row r="24" spans="1:22">
      <c r="A24" s="1" t="s">
        <v>42</v>
      </c>
      <c r="B24" s="6">
        <v>0</v>
      </c>
      <c r="C24" s="1">
        <v>0</v>
      </c>
      <c r="D24" s="1">
        <v>-24146.281243947877</v>
      </c>
      <c r="E24" s="1">
        <v>0</v>
      </c>
      <c r="F24" s="1">
        <v>0</v>
      </c>
      <c r="G24" s="9">
        <f>SUM(LA_FINANCIAL)</f>
        <v>-24146.281243947877</v>
      </c>
      <c r="I24" s="13" t="s">
        <v>43</v>
      </c>
      <c r="J24" s="16">
        <v>10213302.939999999</v>
      </c>
      <c r="L24" s="6"/>
      <c r="V24" s="9"/>
    </row>
    <row r="25" spans="1:22">
      <c r="A25" s="1" t="s">
        <v>44</v>
      </c>
      <c r="B25" s="6">
        <v>0</v>
      </c>
      <c r="C25" s="1">
        <v>0</v>
      </c>
      <c r="D25" s="1">
        <v>0</v>
      </c>
      <c r="E25" s="1">
        <v>0</v>
      </c>
      <c r="F25" s="1">
        <v>0</v>
      </c>
      <c r="G25" s="9">
        <f>SUM(ME_FINANCIAL)</f>
        <v>0</v>
      </c>
      <c r="I25" s="13"/>
      <c r="J25" s="16"/>
      <c r="L25" s="6"/>
      <c r="V25" s="9"/>
    </row>
    <row r="26" spans="1:22">
      <c r="A26" s="1" t="s">
        <v>45</v>
      </c>
      <c r="B26" s="6">
        <v>0</v>
      </c>
      <c r="C26" s="1">
        <v>0</v>
      </c>
      <c r="D26" s="1">
        <v>0</v>
      </c>
      <c r="E26" s="1">
        <v>0</v>
      </c>
      <c r="F26" s="1">
        <v>0</v>
      </c>
      <c r="G26" s="9">
        <f>SUM(MD_FINANCIAL)</f>
        <v>0</v>
      </c>
      <c r="I26" s="13" t="s">
        <v>46</v>
      </c>
      <c r="J26" s="16">
        <f>SUM(ADD_FINANCIAL)-SUM(LESS_FINANCIAL)</f>
        <v>-1157050.7913558464</v>
      </c>
      <c r="L26" s="6"/>
      <c r="V26" s="9"/>
    </row>
    <row r="27" spans="1:22">
      <c r="A27" s="1" t="s">
        <v>47</v>
      </c>
      <c r="B27" s="6">
        <v>0</v>
      </c>
      <c r="C27" s="1">
        <v>0</v>
      </c>
      <c r="D27" s="1">
        <v>0</v>
      </c>
      <c r="E27" s="1">
        <v>0</v>
      </c>
      <c r="F27" s="1">
        <v>0</v>
      </c>
      <c r="G27" s="9">
        <f>SUM(MA_FINANCIAL)</f>
        <v>0</v>
      </c>
      <c r="I27" s="13" t="s">
        <v>48</v>
      </c>
      <c r="J27" s="16">
        <f>SUM(ALL_BLOCKS)</f>
        <v>-1157050.7913558462</v>
      </c>
      <c r="L27" s="6"/>
      <c r="V27" s="9"/>
    </row>
    <row r="28" spans="1:22">
      <c r="A28" s="1" t="s">
        <v>49</v>
      </c>
      <c r="B28" s="6">
        <v>0</v>
      </c>
      <c r="C28" s="1">
        <v>0</v>
      </c>
      <c r="D28" s="1">
        <v>0</v>
      </c>
      <c r="E28" s="1">
        <v>0</v>
      </c>
      <c r="F28" s="1">
        <v>0</v>
      </c>
      <c r="G28" s="9">
        <f>SUM(MI_FINANCIAL)</f>
        <v>0</v>
      </c>
      <c r="I28" s="14"/>
      <c r="J28" s="17"/>
      <c r="L28" s="6"/>
      <c r="V28" s="9"/>
    </row>
    <row r="29" spans="1:22">
      <c r="A29" s="1" t="s">
        <v>50</v>
      </c>
      <c r="B29" s="6">
        <v>0</v>
      </c>
      <c r="C29" s="1">
        <v>0</v>
      </c>
      <c r="D29" s="1">
        <v>0</v>
      </c>
      <c r="E29" s="1">
        <v>0</v>
      </c>
      <c r="F29" s="1">
        <v>0</v>
      </c>
      <c r="G29" s="9">
        <f>SUM(MN_FINANCIAL)</f>
        <v>0</v>
      </c>
      <c r="L29" s="6"/>
      <c r="V29" s="9"/>
    </row>
    <row r="30" spans="1:22">
      <c r="A30" s="1" t="s">
        <v>51</v>
      </c>
      <c r="B30" s="6">
        <v>0</v>
      </c>
      <c r="C30" s="1">
        <v>0</v>
      </c>
      <c r="D30" s="1">
        <v>-127333.89198342524</v>
      </c>
      <c r="E30" s="1">
        <v>0</v>
      </c>
      <c r="F30" s="1">
        <v>0</v>
      </c>
      <c r="G30" s="9">
        <f>SUM(MS_FINANCIAL)</f>
        <v>-127333.89198342524</v>
      </c>
      <c r="L30" s="6"/>
      <c r="V30" s="9"/>
    </row>
    <row r="31" spans="1:22">
      <c r="A31" s="1" t="s">
        <v>52</v>
      </c>
      <c r="B31" s="6">
        <v>0</v>
      </c>
      <c r="C31" s="1">
        <v>0</v>
      </c>
      <c r="D31" s="1">
        <v>0</v>
      </c>
      <c r="E31" s="1">
        <v>0</v>
      </c>
      <c r="F31" s="1">
        <v>0</v>
      </c>
      <c r="G31" s="9">
        <f>SUM(MO_FINANCIAL)</f>
        <v>0</v>
      </c>
      <c r="L31" s="6"/>
      <c r="V31" s="9"/>
    </row>
    <row r="32" spans="1:22">
      <c r="A32" s="1" t="s">
        <v>53</v>
      </c>
      <c r="B32" s="6">
        <v>0</v>
      </c>
      <c r="C32" s="1">
        <v>0</v>
      </c>
      <c r="D32" s="1">
        <v>0</v>
      </c>
      <c r="E32" s="1">
        <v>0</v>
      </c>
      <c r="F32" s="1">
        <v>0</v>
      </c>
      <c r="G32" s="9">
        <f>SUM(MT_FINANCIAL)</f>
        <v>0</v>
      </c>
      <c r="L32" s="6"/>
      <c r="V32" s="9"/>
    </row>
    <row r="33" spans="1:22">
      <c r="A33" s="1" t="s">
        <v>54</v>
      </c>
      <c r="B33" s="6">
        <v>0</v>
      </c>
      <c r="C33" s="1">
        <v>0</v>
      </c>
      <c r="D33" s="1">
        <v>0</v>
      </c>
      <c r="E33" s="1">
        <v>0</v>
      </c>
      <c r="F33" s="1">
        <v>0</v>
      </c>
      <c r="G33" s="9">
        <f>SUM(NE_FINANCIAL)</f>
        <v>0</v>
      </c>
      <c r="L33" s="6"/>
      <c r="V33" s="9"/>
    </row>
    <row r="34" spans="1:22">
      <c r="A34" s="1" t="s">
        <v>55</v>
      </c>
      <c r="B34" s="6">
        <v>0</v>
      </c>
      <c r="C34" s="1">
        <v>0</v>
      </c>
      <c r="D34" s="1">
        <v>-10011.045211663213</v>
      </c>
      <c r="E34" s="1">
        <v>0</v>
      </c>
      <c r="F34" s="1">
        <v>0</v>
      </c>
      <c r="G34" s="9">
        <f>SUM(NV_FINANCIAL)</f>
        <v>-10011.045211663213</v>
      </c>
      <c r="L34" s="6"/>
      <c r="V34" s="9"/>
    </row>
    <row r="35" spans="1:22">
      <c r="A35" s="1" t="s">
        <v>56</v>
      </c>
      <c r="B35" s="6">
        <v>0</v>
      </c>
      <c r="C35" s="1">
        <v>0</v>
      </c>
      <c r="D35" s="1">
        <v>0</v>
      </c>
      <c r="E35" s="1">
        <v>0</v>
      </c>
      <c r="F35" s="1">
        <v>0</v>
      </c>
      <c r="G35" s="9">
        <f>SUM(NH_FINANCIAL)</f>
        <v>0</v>
      </c>
      <c r="L35" s="6"/>
      <c r="V35" s="9"/>
    </row>
    <row r="36" spans="1:22">
      <c r="A36" s="1" t="s">
        <v>57</v>
      </c>
      <c r="B36" s="6">
        <v>0</v>
      </c>
      <c r="C36" s="1">
        <v>0</v>
      </c>
      <c r="D36" s="1">
        <v>0</v>
      </c>
      <c r="E36" s="1">
        <v>0</v>
      </c>
      <c r="F36" s="1">
        <v>0</v>
      </c>
      <c r="G36" s="9">
        <f>SUM(NJ_FINANCIAL)</f>
        <v>0</v>
      </c>
      <c r="L36" s="6"/>
      <c r="V36" s="9"/>
    </row>
    <row r="37" spans="1:22">
      <c r="A37" s="1" t="s">
        <v>58</v>
      </c>
      <c r="B37" s="6">
        <v>0</v>
      </c>
      <c r="C37" s="1">
        <v>0</v>
      </c>
      <c r="D37" s="1">
        <v>0</v>
      </c>
      <c r="E37" s="1">
        <v>0</v>
      </c>
      <c r="F37" s="1">
        <v>0</v>
      </c>
      <c r="G37" s="9">
        <f>SUM(NM_FINANCIAL)</f>
        <v>0</v>
      </c>
      <c r="L37" s="6"/>
      <c r="V37" s="9"/>
    </row>
    <row r="38" spans="1:22">
      <c r="A38" s="1" t="s">
        <v>59</v>
      </c>
      <c r="B38" s="6">
        <v>0</v>
      </c>
      <c r="C38" s="1">
        <v>0</v>
      </c>
      <c r="D38" s="1">
        <v>0</v>
      </c>
      <c r="E38" s="1">
        <v>0</v>
      </c>
      <c r="F38" s="1">
        <v>0</v>
      </c>
      <c r="G38" s="9">
        <f>SUM(NY_FINANCIAL)</f>
        <v>0</v>
      </c>
      <c r="L38" s="6"/>
      <c r="V38" s="9"/>
    </row>
    <row r="39" spans="1:22">
      <c r="A39" s="1" t="s">
        <v>60</v>
      </c>
      <c r="B39" s="6">
        <v>0</v>
      </c>
      <c r="C39" s="1">
        <v>0</v>
      </c>
      <c r="D39" s="1">
        <v>-224719.87799057085</v>
      </c>
      <c r="E39" s="1">
        <v>0</v>
      </c>
      <c r="F39" s="1">
        <v>0</v>
      </c>
      <c r="G39" s="9">
        <f>SUM(NC_FINANCIAL)</f>
        <v>-224719.87799057085</v>
      </c>
      <c r="L39" s="6"/>
      <c r="V39" s="9"/>
    </row>
    <row r="40" spans="1:22">
      <c r="A40" s="1" t="s">
        <v>61</v>
      </c>
      <c r="B40" s="6">
        <v>0</v>
      </c>
      <c r="C40" s="1">
        <v>0</v>
      </c>
      <c r="D40" s="1">
        <v>-2.8421709430404007E-14</v>
      </c>
      <c r="E40" s="1">
        <v>0</v>
      </c>
      <c r="F40" s="1">
        <v>0</v>
      </c>
      <c r="G40" s="9">
        <f>SUM(ND_FINANCIAL)</f>
        <v>-2.8421709430404007E-14</v>
      </c>
      <c r="L40" s="6"/>
      <c r="V40" s="9"/>
    </row>
    <row r="41" spans="1:22">
      <c r="A41" s="1" t="s">
        <v>62</v>
      </c>
      <c r="B41" s="6">
        <v>0</v>
      </c>
      <c r="C41" s="1">
        <v>0</v>
      </c>
      <c r="D41" s="1">
        <v>-1739.387748882451</v>
      </c>
      <c r="E41" s="1">
        <v>0</v>
      </c>
      <c r="F41" s="1">
        <v>0</v>
      </c>
      <c r="G41" s="9">
        <f>SUM(OH_FINANCIAL)</f>
        <v>-1739.387748882451</v>
      </c>
      <c r="L41" s="6">
        <v>0</v>
      </c>
      <c r="M41" s="1">
        <v>0</v>
      </c>
      <c r="O41" s="1">
        <v>0</v>
      </c>
      <c r="P41" s="1">
        <v>0</v>
      </c>
      <c r="R41" s="1">
        <v>250000</v>
      </c>
      <c r="S41" s="1">
        <v>0</v>
      </c>
      <c r="U41" s="1">
        <v>0</v>
      </c>
      <c r="V41" s="9">
        <v>0</v>
      </c>
    </row>
    <row r="42" spans="1:22">
      <c r="A42" s="1" t="s">
        <v>63</v>
      </c>
      <c r="B42" s="6">
        <v>0</v>
      </c>
      <c r="C42" s="1">
        <v>0</v>
      </c>
      <c r="D42" s="1">
        <v>-9.0949470177292824E-13</v>
      </c>
      <c r="E42" s="1">
        <v>0</v>
      </c>
      <c r="F42" s="1">
        <v>0</v>
      </c>
      <c r="G42" s="9">
        <f>SUM(OK_FINANCIAL)</f>
        <v>-9.0949470177292824E-13</v>
      </c>
      <c r="L42" s="6"/>
      <c r="V42" s="9"/>
    </row>
    <row r="43" spans="1:22">
      <c r="A43" s="1" t="s">
        <v>64</v>
      </c>
      <c r="B43" s="6">
        <v>0</v>
      </c>
      <c r="C43" s="1">
        <v>0</v>
      </c>
      <c r="D43" s="1">
        <v>0</v>
      </c>
      <c r="E43" s="1">
        <v>0</v>
      </c>
      <c r="F43" s="1">
        <v>0</v>
      </c>
      <c r="G43" s="9">
        <f>SUM(OR_FINANCIAL)</f>
        <v>0</v>
      </c>
      <c r="L43" s="6"/>
      <c r="V43" s="9"/>
    </row>
    <row r="44" spans="1:22">
      <c r="A44" s="1" t="s">
        <v>65</v>
      </c>
      <c r="B44" s="6">
        <v>0</v>
      </c>
      <c r="C44" s="1">
        <v>0</v>
      </c>
      <c r="D44" s="1">
        <v>-61258.056338278344</v>
      </c>
      <c r="E44" s="1">
        <v>0</v>
      </c>
      <c r="F44" s="1">
        <v>0</v>
      </c>
      <c r="G44" s="9">
        <f>SUM(PA_FINANCIAL)</f>
        <v>-61258.056338278344</v>
      </c>
      <c r="L44" s="6"/>
      <c r="V44" s="9"/>
    </row>
    <row r="45" spans="1:22">
      <c r="A45" s="1" t="s">
        <v>66</v>
      </c>
      <c r="B45" s="6">
        <v>0</v>
      </c>
      <c r="C45" s="1">
        <v>0</v>
      </c>
      <c r="D45" s="1">
        <v>0</v>
      </c>
      <c r="E45" s="1">
        <v>0</v>
      </c>
      <c r="F45" s="1">
        <v>0</v>
      </c>
      <c r="G45" s="9">
        <f>SUM(PR_FINANCIAL)</f>
        <v>0</v>
      </c>
      <c r="L45" s="6"/>
      <c r="V45" s="9"/>
    </row>
    <row r="46" spans="1:22">
      <c r="A46" s="1" t="s">
        <v>67</v>
      </c>
      <c r="B46" s="6">
        <v>0</v>
      </c>
      <c r="C46" s="1">
        <v>0</v>
      </c>
      <c r="D46" s="1">
        <v>0</v>
      </c>
      <c r="E46" s="1">
        <v>0</v>
      </c>
      <c r="F46" s="1">
        <v>0</v>
      </c>
      <c r="G46" s="9">
        <f>SUM(RI_FINANCIAL)</f>
        <v>0</v>
      </c>
      <c r="L46" s="6"/>
      <c r="V46" s="9"/>
    </row>
    <row r="47" spans="1:22">
      <c r="A47" s="1" t="s">
        <v>68</v>
      </c>
      <c r="B47" s="6">
        <v>0</v>
      </c>
      <c r="C47" s="1">
        <v>0</v>
      </c>
      <c r="D47" s="1">
        <v>-1362.2917214809277</v>
      </c>
      <c r="E47" s="1">
        <v>0</v>
      </c>
      <c r="F47" s="1">
        <v>0</v>
      </c>
      <c r="G47" s="9">
        <f>SUM(SC_FINANCIAL)</f>
        <v>-1362.2917214809277</v>
      </c>
      <c r="L47" s="6"/>
      <c r="V47" s="9"/>
    </row>
    <row r="48" spans="1:22">
      <c r="A48" s="1" t="s">
        <v>69</v>
      </c>
      <c r="B48" s="6">
        <v>0</v>
      </c>
      <c r="C48" s="1">
        <v>0</v>
      </c>
      <c r="D48" s="1">
        <v>-5.6843418860808015E-14</v>
      </c>
      <c r="E48" s="1">
        <v>0</v>
      </c>
      <c r="F48" s="1">
        <v>0</v>
      </c>
      <c r="G48" s="9">
        <f>SUM(SD_FINANCIAL)</f>
        <v>-5.6843418860808015E-14</v>
      </c>
      <c r="L48" s="6"/>
      <c r="V48" s="9"/>
    </row>
    <row r="49" spans="1:22">
      <c r="A49" s="1" t="s">
        <v>70</v>
      </c>
      <c r="B49" s="6">
        <v>0</v>
      </c>
      <c r="C49" s="1">
        <v>0</v>
      </c>
      <c r="D49" s="1">
        <v>0</v>
      </c>
      <c r="E49" s="1">
        <v>0</v>
      </c>
      <c r="F49" s="1">
        <v>0</v>
      </c>
      <c r="G49" s="9">
        <f>SUM(TN_FINANCIAL)</f>
        <v>0</v>
      </c>
      <c r="L49" s="6"/>
      <c r="V49" s="9"/>
    </row>
    <row r="50" spans="1:22">
      <c r="A50" s="1" t="s">
        <v>71</v>
      </c>
      <c r="B50" s="6">
        <v>0</v>
      </c>
      <c r="C50" s="1">
        <v>0</v>
      </c>
      <c r="D50" s="1">
        <v>-121445.05835054323</v>
      </c>
      <c r="E50" s="1">
        <v>0</v>
      </c>
      <c r="F50" s="1">
        <v>0</v>
      </c>
      <c r="G50" s="9">
        <f>SUM(TX_FINANCIAL)</f>
        <v>-121445.05835054323</v>
      </c>
      <c r="L50" s="6"/>
      <c r="V50" s="9"/>
    </row>
    <row r="51" spans="1:22">
      <c r="A51" s="1" t="s">
        <v>72</v>
      </c>
      <c r="B51" s="6">
        <v>0</v>
      </c>
      <c r="C51" s="1">
        <v>0</v>
      </c>
      <c r="D51" s="1">
        <v>-29452.235689669898</v>
      </c>
      <c r="E51" s="1">
        <v>0</v>
      </c>
      <c r="F51" s="1">
        <v>0</v>
      </c>
      <c r="G51" s="9">
        <f>SUM(UT_FINANCIAL)</f>
        <v>-29452.235689669898</v>
      </c>
      <c r="L51" s="6"/>
      <c r="V51" s="9"/>
    </row>
    <row r="52" spans="1:22">
      <c r="A52" s="1" t="s">
        <v>73</v>
      </c>
      <c r="B52" s="6">
        <v>0</v>
      </c>
      <c r="C52" s="1">
        <v>0</v>
      </c>
      <c r="D52" s="1">
        <v>0</v>
      </c>
      <c r="E52" s="1">
        <v>0</v>
      </c>
      <c r="F52" s="1">
        <v>0</v>
      </c>
      <c r="G52" s="9">
        <f>SUM(VT_FINANCIAL)</f>
        <v>0</v>
      </c>
      <c r="L52" s="6"/>
      <c r="V52" s="9"/>
    </row>
    <row r="53" spans="1:22">
      <c r="A53" s="1" t="s">
        <v>74</v>
      </c>
      <c r="B53" s="6">
        <v>0</v>
      </c>
      <c r="C53" s="1">
        <v>0</v>
      </c>
      <c r="D53" s="1">
        <v>0</v>
      </c>
      <c r="E53" s="1">
        <v>0</v>
      </c>
      <c r="F53" s="1">
        <v>0</v>
      </c>
      <c r="G53" s="9">
        <f>SUM(VA_FINANCIAL)</f>
        <v>0</v>
      </c>
      <c r="L53" s="6"/>
      <c r="V53" s="9"/>
    </row>
    <row r="54" spans="1:22">
      <c r="A54" s="1" t="s">
        <v>75</v>
      </c>
      <c r="B54" s="6">
        <v>0</v>
      </c>
      <c r="C54" s="1">
        <v>0</v>
      </c>
      <c r="D54" s="1">
        <v>0</v>
      </c>
      <c r="E54" s="1">
        <v>0</v>
      </c>
      <c r="F54" s="1">
        <v>0</v>
      </c>
      <c r="G54" s="9">
        <f>SUM(WA_FINANCIAL)</f>
        <v>0</v>
      </c>
      <c r="L54" s="6"/>
      <c r="V54" s="9"/>
    </row>
    <row r="55" spans="1:22">
      <c r="A55" s="1" t="s">
        <v>76</v>
      </c>
      <c r="B55" s="6">
        <v>0</v>
      </c>
      <c r="C55" s="1">
        <v>0</v>
      </c>
      <c r="D55" s="1">
        <v>0</v>
      </c>
      <c r="E55" s="1">
        <v>0</v>
      </c>
      <c r="F55" s="1">
        <v>0</v>
      </c>
      <c r="G55" s="9">
        <f>SUM(WV_FINANCIAL)</f>
        <v>0</v>
      </c>
      <c r="L55" s="6"/>
      <c r="V55" s="9"/>
    </row>
    <row r="56" spans="1:22">
      <c r="A56" s="1" t="s">
        <v>77</v>
      </c>
      <c r="B56" s="6">
        <v>0</v>
      </c>
      <c r="C56" s="1">
        <v>0</v>
      </c>
      <c r="D56" s="1">
        <v>0</v>
      </c>
      <c r="E56" s="1">
        <v>0</v>
      </c>
      <c r="F56" s="1">
        <v>0</v>
      </c>
      <c r="G56" s="9">
        <f>SUM(WI_FINANCIAL)</f>
        <v>0</v>
      </c>
      <c r="L56" s="6"/>
      <c r="V56" s="9"/>
    </row>
    <row r="57" spans="1:22">
      <c r="A57" s="1" t="s">
        <v>78</v>
      </c>
      <c r="B57" s="6">
        <v>0</v>
      </c>
      <c r="C57" s="1">
        <v>0</v>
      </c>
      <c r="D57" s="1">
        <v>0</v>
      </c>
      <c r="E57" s="1">
        <v>0</v>
      </c>
      <c r="F57" s="1">
        <v>0</v>
      </c>
      <c r="G57" s="9">
        <f>SUM(WY_FINANCIAL)</f>
        <v>0</v>
      </c>
      <c r="L57" s="6"/>
      <c r="V57" s="9"/>
    </row>
    <row r="58" spans="1:22">
      <c r="A58" s="1" t="s">
        <v>79</v>
      </c>
      <c r="B58" s="6">
        <v>0</v>
      </c>
      <c r="C58" s="1">
        <v>0</v>
      </c>
      <c r="D58" s="1">
        <v>0</v>
      </c>
      <c r="E58" s="1">
        <v>0</v>
      </c>
      <c r="F58" s="1">
        <v>0</v>
      </c>
      <c r="G58" s="9">
        <f>SUM(OT_FINANCIAL)</f>
        <v>0</v>
      </c>
      <c r="L58" s="6"/>
      <c r="V58" s="9"/>
    </row>
    <row r="59" spans="1:22">
      <c r="B59" s="6"/>
      <c r="G59" s="9"/>
      <c r="L59" s="6"/>
      <c r="V59" s="9"/>
    </row>
    <row r="60" spans="1:22">
      <c r="A60" s="1" t="s">
        <v>8</v>
      </c>
      <c r="B60" s="6">
        <f>SUM(LIFE)</f>
        <v>0</v>
      </c>
      <c r="C60" s="1">
        <f>SUM(ALLOCATED)</f>
        <v>0</v>
      </c>
      <c r="D60" s="1">
        <f>SUM(HEALTH)</f>
        <v>-1157050.7913558462</v>
      </c>
      <c r="E60" s="1">
        <f>SUM(UNALLOCATED)</f>
        <v>0</v>
      </c>
      <c r="F60" s="1">
        <f>SUM(LTC)</f>
        <v>0</v>
      </c>
      <c r="G60" s="9">
        <f>SUM(ALL_BLOCKS)</f>
        <v>-1157050.7913558462</v>
      </c>
      <c r="L60" s="6">
        <f>SUM(LIFE_CALLED)</f>
        <v>0</v>
      </c>
      <c r="M60" s="1">
        <f>SUM(LIFE_REFUNDED)</f>
        <v>0</v>
      </c>
      <c r="O60" s="1">
        <f>SUM(ALLOC_CALLED)</f>
        <v>0</v>
      </c>
      <c r="P60" s="1">
        <f>SUM(ALLOC_REFUNDED)</f>
        <v>0</v>
      </c>
      <c r="R60" s="1">
        <f>SUM(HEALTH_CALLED)</f>
        <v>250000</v>
      </c>
      <c r="S60" s="1">
        <f>SUM(HEALTH_REFUNDED)</f>
        <v>0</v>
      </c>
      <c r="U60" s="1">
        <f>SUM(UNALLOC_CALLED)</f>
        <v>0</v>
      </c>
      <c r="V60" s="9">
        <f>SUM(UNALLOC_REFUNDED)</f>
        <v>0</v>
      </c>
    </row>
    <row r="61" spans="1:22" ht="5.0999999999999996" customHeight="1">
      <c r="B61" s="6"/>
      <c r="G61" s="9"/>
      <c r="L61" s="6"/>
      <c r="V61" s="9"/>
    </row>
    <row r="62" spans="1:22">
      <c r="B62" s="6"/>
      <c r="G62" s="9"/>
      <c r="L62" s="78" t="s">
        <v>80</v>
      </c>
      <c r="M62" s="79"/>
      <c r="N62" s="79"/>
      <c r="O62" s="79"/>
      <c r="P62" s="79"/>
      <c r="Q62" s="79"/>
      <c r="R62" s="79"/>
      <c r="S62" s="79"/>
      <c r="T62" s="79"/>
      <c r="U62" s="79"/>
      <c r="V62" s="80"/>
    </row>
    <row r="63" spans="1:22">
      <c r="B63" s="6"/>
      <c r="G63" s="9"/>
      <c r="L63" s="81"/>
      <c r="M63" s="79"/>
      <c r="N63" s="79"/>
      <c r="O63" s="79"/>
      <c r="P63" s="79"/>
      <c r="Q63" s="79"/>
      <c r="R63" s="79"/>
      <c r="S63" s="79"/>
      <c r="T63" s="79"/>
      <c r="U63" s="79"/>
      <c r="V63" s="80"/>
    </row>
    <row r="64" spans="1:22">
      <c r="B64" s="8"/>
      <c r="C64" s="5"/>
      <c r="D64" s="5"/>
      <c r="E64" s="5"/>
      <c r="F64" s="5"/>
      <c r="G64" s="11"/>
      <c r="L64" s="82"/>
      <c r="M64" s="83"/>
      <c r="N64" s="83"/>
      <c r="O64" s="83"/>
      <c r="P64" s="83"/>
      <c r="Q64" s="83"/>
      <c r="R64" s="83"/>
      <c r="S64" s="83"/>
      <c r="T64" s="83"/>
      <c r="U64" s="83"/>
      <c r="V64" s="84"/>
    </row>
  </sheetData>
  <mergeCells count="8">
    <mergeCell ref="L62:V64"/>
    <mergeCell ref="A1:G1"/>
    <mergeCell ref="B3:G3"/>
    <mergeCell ref="L3:V3"/>
    <mergeCell ref="L4:M4"/>
    <mergeCell ref="O4:P4"/>
    <mergeCell ref="R4:S4"/>
    <mergeCell ref="U4:V4"/>
  </mergeCells>
  <pageMargins left="0" right="0" top="0" bottom="0" header="0" footer="0"/>
  <pageSetup scale="48" orientation="landscape"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pageSetUpPr fitToPage="1"/>
  </sheetPr>
  <dimension ref="A1:V64"/>
  <sheetViews>
    <sheetView zoomScale="75" workbookViewId="0">
      <selection sqref="A1:G1"/>
    </sheetView>
  </sheetViews>
  <sheetFormatPr defaultColWidth="9.109375" defaultRowHeight="14.4"/>
  <cols>
    <col min="1" max="1" width="20" style="1" customWidth="1"/>
    <col min="2" max="7" width="15" style="1" customWidth="1"/>
    <col min="8" max="8" width="1" style="1" customWidth="1"/>
    <col min="9" max="9" width="30" style="1" customWidth="1"/>
    <col min="10" max="10" width="15" style="1" customWidth="1"/>
    <col min="11" max="11" width="1" style="1" customWidth="1"/>
    <col min="12" max="13" width="15" style="1" customWidth="1"/>
    <col min="14" max="14" width="1" style="1" customWidth="1"/>
    <col min="15" max="16" width="15" style="1" customWidth="1"/>
    <col min="17" max="17" width="1" style="1" customWidth="1"/>
    <col min="18" max="19" width="15" style="1" customWidth="1"/>
    <col min="20" max="20" width="1" style="1" customWidth="1"/>
    <col min="21" max="22" width="15" style="1" customWidth="1"/>
    <col min="23" max="23" width="9.109375" style="1" customWidth="1"/>
    <col min="24" max="16384" width="9.109375" style="1"/>
  </cols>
  <sheetData>
    <row r="1" spans="1:22">
      <c r="A1" s="85" t="s">
        <v>177</v>
      </c>
      <c r="B1" s="79"/>
      <c r="C1" s="79"/>
      <c r="D1" s="79"/>
      <c r="E1" s="79"/>
      <c r="F1" s="79"/>
      <c r="G1" s="79"/>
    </row>
    <row r="3" spans="1:22">
      <c r="B3" s="86" t="s">
        <v>1</v>
      </c>
      <c r="C3" s="87"/>
      <c r="D3" s="87"/>
      <c r="E3" s="87"/>
      <c r="F3" s="87"/>
      <c r="G3" s="88"/>
      <c r="L3" s="89" t="s">
        <v>2</v>
      </c>
      <c r="M3" s="90"/>
      <c r="N3" s="90"/>
      <c r="O3" s="90"/>
      <c r="P3" s="90"/>
      <c r="Q3" s="90"/>
      <c r="R3" s="90"/>
      <c r="S3" s="90"/>
      <c r="T3" s="90"/>
      <c r="U3" s="90"/>
      <c r="V3" s="91"/>
    </row>
    <row r="4" spans="1:22">
      <c r="B4" s="6"/>
      <c r="G4" s="9"/>
      <c r="L4" s="92" t="s">
        <v>3</v>
      </c>
      <c r="M4" s="93"/>
      <c r="N4" s="3"/>
      <c r="O4" s="94" t="s">
        <v>4</v>
      </c>
      <c r="P4" s="93"/>
      <c r="Q4" s="3"/>
      <c r="R4" s="94" t="s">
        <v>5</v>
      </c>
      <c r="S4" s="93"/>
      <c r="T4" s="3"/>
      <c r="U4" s="94" t="s">
        <v>6</v>
      </c>
      <c r="V4" s="95"/>
    </row>
    <row r="5" spans="1:22" ht="60" customHeight="1">
      <c r="B5" s="7" t="s">
        <v>3</v>
      </c>
      <c r="C5" s="4" t="s">
        <v>4</v>
      </c>
      <c r="D5" s="4" t="s">
        <v>5</v>
      </c>
      <c r="E5" s="4" t="s">
        <v>6</v>
      </c>
      <c r="F5" s="4" t="s">
        <v>7</v>
      </c>
      <c r="G5" s="10" t="s">
        <v>8</v>
      </c>
      <c r="L5" s="19" t="s">
        <v>9</v>
      </c>
      <c r="M5" s="18" t="s">
        <v>10</v>
      </c>
      <c r="N5" s="18"/>
      <c r="O5" s="18" t="s">
        <v>9</v>
      </c>
      <c r="P5" s="18" t="s">
        <v>10</v>
      </c>
      <c r="Q5" s="18"/>
      <c r="R5" s="18" t="s">
        <v>9</v>
      </c>
      <c r="S5" s="18" t="s">
        <v>10</v>
      </c>
      <c r="T5" s="18"/>
      <c r="U5" s="18" t="s">
        <v>9</v>
      </c>
      <c r="V5" s="20" t="s">
        <v>10</v>
      </c>
    </row>
    <row r="6" spans="1:22">
      <c r="A6" s="1" t="s">
        <v>11</v>
      </c>
      <c r="B6" s="6">
        <v>3701852.9735199437</v>
      </c>
      <c r="C6" s="1">
        <v>0</v>
      </c>
      <c r="D6" s="1">
        <v>-12479.913186048943</v>
      </c>
      <c r="E6" s="1">
        <v>0</v>
      </c>
      <c r="F6" s="1">
        <v>0</v>
      </c>
      <c r="G6" s="9">
        <f>SUM(AL_FINANCIAL)</f>
        <v>3689373.0603338946</v>
      </c>
      <c r="L6" s="6"/>
      <c r="V6" s="9"/>
    </row>
    <row r="7" spans="1:22">
      <c r="A7" s="1" t="s">
        <v>12</v>
      </c>
      <c r="B7" s="6">
        <v>0</v>
      </c>
      <c r="C7" s="1">
        <v>0</v>
      </c>
      <c r="D7" s="1">
        <v>0</v>
      </c>
      <c r="E7" s="1">
        <v>0</v>
      </c>
      <c r="F7" s="1">
        <v>0</v>
      </c>
      <c r="G7" s="9">
        <f>SUM(AK_FINANCIAL)</f>
        <v>0</v>
      </c>
      <c r="I7" s="12"/>
      <c r="J7" s="15"/>
      <c r="L7" s="6"/>
      <c r="V7" s="9"/>
    </row>
    <row r="8" spans="1:22">
      <c r="A8" s="1" t="s">
        <v>13</v>
      </c>
      <c r="B8" s="6">
        <v>0</v>
      </c>
      <c r="C8" s="1">
        <v>0</v>
      </c>
      <c r="D8" s="1">
        <v>0</v>
      </c>
      <c r="E8" s="1">
        <v>0</v>
      </c>
      <c r="F8" s="1">
        <v>0</v>
      </c>
      <c r="G8" s="9">
        <f>SUM(AZ_FINANCIAL)</f>
        <v>0</v>
      </c>
      <c r="I8" s="13" t="s">
        <v>14</v>
      </c>
      <c r="J8" s="16"/>
      <c r="L8" s="6"/>
      <c r="V8" s="9"/>
    </row>
    <row r="9" spans="1:22">
      <c r="A9" s="1" t="s">
        <v>15</v>
      </c>
      <c r="B9" s="6">
        <v>-62017.567683940288</v>
      </c>
      <c r="C9" s="1">
        <v>0</v>
      </c>
      <c r="D9" s="1">
        <v>1319.6608378686424</v>
      </c>
      <c r="E9" s="1">
        <v>0</v>
      </c>
      <c r="F9" s="1">
        <v>0</v>
      </c>
      <c r="G9" s="9">
        <f>SUM(AR_FINANCIAL)</f>
        <v>-60697.906846071644</v>
      </c>
      <c r="I9" s="13"/>
      <c r="J9" s="16"/>
      <c r="L9" s="6">
        <v>0</v>
      </c>
      <c r="M9" s="1">
        <v>0</v>
      </c>
      <c r="O9" s="1">
        <v>0</v>
      </c>
      <c r="P9" s="1">
        <v>0</v>
      </c>
      <c r="R9" s="1">
        <v>0</v>
      </c>
      <c r="S9" s="1">
        <v>0</v>
      </c>
      <c r="U9" s="1">
        <v>0</v>
      </c>
      <c r="V9" s="9">
        <v>0</v>
      </c>
    </row>
    <row r="10" spans="1:22">
      <c r="A10" s="1" t="s">
        <v>16</v>
      </c>
      <c r="B10" s="6">
        <v>23901.270242434694</v>
      </c>
      <c r="C10" s="1">
        <v>0</v>
      </c>
      <c r="D10" s="1">
        <v>8.6093492871936235</v>
      </c>
      <c r="E10" s="1">
        <v>0</v>
      </c>
      <c r="F10" s="1">
        <v>0</v>
      </c>
      <c r="G10" s="9">
        <f>SUM(CA_FINANCIAL)</f>
        <v>23909.879591721889</v>
      </c>
      <c r="I10" s="13" t="s">
        <v>17</v>
      </c>
      <c r="J10" s="16">
        <v>11533756.651999991</v>
      </c>
      <c r="L10" s="6"/>
      <c r="V10" s="9"/>
    </row>
    <row r="11" spans="1:22">
      <c r="A11" s="1" t="s">
        <v>18</v>
      </c>
      <c r="B11" s="6">
        <v>0</v>
      </c>
      <c r="C11" s="1">
        <v>0</v>
      </c>
      <c r="D11" s="1">
        <v>0</v>
      </c>
      <c r="E11" s="1">
        <v>0</v>
      </c>
      <c r="F11" s="1">
        <v>0</v>
      </c>
      <c r="G11" s="9">
        <f>SUM(CO_FINANCIAL)</f>
        <v>0</v>
      </c>
      <c r="I11" s="13"/>
      <c r="J11" s="16"/>
      <c r="L11" s="6"/>
      <c r="V11" s="9"/>
    </row>
    <row r="12" spans="1:22">
      <c r="A12" s="1" t="s">
        <v>19</v>
      </c>
      <c r="B12" s="6">
        <v>0</v>
      </c>
      <c r="C12" s="1">
        <v>0</v>
      </c>
      <c r="D12" s="1">
        <v>0</v>
      </c>
      <c r="E12" s="1">
        <v>0</v>
      </c>
      <c r="F12" s="1">
        <v>0</v>
      </c>
      <c r="G12" s="9">
        <f>SUM(CT_FINANCIAL)</f>
        <v>0</v>
      </c>
      <c r="I12" s="13" t="s">
        <v>20</v>
      </c>
      <c r="J12" s="16"/>
      <c r="L12" s="6"/>
      <c r="V12" s="9"/>
    </row>
    <row r="13" spans="1:22">
      <c r="A13" s="1" t="s">
        <v>21</v>
      </c>
      <c r="B13" s="6">
        <v>0</v>
      </c>
      <c r="C13" s="1">
        <v>0</v>
      </c>
      <c r="D13" s="1">
        <v>0</v>
      </c>
      <c r="E13" s="1">
        <v>0</v>
      </c>
      <c r="F13" s="1">
        <v>0</v>
      </c>
      <c r="G13" s="9">
        <f>SUM(DE_FINANCIAL)</f>
        <v>0</v>
      </c>
      <c r="I13" s="13" t="s">
        <v>22</v>
      </c>
      <c r="J13" s="16">
        <v>2292354.4820000003</v>
      </c>
      <c r="L13" s="6"/>
      <c r="V13" s="9"/>
    </row>
    <row r="14" spans="1:22">
      <c r="A14" s="1" t="s">
        <v>23</v>
      </c>
      <c r="B14" s="6">
        <v>1367.108596755279</v>
      </c>
      <c r="C14" s="1">
        <v>0</v>
      </c>
      <c r="D14" s="1">
        <v>-0.37581067401151813</v>
      </c>
      <c r="E14" s="1">
        <v>0</v>
      </c>
      <c r="F14" s="1">
        <v>0</v>
      </c>
      <c r="G14" s="9">
        <f>SUM(DC_FINANCIAL)</f>
        <v>1366.7327860812675</v>
      </c>
      <c r="I14" s="13" t="s">
        <v>24</v>
      </c>
      <c r="J14" s="16">
        <v>0</v>
      </c>
      <c r="L14" s="6"/>
      <c r="V14" s="9"/>
    </row>
    <row r="15" spans="1:22">
      <c r="A15" s="1" t="s">
        <v>25</v>
      </c>
      <c r="B15" s="6">
        <v>0</v>
      </c>
      <c r="C15" s="1">
        <v>0</v>
      </c>
      <c r="D15" s="1">
        <v>0</v>
      </c>
      <c r="E15" s="1">
        <v>0</v>
      </c>
      <c r="F15" s="1">
        <v>0</v>
      </c>
      <c r="G15" s="9">
        <f>SUM(FL_FINANCIAL)</f>
        <v>0</v>
      </c>
      <c r="I15" s="13" t="s">
        <v>26</v>
      </c>
      <c r="J15" s="16">
        <v>5459228.1398814498</v>
      </c>
      <c r="L15" s="6"/>
      <c r="V15" s="9"/>
    </row>
    <row r="16" spans="1:22">
      <c r="A16" s="1" t="s">
        <v>27</v>
      </c>
      <c r="B16" s="6">
        <v>0</v>
      </c>
      <c r="C16" s="1">
        <v>0</v>
      </c>
      <c r="D16" s="1">
        <v>0</v>
      </c>
      <c r="E16" s="1">
        <v>0</v>
      </c>
      <c r="F16" s="1">
        <v>0</v>
      </c>
      <c r="G16" s="9">
        <f>SUM(GA_FINANCIAL)</f>
        <v>0</v>
      </c>
      <c r="I16" s="13" t="s">
        <v>28</v>
      </c>
      <c r="J16" s="16">
        <v>9241402.1699999906</v>
      </c>
      <c r="L16" s="6"/>
      <c r="V16" s="9"/>
    </row>
    <row r="17" spans="1:22">
      <c r="A17" s="1" t="s">
        <v>29</v>
      </c>
      <c r="B17" s="6">
        <v>0</v>
      </c>
      <c r="C17" s="1">
        <v>0</v>
      </c>
      <c r="D17" s="1">
        <v>0</v>
      </c>
      <c r="E17" s="1">
        <v>0</v>
      </c>
      <c r="F17" s="1">
        <v>0</v>
      </c>
      <c r="G17" s="9">
        <f>SUM(HI_FINANCIAL)</f>
        <v>0</v>
      </c>
      <c r="I17" s="13"/>
      <c r="J17" s="16"/>
      <c r="L17" s="6"/>
      <c r="V17" s="9"/>
    </row>
    <row r="18" spans="1:22">
      <c r="A18" s="1" t="s">
        <v>30</v>
      </c>
      <c r="B18" s="6">
        <v>0</v>
      </c>
      <c r="C18" s="1">
        <v>0</v>
      </c>
      <c r="D18" s="1">
        <v>0</v>
      </c>
      <c r="E18" s="1">
        <v>0</v>
      </c>
      <c r="F18" s="1">
        <v>0</v>
      </c>
      <c r="G18" s="9">
        <f>SUM(ID_FINANCIAL)</f>
        <v>0</v>
      </c>
      <c r="I18" s="13" t="s">
        <v>31</v>
      </c>
      <c r="J18" s="16"/>
      <c r="L18" s="6"/>
      <c r="V18" s="9"/>
    </row>
    <row r="19" spans="1:22">
      <c r="A19" s="1" t="s">
        <v>32</v>
      </c>
      <c r="B19" s="6">
        <v>0</v>
      </c>
      <c r="C19" s="1">
        <v>0</v>
      </c>
      <c r="D19" s="1">
        <v>0</v>
      </c>
      <c r="E19" s="1">
        <v>0</v>
      </c>
      <c r="F19" s="1">
        <v>0</v>
      </c>
      <c r="G19" s="9">
        <f>SUM(IL_FINANCIAL)</f>
        <v>0</v>
      </c>
      <c r="I19" s="13" t="s">
        <v>33</v>
      </c>
      <c r="J19" s="16">
        <v>0</v>
      </c>
      <c r="L19" s="6"/>
      <c r="V19" s="9"/>
    </row>
    <row r="20" spans="1:22">
      <c r="A20" s="1" t="s">
        <v>34</v>
      </c>
      <c r="B20" s="6">
        <v>0</v>
      </c>
      <c r="C20" s="1">
        <v>0</v>
      </c>
      <c r="D20" s="1">
        <v>0</v>
      </c>
      <c r="E20" s="1">
        <v>0</v>
      </c>
      <c r="F20" s="1">
        <v>0</v>
      </c>
      <c r="G20" s="9">
        <f>SUM(IN_FINANCIAL)</f>
        <v>0</v>
      </c>
      <c r="I20" s="13" t="s">
        <v>35</v>
      </c>
      <c r="J20" s="16">
        <v>11533756.651999991</v>
      </c>
      <c r="L20" s="6"/>
      <c r="V20" s="9"/>
    </row>
    <row r="21" spans="1:22">
      <c r="A21" s="1" t="s">
        <v>36</v>
      </c>
      <c r="B21" s="6">
        <v>0</v>
      </c>
      <c r="C21" s="1">
        <v>0</v>
      </c>
      <c r="D21" s="1">
        <v>0</v>
      </c>
      <c r="E21" s="1">
        <v>0</v>
      </c>
      <c r="F21" s="1">
        <v>0</v>
      </c>
      <c r="G21" s="9">
        <f>SUM(IA_FINANCIAL)</f>
        <v>0</v>
      </c>
      <c r="I21" s="13" t="s">
        <v>37</v>
      </c>
      <c r="J21" s="16"/>
      <c r="L21" s="6"/>
      <c r="V21" s="9"/>
    </row>
    <row r="22" spans="1:22">
      <c r="A22" s="1" t="s">
        <v>38</v>
      </c>
      <c r="B22" s="6">
        <v>8504.155307520723</v>
      </c>
      <c r="C22" s="1">
        <v>0</v>
      </c>
      <c r="D22" s="1">
        <v>73.101893919885697</v>
      </c>
      <c r="E22" s="1">
        <v>0</v>
      </c>
      <c r="F22" s="1">
        <v>0</v>
      </c>
      <c r="G22" s="9">
        <f>SUM(KS_FINANCIAL)</f>
        <v>8577.2572014406087</v>
      </c>
      <c r="I22" s="13" t="s">
        <v>39</v>
      </c>
      <c r="J22" s="16">
        <v>0</v>
      </c>
      <c r="L22" s="6"/>
      <c r="V22" s="9"/>
    </row>
    <row r="23" spans="1:22">
      <c r="A23" s="1" t="s">
        <v>40</v>
      </c>
      <c r="B23" s="6">
        <v>0</v>
      </c>
      <c r="C23" s="1">
        <v>0</v>
      </c>
      <c r="D23" s="1">
        <v>0</v>
      </c>
      <c r="E23" s="1">
        <v>0</v>
      </c>
      <c r="F23" s="1">
        <v>0</v>
      </c>
      <c r="G23" s="9">
        <f>SUM(KY_FINANCIAL)</f>
        <v>0</v>
      </c>
      <c r="I23" s="13" t="s">
        <v>41</v>
      </c>
      <c r="J23" s="16"/>
      <c r="L23" s="6"/>
      <c r="V23" s="9"/>
    </row>
    <row r="24" spans="1:22">
      <c r="A24" s="1" t="s">
        <v>42</v>
      </c>
      <c r="B24" s="6">
        <v>124465.52146924892</v>
      </c>
      <c r="C24" s="1">
        <v>0</v>
      </c>
      <c r="D24" s="1">
        <v>159.94097594617517</v>
      </c>
      <c r="E24" s="1">
        <v>0</v>
      </c>
      <c r="F24" s="1">
        <v>0</v>
      </c>
      <c r="G24" s="9">
        <f>SUM(LA_FINANCIAL)</f>
        <v>124625.46244519509</v>
      </c>
      <c r="I24" s="13" t="s">
        <v>43</v>
      </c>
      <c r="J24" s="16">
        <v>12721559.000000002</v>
      </c>
      <c r="L24" s="6"/>
      <c r="V24" s="9"/>
    </row>
    <row r="25" spans="1:22">
      <c r="A25" s="1" t="s">
        <v>44</v>
      </c>
      <c r="B25" s="6">
        <v>0</v>
      </c>
      <c r="C25" s="1">
        <v>0</v>
      </c>
      <c r="D25" s="1">
        <v>0</v>
      </c>
      <c r="E25" s="1">
        <v>0</v>
      </c>
      <c r="F25" s="1">
        <v>0</v>
      </c>
      <c r="G25" s="9">
        <f>SUM(ME_FINANCIAL)</f>
        <v>0</v>
      </c>
      <c r="I25" s="13"/>
      <c r="J25" s="16"/>
      <c r="L25" s="6"/>
      <c r="V25" s="9"/>
    </row>
    <row r="26" spans="1:22">
      <c r="A26" s="1" t="s">
        <v>45</v>
      </c>
      <c r="B26" s="6">
        <v>0</v>
      </c>
      <c r="C26" s="1">
        <v>0</v>
      </c>
      <c r="D26" s="1">
        <v>0</v>
      </c>
      <c r="E26" s="1">
        <v>0</v>
      </c>
      <c r="F26" s="1">
        <v>0</v>
      </c>
      <c r="G26" s="9">
        <f>SUM(MD_FINANCIAL)</f>
        <v>0</v>
      </c>
      <c r="I26" s="13" t="s">
        <v>46</v>
      </c>
      <c r="J26" s="16">
        <f>SUM(ADD_FINANCIAL)-SUM(LESS_FINANCIAL)</f>
        <v>4271425.7918814383</v>
      </c>
      <c r="L26" s="6"/>
      <c r="V26" s="9"/>
    </row>
    <row r="27" spans="1:22">
      <c r="A27" s="1" t="s">
        <v>47</v>
      </c>
      <c r="B27" s="6">
        <v>0</v>
      </c>
      <c r="C27" s="1">
        <v>0</v>
      </c>
      <c r="D27" s="1">
        <v>0</v>
      </c>
      <c r="E27" s="1">
        <v>0</v>
      </c>
      <c r="F27" s="1">
        <v>0</v>
      </c>
      <c r="G27" s="9">
        <f>SUM(MA_FINANCIAL)</f>
        <v>0</v>
      </c>
      <c r="I27" s="13" t="s">
        <v>48</v>
      </c>
      <c r="J27" s="16">
        <f>SUM(ALL_BLOCKS)</f>
        <v>4271425.7918814411</v>
      </c>
      <c r="L27" s="6"/>
      <c r="V27" s="9"/>
    </row>
    <row r="28" spans="1:22">
      <c r="A28" s="1" t="s">
        <v>49</v>
      </c>
      <c r="B28" s="6">
        <v>0</v>
      </c>
      <c r="C28" s="1">
        <v>0</v>
      </c>
      <c r="D28" s="1">
        <v>0</v>
      </c>
      <c r="E28" s="1">
        <v>0</v>
      </c>
      <c r="F28" s="1">
        <v>0</v>
      </c>
      <c r="G28" s="9">
        <f>SUM(MI_FINANCIAL)</f>
        <v>0</v>
      </c>
      <c r="I28" s="14"/>
      <c r="J28" s="17"/>
      <c r="L28" s="6"/>
      <c r="V28" s="9"/>
    </row>
    <row r="29" spans="1:22">
      <c r="A29" s="1" t="s">
        <v>50</v>
      </c>
      <c r="B29" s="6">
        <v>0</v>
      </c>
      <c r="C29" s="1">
        <v>0</v>
      </c>
      <c r="D29" s="1">
        <v>0</v>
      </c>
      <c r="E29" s="1">
        <v>0</v>
      </c>
      <c r="F29" s="1">
        <v>0</v>
      </c>
      <c r="G29" s="9">
        <f>SUM(MN_FINANCIAL)</f>
        <v>0</v>
      </c>
      <c r="L29" s="6"/>
      <c r="V29" s="9"/>
    </row>
    <row r="30" spans="1:22">
      <c r="A30" s="1" t="s">
        <v>51</v>
      </c>
      <c r="B30" s="6">
        <v>19842.257635896531</v>
      </c>
      <c r="C30" s="1">
        <v>0</v>
      </c>
      <c r="D30" s="1">
        <v>1300.7509801409342</v>
      </c>
      <c r="E30" s="1">
        <v>0</v>
      </c>
      <c r="F30" s="1">
        <v>0</v>
      </c>
      <c r="G30" s="9">
        <f>SUM(MS_FINANCIAL)</f>
        <v>21143.008616037463</v>
      </c>
      <c r="L30" s="6"/>
      <c r="V30" s="9"/>
    </row>
    <row r="31" spans="1:22">
      <c r="A31" s="1" t="s">
        <v>52</v>
      </c>
      <c r="B31" s="6">
        <v>-46324.543518000537</v>
      </c>
      <c r="C31" s="1">
        <v>0</v>
      </c>
      <c r="D31" s="1">
        <v>-4947.6143781061119</v>
      </c>
      <c r="E31" s="1">
        <v>0</v>
      </c>
      <c r="F31" s="1">
        <v>0</v>
      </c>
      <c r="G31" s="9">
        <f>SUM(MO_FINANCIAL)</f>
        <v>-51272.157896106648</v>
      </c>
      <c r="L31" s="6"/>
      <c r="V31" s="9"/>
    </row>
    <row r="32" spans="1:22">
      <c r="A32" s="1" t="s">
        <v>53</v>
      </c>
      <c r="B32" s="6">
        <v>0</v>
      </c>
      <c r="C32" s="1">
        <v>0</v>
      </c>
      <c r="D32" s="1">
        <v>0</v>
      </c>
      <c r="E32" s="1">
        <v>0</v>
      </c>
      <c r="F32" s="1">
        <v>0</v>
      </c>
      <c r="G32" s="9">
        <f>SUM(MT_FINANCIAL)</f>
        <v>0</v>
      </c>
      <c r="L32" s="6"/>
      <c r="V32" s="9"/>
    </row>
    <row r="33" spans="1:22">
      <c r="A33" s="1" t="s">
        <v>54</v>
      </c>
      <c r="B33" s="6">
        <v>0</v>
      </c>
      <c r="C33" s="1">
        <v>0</v>
      </c>
      <c r="D33" s="1">
        <v>0</v>
      </c>
      <c r="E33" s="1">
        <v>0</v>
      </c>
      <c r="F33" s="1">
        <v>0</v>
      </c>
      <c r="G33" s="9">
        <f>SUM(NE_FINANCIAL)</f>
        <v>0</v>
      </c>
      <c r="L33" s="6"/>
      <c r="V33" s="9"/>
    </row>
    <row r="34" spans="1:22">
      <c r="A34" s="1" t="s">
        <v>55</v>
      </c>
      <c r="B34" s="6">
        <v>0</v>
      </c>
      <c r="C34" s="1">
        <v>0</v>
      </c>
      <c r="D34" s="1">
        <v>0</v>
      </c>
      <c r="E34" s="1">
        <v>0</v>
      </c>
      <c r="F34" s="1">
        <v>0</v>
      </c>
      <c r="G34" s="9">
        <f>SUM(NV_FINANCIAL)</f>
        <v>0</v>
      </c>
      <c r="L34" s="6"/>
      <c r="V34" s="9"/>
    </row>
    <row r="35" spans="1:22">
      <c r="A35" s="1" t="s">
        <v>56</v>
      </c>
      <c r="B35" s="6">
        <v>0</v>
      </c>
      <c r="C35" s="1">
        <v>0</v>
      </c>
      <c r="D35" s="1">
        <v>0</v>
      </c>
      <c r="E35" s="1">
        <v>0</v>
      </c>
      <c r="F35" s="1">
        <v>0</v>
      </c>
      <c r="G35" s="9">
        <f>SUM(NH_FINANCIAL)</f>
        <v>0</v>
      </c>
      <c r="L35" s="6"/>
      <c r="V35" s="9"/>
    </row>
    <row r="36" spans="1:22">
      <c r="A36" s="1" t="s">
        <v>57</v>
      </c>
      <c r="B36" s="6">
        <v>0</v>
      </c>
      <c r="C36" s="1">
        <v>0</v>
      </c>
      <c r="D36" s="1">
        <v>0</v>
      </c>
      <c r="E36" s="1">
        <v>0</v>
      </c>
      <c r="F36" s="1">
        <v>0</v>
      </c>
      <c r="G36" s="9">
        <f>SUM(NJ_FINANCIAL)</f>
        <v>0</v>
      </c>
      <c r="L36" s="6"/>
      <c r="V36" s="9"/>
    </row>
    <row r="37" spans="1:22">
      <c r="A37" s="1" t="s">
        <v>58</v>
      </c>
      <c r="B37" s="6">
        <v>0</v>
      </c>
      <c r="C37" s="1">
        <v>0</v>
      </c>
      <c r="D37" s="1">
        <v>0</v>
      </c>
      <c r="E37" s="1">
        <v>0</v>
      </c>
      <c r="F37" s="1">
        <v>0</v>
      </c>
      <c r="G37" s="9">
        <f>SUM(NM_FINANCIAL)</f>
        <v>0</v>
      </c>
      <c r="L37" s="6"/>
      <c r="V37" s="9"/>
    </row>
    <row r="38" spans="1:22">
      <c r="A38" s="1" t="s">
        <v>59</v>
      </c>
      <c r="B38" s="6">
        <v>0</v>
      </c>
      <c r="C38" s="1">
        <v>0</v>
      </c>
      <c r="D38" s="1">
        <v>0</v>
      </c>
      <c r="E38" s="1">
        <v>0</v>
      </c>
      <c r="F38" s="1">
        <v>0</v>
      </c>
      <c r="G38" s="9">
        <f>SUM(NY_FINANCIAL)</f>
        <v>0</v>
      </c>
      <c r="L38" s="6"/>
      <c r="V38" s="9"/>
    </row>
    <row r="39" spans="1:22">
      <c r="A39" s="1" t="s">
        <v>60</v>
      </c>
      <c r="B39" s="6">
        <v>0</v>
      </c>
      <c r="C39" s="1">
        <v>0</v>
      </c>
      <c r="D39" s="1">
        <v>0</v>
      </c>
      <c r="E39" s="1">
        <v>0</v>
      </c>
      <c r="F39" s="1">
        <v>0</v>
      </c>
      <c r="G39" s="9">
        <f>SUM(NC_FINANCIAL)</f>
        <v>0</v>
      </c>
      <c r="L39" s="6"/>
      <c r="V39" s="9"/>
    </row>
    <row r="40" spans="1:22">
      <c r="A40" s="1" t="s">
        <v>61</v>
      </c>
      <c r="B40" s="6">
        <v>0</v>
      </c>
      <c r="C40" s="1">
        <v>0</v>
      </c>
      <c r="D40" s="1">
        <v>0</v>
      </c>
      <c r="E40" s="1">
        <v>0</v>
      </c>
      <c r="F40" s="1">
        <v>0</v>
      </c>
      <c r="G40" s="9">
        <f>SUM(ND_FINANCIAL)</f>
        <v>0</v>
      </c>
      <c r="L40" s="6"/>
      <c r="V40" s="9"/>
    </row>
    <row r="41" spans="1:22">
      <c r="A41" s="1" t="s">
        <v>62</v>
      </c>
      <c r="B41" s="6">
        <v>0</v>
      </c>
      <c r="C41" s="1">
        <v>0</v>
      </c>
      <c r="D41" s="1">
        <v>0</v>
      </c>
      <c r="E41" s="1">
        <v>0</v>
      </c>
      <c r="F41" s="1">
        <v>0</v>
      </c>
      <c r="G41" s="9">
        <f>SUM(OH_FINANCIAL)</f>
        <v>0</v>
      </c>
      <c r="L41" s="6"/>
      <c r="V41" s="9"/>
    </row>
    <row r="42" spans="1:22">
      <c r="A42" s="1" t="s">
        <v>63</v>
      </c>
      <c r="B42" s="6">
        <v>9306.6252465862781</v>
      </c>
      <c r="C42" s="1">
        <v>0</v>
      </c>
      <c r="D42" s="1">
        <v>-0.16794779871997889</v>
      </c>
      <c r="E42" s="1">
        <v>0</v>
      </c>
      <c r="F42" s="1">
        <v>0</v>
      </c>
      <c r="G42" s="9">
        <f>SUM(OK_FINANCIAL)</f>
        <v>9306.4572987875581</v>
      </c>
      <c r="L42" s="6">
        <v>100000</v>
      </c>
      <c r="M42" s="1">
        <v>0</v>
      </c>
      <c r="O42" s="1">
        <v>0</v>
      </c>
      <c r="P42" s="1">
        <v>0</v>
      </c>
      <c r="R42" s="1">
        <v>0</v>
      </c>
      <c r="S42" s="1">
        <v>0</v>
      </c>
      <c r="U42" s="1">
        <v>0</v>
      </c>
      <c r="V42" s="9">
        <v>0</v>
      </c>
    </row>
    <row r="43" spans="1:22">
      <c r="A43" s="1" t="s">
        <v>64</v>
      </c>
      <c r="B43" s="6">
        <v>0</v>
      </c>
      <c r="C43" s="1">
        <v>0</v>
      </c>
      <c r="D43" s="1">
        <v>0</v>
      </c>
      <c r="E43" s="1">
        <v>0</v>
      </c>
      <c r="F43" s="1">
        <v>0</v>
      </c>
      <c r="G43" s="9">
        <f>SUM(OR_FINANCIAL)</f>
        <v>0</v>
      </c>
      <c r="L43" s="6"/>
      <c r="V43" s="9"/>
    </row>
    <row r="44" spans="1:22">
      <c r="A44" s="1" t="s">
        <v>65</v>
      </c>
      <c r="B44" s="6">
        <v>0</v>
      </c>
      <c r="C44" s="1">
        <v>0</v>
      </c>
      <c r="D44" s="1">
        <v>0</v>
      </c>
      <c r="E44" s="1">
        <v>0</v>
      </c>
      <c r="F44" s="1">
        <v>0</v>
      </c>
      <c r="G44" s="9">
        <f>SUM(PA_FINANCIAL)</f>
        <v>0</v>
      </c>
      <c r="L44" s="6"/>
      <c r="V44" s="9"/>
    </row>
    <row r="45" spans="1:22">
      <c r="A45" s="1" t="s">
        <v>66</v>
      </c>
      <c r="B45" s="6">
        <v>0</v>
      </c>
      <c r="C45" s="1">
        <v>0</v>
      </c>
      <c r="D45" s="1">
        <v>0</v>
      </c>
      <c r="E45" s="1">
        <v>0</v>
      </c>
      <c r="F45" s="1">
        <v>0</v>
      </c>
      <c r="G45" s="9">
        <f>SUM(PR_FINANCIAL)</f>
        <v>0</v>
      </c>
      <c r="L45" s="6"/>
      <c r="V45" s="9"/>
    </row>
    <row r="46" spans="1:22">
      <c r="A46" s="1" t="s">
        <v>67</v>
      </c>
      <c r="B46" s="6">
        <v>0</v>
      </c>
      <c r="C46" s="1">
        <v>0</v>
      </c>
      <c r="D46" s="1">
        <v>0</v>
      </c>
      <c r="E46" s="1">
        <v>0</v>
      </c>
      <c r="F46" s="1">
        <v>0</v>
      </c>
      <c r="G46" s="9">
        <f>SUM(RI_FINANCIAL)</f>
        <v>0</v>
      </c>
      <c r="L46" s="6"/>
      <c r="V46" s="9"/>
    </row>
    <row r="47" spans="1:22">
      <c r="A47" s="1" t="s">
        <v>68</v>
      </c>
      <c r="B47" s="6">
        <v>0</v>
      </c>
      <c r="C47" s="1">
        <v>0</v>
      </c>
      <c r="D47" s="1">
        <v>0</v>
      </c>
      <c r="E47" s="1">
        <v>0</v>
      </c>
      <c r="F47" s="1">
        <v>0</v>
      </c>
      <c r="G47" s="9">
        <f>SUM(SC_FINANCIAL)</f>
        <v>0</v>
      </c>
      <c r="L47" s="6"/>
      <c r="V47" s="9"/>
    </row>
    <row r="48" spans="1:22">
      <c r="A48" s="1" t="s">
        <v>69</v>
      </c>
      <c r="B48" s="6">
        <v>0</v>
      </c>
      <c r="C48" s="1">
        <v>0</v>
      </c>
      <c r="D48" s="1">
        <v>0</v>
      </c>
      <c r="E48" s="1">
        <v>0</v>
      </c>
      <c r="F48" s="1">
        <v>0</v>
      </c>
      <c r="G48" s="9">
        <f>SUM(SD_FINANCIAL)</f>
        <v>0</v>
      </c>
      <c r="L48" s="6"/>
      <c r="V48" s="9"/>
    </row>
    <row r="49" spans="1:22">
      <c r="A49" s="1" t="s">
        <v>70</v>
      </c>
      <c r="B49" s="6">
        <v>262675.47387828026</v>
      </c>
      <c r="C49" s="1">
        <v>0</v>
      </c>
      <c r="D49" s="1">
        <v>-613.81039062669015</v>
      </c>
      <c r="E49" s="1">
        <v>0</v>
      </c>
      <c r="F49" s="1">
        <v>0</v>
      </c>
      <c r="G49" s="9">
        <f>SUM(TN_FINANCIAL)</f>
        <v>262061.66348765357</v>
      </c>
      <c r="L49" s="6"/>
      <c r="V49" s="9"/>
    </row>
    <row r="50" spans="1:22">
      <c r="A50" s="1" t="s">
        <v>71</v>
      </c>
      <c r="B50" s="6">
        <v>87267.684252337669</v>
      </c>
      <c r="C50" s="1">
        <v>0</v>
      </c>
      <c r="D50" s="1">
        <v>-277.57954467288073</v>
      </c>
      <c r="E50" s="1">
        <v>0</v>
      </c>
      <c r="F50" s="1">
        <v>0</v>
      </c>
      <c r="G50" s="9">
        <f>SUM(TX_FINANCIAL)</f>
        <v>86990.104707664781</v>
      </c>
      <c r="L50" s="6">
        <v>224994</v>
      </c>
      <c r="M50" s="1">
        <v>0</v>
      </c>
      <c r="O50" s="1">
        <v>0</v>
      </c>
      <c r="P50" s="1">
        <v>0</v>
      </c>
      <c r="R50" s="1">
        <v>0</v>
      </c>
      <c r="S50" s="1">
        <v>0</v>
      </c>
      <c r="U50" s="1">
        <v>0</v>
      </c>
      <c r="V50" s="9">
        <v>0</v>
      </c>
    </row>
    <row r="51" spans="1:22">
      <c r="A51" s="1" t="s">
        <v>72</v>
      </c>
      <c r="B51" s="6">
        <v>0</v>
      </c>
      <c r="C51" s="1">
        <v>0</v>
      </c>
      <c r="D51" s="1">
        <v>0</v>
      </c>
      <c r="E51" s="1">
        <v>0</v>
      </c>
      <c r="F51" s="1">
        <v>0</v>
      </c>
      <c r="G51" s="9">
        <f>SUM(UT_FINANCIAL)</f>
        <v>0</v>
      </c>
      <c r="L51" s="6"/>
      <c r="V51" s="9"/>
    </row>
    <row r="52" spans="1:22">
      <c r="A52" s="1" t="s">
        <v>73</v>
      </c>
      <c r="B52" s="6">
        <v>0</v>
      </c>
      <c r="C52" s="1">
        <v>0</v>
      </c>
      <c r="D52" s="1">
        <v>0</v>
      </c>
      <c r="E52" s="1">
        <v>0</v>
      </c>
      <c r="F52" s="1">
        <v>0</v>
      </c>
      <c r="G52" s="9">
        <f>SUM(VT_FINANCIAL)</f>
        <v>0</v>
      </c>
      <c r="L52" s="6"/>
      <c r="V52" s="9"/>
    </row>
    <row r="53" spans="1:22">
      <c r="A53" s="1" t="s">
        <v>74</v>
      </c>
      <c r="B53" s="6">
        <v>156259.23713624617</v>
      </c>
      <c r="C53" s="1">
        <v>0</v>
      </c>
      <c r="D53" s="1">
        <v>-217.00698110416658</v>
      </c>
      <c r="E53" s="1">
        <v>0</v>
      </c>
      <c r="F53" s="1">
        <v>0</v>
      </c>
      <c r="G53" s="9">
        <f>SUM(VA_FINANCIAL)</f>
        <v>156042.230155142</v>
      </c>
      <c r="L53" s="6"/>
      <c r="V53" s="9"/>
    </row>
    <row r="54" spans="1:22">
      <c r="A54" s="1" t="s">
        <v>75</v>
      </c>
      <c r="B54" s="6">
        <v>0</v>
      </c>
      <c r="C54" s="1">
        <v>0</v>
      </c>
      <c r="D54" s="1">
        <v>0</v>
      </c>
      <c r="E54" s="1">
        <v>0</v>
      </c>
      <c r="F54" s="1">
        <v>0</v>
      </c>
      <c r="G54" s="9">
        <f>SUM(WA_FINANCIAL)</f>
        <v>0</v>
      </c>
      <c r="L54" s="6"/>
      <c r="V54" s="9"/>
    </row>
    <row r="55" spans="1:22">
      <c r="A55" s="1" t="s">
        <v>76</v>
      </c>
      <c r="B55" s="6">
        <v>0</v>
      </c>
      <c r="C55" s="1">
        <v>0</v>
      </c>
      <c r="D55" s="1">
        <v>0</v>
      </c>
      <c r="E55" s="1">
        <v>0</v>
      </c>
      <c r="F55" s="1">
        <v>0</v>
      </c>
      <c r="G55" s="9">
        <f>SUM(WV_FINANCIAL)</f>
        <v>0</v>
      </c>
      <c r="L55" s="6"/>
      <c r="V55" s="9"/>
    </row>
    <row r="56" spans="1:22">
      <c r="A56" s="1" t="s">
        <v>77</v>
      </c>
      <c r="B56" s="6">
        <v>0</v>
      </c>
      <c r="C56" s="1">
        <v>0</v>
      </c>
      <c r="D56" s="1">
        <v>0</v>
      </c>
      <c r="E56" s="1">
        <v>0</v>
      </c>
      <c r="F56" s="1">
        <v>0</v>
      </c>
      <c r="G56" s="9">
        <f>SUM(WI_FINANCIAL)</f>
        <v>0</v>
      </c>
      <c r="L56" s="6"/>
      <c r="V56" s="9"/>
    </row>
    <row r="57" spans="1:22">
      <c r="A57" s="1" t="s">
        <v>78</v>
      </c>
      <c r="B57" s="6">
        <v>0</v>
      </c>
      <c r="C57" s="1">
        <v>0</v>
      </c>
      <c r="D57" s="1">
        <v>0</v>
      </c>
      <c r="E57" s="1">
        <v>0</v>
      </c>
      <c r="F57" s="1">
        <v>0</v>
      </c>
      <c r="G57" s="9">
        <f>SUM(WY_FINANCIAL)</f>
        <v>0</v>
      </c>
      <c r="L57" s="6"/>
      <c r="V57" s="9"/>
    </row>
    <row r="58" spans="1:22">
      <c r="A58" s="1" t="s">
        <v>79</v>
      </c>
      <c r="B58" s="6">
        <v>0</v>
      </c>
      <c r="C58" s="1">
        <v>0</v>
      </c>
      <c r="D58" s="1">
        <v>0</v>
      </c>
      <c r="E58" s="1">
        <v>0</v>
      </c>
      <c r="F58" s="1">
        <v>0</v>
      </c>
      <c r="G58" s="9">
        <f>SUM(OT_FINANCIAL)</f>
        <v>0</v>
      </c>
      <c r="L58" s="6"/>
      <c r="V58" s="9"/>
    </row>
    <row r="59" spans="1:22">
      <c r="B59" s="6"/>
      <c r="G59" s="9"/>
      <c r="L59" s="6"/>
      <c r="V59" s="9"/>
    </row>
    <row r="60" spans="1:22">
      <c r="A60" s="1" t="s">
        <v>8</v>
      </c>
      <c r="B60" s="6">
        <f>SUM(LIFE)</f>
        <v>4287100.1960833091</v>
      </c>
      <c r="C60" s="1">
        <f>SUM(ALLOCATED)</f>
        <v>0</v>
      </c>
      <c r="D60" s="1">
        <f>SUM(HEALTH)</f>
        <v>-15674.404201868692</v>
      </c>
      <c r="E60" s="1">
        <f>SUM(UNALLOCATED)</f>
        <v>0</v>
      </c>
      <c r="F60" s="1">
        <f>SUM(LTC)</f>
        <v>0</v>
      </c>
      <c r="G60" s="9">
        <f>SUM(ALL_BLOCKS)</f>
        <v>4271425.7918814411</v>
      </c>
      <c r="L60" s="6">
        <f>SUM(LIFE_CALLED)</f>
        <v>324994</v>
      </c>
      <c r="M60" s="1">
        <f>SUM(LIFE_REFUNDED)</f>
        <v>0</v>
      </c>
      <c r="O60" s="1">
        <f>SUM(ALLOC_CALLED)</f>
        <v>0</v>
      </c>
      <c r="P60" s="1">
        <f>SUM(ALLOC_REFUNDED)</f>
        <v>0</v>
      </c>
      <c r="R60" s="1">
        <f>SUM(HEALTH_CALLED)</f>
        <v>0</v>
      </c>
      <c r="S60" s="1">
        <f>SUM(HEALTH_REFUNDED)</f>
        <v>0</v>
      </c>
      <c r="U60" s="1">
        <f>SUM(UNALLOC_CALLED)</f>
        <v>0</v>
      </c>
      <c r="V60" s="9">
        <f>SUM(UNALLOC_REFUNDED)</f>
        <v>0</v>
      </c>
    </row>
    <row r="61" spans="1:22" ht="5.0999999999999996" customHeight="1">
      <c r="B61" s="6"/>
      <c r="G61" s="9"/>
      <c r="L61" s="6"/>
      <c r="V61" s="9"/>
    </row>
    <row r="62" spans="1:22">
      <c r="B62" s="6"/>
      <c r="G62" s="9"/>
      <c r="L62" s="78" t="s">
        <v>80</v>
      </c>
      <c r="M62" s="79"/>
      <c r="N62" s="79"/>
      <c r="O62" s="79"/>
      <c r="P62" s="79"/>
      <c r="Q62" s="79"/>
      <c r="R62" s="79"/>
      <c r="S62" s="79"/>
      <c r="T62" s="79"/>
      <c r="U62" s="79"/>
      <c r="V62" s="80"/>
    </row>
    <row r="63" spans="1:22">
      <c r="B63" s="6"/>
      <c r="G63" s="9"/>
      <c r="L63" s="81"/>
      <c r="M63" s="79"/>
      <c r="N63" s="79"/>
      <c r="O63" s="79"/>
      <c r="P63" s="79"/>
      <c r="Q63" s="79"/>
      <c r="R63" s="79"/>
      <c r="S63" s="79"/>
      <c r="T63" s="79"/>
      <c r="U63" s="79"/>
      <c r="V63" s="80"/>
    </row>
    <row r="64" spans="1:22">
      <c r="B64" s="8"/>
      <c r="C64" s="5"/>
      <c r="D64" s="5"/>
      <c r="E64" s="5"/>
      <c r="F64" s="5"/>
      <c r="G64" s="11"/>
      <c r="L64" s="82"/>
      <c r="M64" s="83"/>
      <c r="N64" s="83"/>
      <c r="O64" s="83"/>
      <c r="P64" s="83"/>
      <c r="Q64" s="83"/>
      <c r="R64" s="83"/>
      <c r="S64" s="83"/>
      <c r="T64" s="83"/>
      <c r="U64" s="83"/>
      <c r="V64" s="84"/>
    </row>
  </sheetData>
  <mergeCells count="8">
    <mergeCell ref="L62:V64"/>
    <mergeCell ref="A1:G1"/>
    <mergeCell ref="B3:G3"/>
    <mergeCell ref="L3:V3"/>
    <mergeCell ref="L4:M4"/>
    <mergeCell ref="O4:P4"/>
    <mergeCell ref="R4:S4"/>
    <mergeCell ref="U4:V4"/>
  </mergeCells>
  <pageMargins left="0" right="0" top="0" bottom="0" header="0" footer="0"/>
  <pageSetup scale="48" orientation="landscape"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pageSetUpPr fitToPage="1"/>
  </sheetPr>
  <dimension ref="A1:V64"/>
  <sheetViews>
    <sheetView zoomScale="75" workbookViewId="0">
      <selection sqref="A1:G1"/>
    </sheetView>
  </sheetViews>
  <sheetFormatPr defaultColWidth="9.109375" defaultRowHeight="14.4"/>
  <cols>
    <col min="1" max="1" width="20" style="1" customWidth="1"/>
    <col min="2" max="7" width="15" style="1" customWidth="1"/>
    <col min="8" max="8" width="1" style="1" customWidth="1"/>
    <col min="9" max="9" width="30" style="1" customWidth="1"/>
    <col min="10" max="10" width="15" style="1" customWidth="1"/>
    <col min="11" max="11" width="1" style="1" customWidth="1"/>
    <col min="12" max="13" width="15" style="1" customWidth="1"/>
    <col min="14" max="14" width="1" style="1" customWidth="1"/>
    <col min="15" max="16" width="15" style="1" customWidth="1"/>
    <col min="17" max="17" width="1" style="1" customWidth="1"/>
    <col min="18" max="19" width="15" style="1" customWidth="1"/>
    <col min="20" max="20" width="1" style="1" customWidth="1"/>
    <col min="21" max="22" width="15" style="1" customWidth="1"/>
    <col min="23" max="23" width="9.109375" style="1" customWidth="1"/>
    <col min="24" max="16384" width="9.109375" style="1"/>
  </cols>
  <sheetData>
    <row r="1" spans="1:22">
      <c r="A1" s="85" t="s">
        <v>178</v>
      </c>
      <c r="B1" s="79"/>
      <c r="C1" s="79"/>
      <c r="D1" s="79"/>
      <c r="E1" s="79"/>
      <c r="F1" s="79"/>
      <c r="G1" s="79"/>
    </row>
    <row r="3" spans="1:22">
      <c r="B3" s="86" t="s">
        <v>1</v>
      </c>
      <c r="C3" s="87"/>
      <c r="D3" s="87"/>
      <c r="E3" s="87"/>
      <c r="F3" s="87"/>
      <c r="G3" s="88"/>
      <c r="L3" s="89" t="s">
        <v>2</v>
      </c>
      <c r="M3" s="90"/>
      <c r="N3" s="90"/>
      <c r="O3" s="90"/>
      <c r="P3" s="90"/>
      <c r="Q3" s="90"/>
      <c r="R3" s="90"/>
      <c r="S3" s="90"/>
      <c r="T3" s="90"/>
      <c r="U3" s="90"/>
      <c r="V3" s="91"/>
    </row>
    <row r="4" spans="1:22">
      <c r="B4" s="6"/>
      <c r="G4" s="9"/>
      <c r="L4" s="92" t="s">
        <v>3</v>
      </c>
      <c r="M4" s="93"/>
      <c r="N4" s="3"/>
      <c r="O4" s="94" t="s">
        <v>4</v>
      </c>
      <c r="P4" s="93"/>
      <c r="Q4" s="3"/>
      <c r="R4" s="94" t="s">
        <v>5</v>
      </c>
      <c r="S4" s="93"/>
      <c r="T4" s="3"/>
      <c r="U4" s="94" t="s">
        <v>6</v>
      </c>
      <c r="V4" s="95"/>
    </row>
    <row r="5" spans="1:22" ht="60" customHeight="1">
      <c r="B5" s="7" t="s">
        <v>3</v>
      </c>
      <c r="C5" s="4" t="s">
        <v>4</v>
      </c>
      <c r="D5" s="4" t="s">
        <v>5</v>
      </c>
      <c r="E5" s="4" t="s">
        <v>6</v>
      </c>
      <c r="F5" s="4" t="s">
        <v>7</v>
      </c>
      <c r="G5" s="10" t="s">
        <v>8</v>
      </c>
      <c r="L5" s="19" t="s">
        <v>9</v>
      </c>
      <c r="M5" s="18" t="s">
        <v>10</v>
      </c>
      <c r="N5" s="18"/>
      <c r="O5" s="18" t="s">
        <v>9</v>
      </c>
      <c r="P5" s="18" t="s">
        <v>10</v>
      </c>
      <c r="Q5" s="18"/>
      <c r="R5" s="18" t="s">
        <v>9</v>
      </c>
      <c r="S5" s="18" t="s">
        <v>10</v>
      </c>
      <c r="T5" s="18"/>
      <c r="U5" s="18" t="s">
        <v>9</v>
      </c>
      <c r="V5" s="20" t="s">
        <v>10</v>
      </c>
    </row>
    <row r="6" spans="1:22">
      <c r="A6" s="1" t="s">
        <v>11</v>
      </c>
      <c r="B6" s="6">
        <v>0</v>
      </c>
      <c r="C6" s="1">
        <v>0</v>
      </c>
      <c r="D6" s="1">
        <v>0</v>
      </c>
      <c r="E6" s="1">
        <v>0</v>
      </c>
      <c r="F6" s="1">
        <v>0</v>
      </c>
      <c r="G6" s="9">
        <f>SUM(AL_FINANCIAL)</f>
        <v>0</v>
      </c>
      <c r="L6" s="6"/>
      <c r="V6" s="9"/>
    </row>
    <row r="7" spans="1:22">
      <c r="A7" s="1" t="s">
        <v>12</v>
      </c>
      <c r="B7" s="6">
        <v>0</v>
      </c>
      <c r="C7" s="1">
        <v>0</v>
      </c>
      <c r="D7" s="1">
        <v>21235.880475797367</v>
      </c>
      <c r="E7" s="1">
        <v>0</v>
      </c>
      <c r="F7" s="1">
        <v>0</v>
      </c>
      <c r="G7" s="9">
        <f>SUM(AK_FINANCIAL)</f>
        <v>21235.880475797367</v>
      </c>
      <c r="I7" s="12"/>
      <c r="J7" s="15"/>
      <c r="L7" s="6">
        <v>0</v>
      </c>
      <c r="M7" s="1">
        <v>0</v>
      </c>
      <c r="O7" s="1">
        <v>0</v>
      </c>
      <c r="P7" s="1">
        <v>0</v>
      </c>
      <c r="R7" s="1">
        <v>25000</v>
      </c>
      <c r="S7" s="1">
        <v>0</v>
      </c>
      <c r="U7" s="1">
        <v>0</v>
      </c>
      <c r="V7" s="9">
        <v>0</v>
      </c>
    </row>
    <row r="8" spans="1:22">
      <c r="A8" s="1" t="s">
        <v>13</v>
      </c>
      <c r="B8" s="6">
        <v>0</v>
      </c>
      <c r="C8" s="1">
        <v>0</v>
      </c>
      <c r="D8" s="1">
        <v>571.92447295450256</v>
      </c>
      <c r="E8" s="1">
        <v>0</v>
      </c>
      <c r="F8" s="1">
        <v>0</v>
      </c>
      <c r="G8" s="9">
        <f>SUM(AZ_FINANCIAL)</f>
        <v>571.92447295450256</v>
      </c>
      <c r="I8" s="13" t="s">
        <v>14</v>
      </c>
      <c r="J8" s="16"/>
      <c r="L8" s="6"/>
      <c r="V8" s="9"/>
    </row>
    <row r="9" spans="1:22">
      <c r="A9" s="1" t="s">
        <v>15</v>
      </c>
      <c r="B9" s="6">
        <v>0</v>
      </c>
      <c r="C9" s="1">
        <v>0</v>
      </c>
      <c r="D9" s="1">
        <v>30649.818326687113</v>
      </c>
      <c r="E9" s="1">
        <v>0</v>
      </c>
      <c r="F9" s="1">
        <v>0</v>
      </c>
      <c r="G9" s="9">
        <f>SUM(AR_FINANCIAL)</f>
        <v>30649.818326687113</v>
      </c>
      <c r="I9" s="13"/>
      <c r="J9" s="16"/>
      <c r="L9" s="6">
        <v>84049</v>
      </c>
      <c r="M9" s="1">
        <v>0</v>
      </c>
      <c r="O9" s="1">
        <v>0</v>
      </c>
      <c r="P9" s="1">
        <v>0</v>
      </c>
      <c r="R9" s="1">
        <v>0</v>
      </c>
      <c r="S9" s="1">
        <v>0</v>
      </c>
      <c r="U9" s="1">
        <v>0</v>
      </c>
      <c r="V9" s="9">
        <v>0</v>
      </c>
    </row>
    <row r="10" spans="1:22">
      <c r="A10" s="1" t="s">
        <v>16</v>
      </c>
      <c r="B10" s="6">
        <v>0</v>
      </c>
      <c r="C10" s="1">
        <v>0</v>
      </c>
      <c r="D10" s="1">
        <v>185797.02671589699</v>
      </c>
      <c r="E10" s="1">
        <v>0</v>
      </c>
      <c r="F10" s="1">
        <v>0</v>
      </c>
      <c r="G10" s="9">
        <f>SUM(CA_FINANCIAL)</f>
        <v>185797.02671589699</v>
      </c>
      <c r="I10" s="13" t="s">
        <v>17</v>
      </c>
      <c r="J10" s="16">
        <v>11764659.76</v>
      </c>
      <c r="L10" s="6">
        <v>0</v>
      </c>
      <c r="M10" s="1">
        <v>0</v>
      </c>
      <c r="O10" s="1">
        <v>0</v>
      </c>
      <c r="P10" s="1">
        <v>0</v>
      </c>
      <c r="R10" s="1">
        <v>300000</v>
      </c>
      <c r="S10" s="1">
        <v>0</v>
      </c>
      <c r="U10" s="1">
        <v>0</v>
      </c>
      <c r="V10" s="9">
        <v>0</v>
      </c>
    </row>
    <row r="11" spans="1:22">
      <c r="A11" s="1" t="s">
        <v>18</v>
      </c>
      <c r="B11" s="6">
        <v>0</v>
      </c>
      <c r="C11" s="1">
        <v>0</v>
      </c>
      <c r="D11" s="1">
        <v>333519.42183768027</v>
      </c>
      <c r="E11" s="1">
        <v>0</v>
      </c>
      <c r="F11" s="1">
        <v>0</v>
      </c>
      <c r="G11" s="9">
        <f>SUM(CO_FINANCIAL)</f>
        <v>333519.42183768027</v>
      </c>
      <c r="I11" s="13"/>
      <c r="J11" s="16"/>
      <c r="L11" s="6">
        <v>0</v>
      </c>
      <c r="M11" s="1">
        <v>0</v>
      </c>
      <c r="O11" s="1">
        <v>0</v>
      </c>
      <c r="P11" s="1">
        <v>0</v>
      </c>
      <c r="R11" s="1">
        <v>481162</v>
      </c>
      <c r="S11" s="1">
        <v>816500</v>
      </c>
      <c r="U11" s="1">
        <v>0</v>
      </c>
      <c r="V11" s="9">
        <v>0</v>
      </c>
    </row>
    <row r="12" spans="1:22">
      <c r="A12" s="1" t="s">
        <v>19</v>
      </c>
      <c r="B12" s="6">
        <v>0</v>
      </c>
      <c r="C12" s="1">
        <v>0</v>
      </c>
      <c r="D12" s="1">
        <v>0</v>
      </c>
      <c r="E12" s="1">
        <v>0</v>
      </c>
      <c r="F12" s="1">
        <v>0</v>
      </c>
      <c r="G12" s="9">
        <f>SUM(CT_FINANCIAL)</f>
        <v>0</v>
      </c>
      <c r="I12" s="13" t="s">
        <v>20</v>
      </c>
      <c r="J12" s="16"/>
      <c r="L12" s="6"/>
      <c r="V12" s="9"/>
    </row>
    <row r="13" spans="1:22">
      <c r="A13" s="1" t="s">
        <v>21</v>
      </c>
      <c r="B13" s="6">
        <v>0</v>
      </c>
      <c r="C13" s="1">
        <v>0</v>
      </c>
      <c r="D13" s="1">
        <v>0</v>
      </c>
      <c r="E13" s="1">
        <v>0</v>
      </c>
      <c r="F13" s="1">
        <v>0</v>
      </c>
      <c r="G13" s="9">
        <f>SUM(DE_FINANCIAL)</f>
        <v>0</v>
      </c>
      <c r="I13" s="13" t="s">
        <v>22</v>
      </c>
      <c r="J13" s="16">
        <v>6431483.7800000003</v>
      </c>
      <c r="L13" s="6"/>
      <c r="V13" s="9"/>
    </row>
    <row r="14" spans="1:22">
      <c r="A14" s="1" t="s">
        <v>23</v>
      </c>
      <c r="B14" s="6">
        <v>0</v>
      </c>
      <c r="C14" s="1">
        <v>0</v>
      </c>
      <c r="D14" s="1">
        <v>0</v>
      </c>
      <c r="E14" s="1">
        <v>0</v>
      </c>
      <c r="F14" s="1">
        <v>0</v>
      </c>
      <c r="G14" s="9">
        <f>SUM(DC_FINANCIAL)</f>
        <v>0</v>
      </c>
      <c r="I14" s="13" t="s">
        <v>24</v>
      </c>
      <c r="J14" s="16">
        <v>935654.02</v>
      </c>
      <c r="L14" s="6"/>
      <c r="V14" s="9"/>
    </row>
    <row r="15" spans="1:22">
      <c r="A15" s="1" t="s">
        <v>25</v>
      </c>
      <c r="B15" s="6">
        <v>0</v>
      </c>
      <c r="C15" s="1">
        <v>0</v>
      </c>
      <c r="D15" s="1">
        <v>0</v>
      </c>
      <c r="E15" s="1">
        <v>0</v>
      </c>
      <c r="F15" s="1">
        <v>0</v>
      </c>
      <c r="G15" s="9">
        <f>SUM(FL_FINANCIAL)</f>
        <v>0</v>
      </c>
      <c r="I15" s="13" t="s">
        <v>26</v>
      </c>
      <c r="J15" s="16">
        <v>1100901.7899999996</v>
      </c>
      <c r="L15" s="6"/>
      <c r="V15" s="9"/>
    </row>
    <row r="16" spans="1:22">
      <c r="A16" s="1" t="s">
        <v>27</v>
      </c>
      <c r="B16" s="6">
        <v>0</v>
      </c>
      <c r="C16" s="1">
        <v>0</v>
      </c>
      <c r="D16" s="1">
        <v>0</v>
      </c>
      <c r="E16" s="1">
        <v>0</v>
      </c>
      <c r="F16" s="1">
        <v>0</v>
      </c>
      <c r="G16" s="9">
        <f>SUM(GA_FINANCIAL)</f>
        <v>0</v>
      </c>
      <c r="I16" s="13" t="s">
        <v>28</v>
      </c>
      <c r="J16" s="16">
        <v>0</v>
      </c>
      <c r="L16" s="6"/>
      <c r="V16" s="9"/>
    </row>
    <row r="17" spans="1:22">
      <c r="A17" s="1" t="s">
        <v>29</v>
      </c>
      <c r="B17" s="6">
        <v>0</v>
      </c>
      <c r="C17" s="1">
        <v>0</v>
      </c>
      <c r="D17" s="1">
        <v>706.72059997408542</v>
      </c>
      <c r="E17" s="1">
        <v>0</v>
      </c>
      <c r="F17" s="1">
        <v>0</v>
      </c>
      <c r="G17" s="9">
        <f>SUM(HI_FINANCIAL)</f>
        <v>706.72059997408542</v>
      </c>
      <c r="I17" s="13"/>
      <c r="J17" s="16"/>
      <c r="L17" s="6"/>
      <c r="V17" s="9"/>
    </row>
    <row r="18" spans="1:22">
      <c r="A18" s="1" t="s">
        <v>30</v>
      </c>
      <c r="B18" s="6">
        <v>0</v>
      </c>
      <c r="C18" s="1">
        <v>0</v>
      </c>
      <c r="D18" s="1">
        <v>337071.42406979494</v>
      </c>
      <c r="E18" s="1">
        <v>0</v>
      </c>
      <c r="F18" s="1">
        <v>0</v>
      </c>
      <c r="G18" s="9">
        <f>SUM(ID_FINANCIAL)</f>
        <v>337071.42406979494</v>
      </c>
      <c r="I18" s="13" t="s">
        <v>31</v>
      </c>
      <c r="J18" s="16"/>
      <c r="L18" s="6">
        <v>22765</v>
      </c>
      <c r="M18" s="1">
        <v>0</v>
      </c>
      <c r="O18" s="1">
        <v>0</v>
      </c>
      <c r="P18" s="1">
        <v>0</v>
      </c>
      <c r="R18" s="1">
        <v>432235</v>
      </c>
      <c r="S18" s="1">
        <v>0</v>
      </c>
      <c r="U18" s="1">
        <v>0</v>
      </c>
      <c r="V18" s="9">
        <v>0</v>
      </c>
    </row>
    <row r="19" spans="1:22">
      <c r="A19" s="1" t="s">
        <v>32</v>
      </c>
      <c r="B19" s="6">
        <v>0</v>
      </c>
      <c r="C19" s="1">
        <v>0</v>
      </c>
      <c r="D19" s="1">
        <v>19290.615984832752</v>
      </c>
      <c r="E19" s="1">
        <v>0</v>
      </c>
      <c r="F19" s="1">
        <v>0</v>
      </c>
      <c r="G19" s="9">
        <f>SUM(IL_FINANCIAL)</f>
        <v>19290.615984832752</v>
      </c>
      <c r="I19" s="13" t="s">
        <v>33</v>
      </c>
      <c r="J19" s="16">
        <v>0</v>
      </c>
      <c r="L19" s="6">
        <v>0</v>
      </c>
      <c r="M19" s="1">
        <v>0</v>
      </c>
      <c r="O19" s="1">
        <v>0</v>
      </c>
      <c r="P19" s="1">
        <v>0</v>
      </c>
      <c r="R19" s="1">
        <v>140000</v>
      </c>
      <c r="S19" s="1">
        <v>0</v>
      </c>
      <c r="U19" s="1">
        <v>0</v>
      </c>
      <c r="V19" s="9">
        <v>0</v>
      </c>
    </row>
    <row r="20" spans="1:22">
      <c r="A20" s="1" t="s">
        <v>34</v>
      </c>
      <c r="B20" s="6">
        <v>0</v>
      </c>
      <c r="C20" s="1">
        <v>0</v>
      </c>
      <c r="D20" s="1">
        <v>2435.1780105400285</v>
      </c>
      <c r="E20" s="1">
        <v>0</v>
      </c>
      <c r="F20" s="1">
        <v>0</v>
      </c>
      <c r="G20" s="9">
        <f>SUM(IN_FINANCIAL)</f>
        <v>2435.1780105400285</v>
      </c>
      <c r="I20" s="13" t="s">
        <v>35</v>
      </c>
      <c r="J20" s="16">
        <v>6312722.7800000003</v>
      </c>
      <c r="L20" s="6"/>
      <c r="V20" s="9"/>
    </row>
    <row r="21" spans="1:22">
      <c r="A21" s="1" t="s">
        <v>36</v>
      </c>
      <c r="B21" s="6">
        <v>0</v>
      </c>
      <c r="C21" s="1">
        <v>0</v>
      </c>
      <c r="D21" s="1">
        <v>654216.63693063695</v>
      </c>
      <c r="E21" s="1">
        <v>0</v>
      </c>
      <c r="F21" s="1">
        <v>0</v>
      </c>
      <c r="G21" s="9">
        <f>SUM(IA_FINANCIAL)</f>
        <v>654216.63693063695</v>
      </c>
      <c r="I21" s="13" t="s">
        <v>37</v>
      </c>
      <c r="J21" s="16"/>
      <c r="L21" s="6"/>
      <c r="V21" s="9"/>
    </row>
    <row r="22" spans="1:22">
      <c r="A22" s="1" t="s">
        <v>38</v>
      </c>
      <c r="B22" s="6">
        <v>0</v>
      </c>
      <c r="C22" s="1">
        <v>0</v>
      </c>
      <c r="D22" s="1">
        <v>0</v>
      </c>
      <c r="E22" s="1">
        <v>0</v>
      </c>
      <c r="F22" s="1">
        <v>0</v>
      </c>
      <c r="G22" s="9">
        <f>SUM(KS_FINANCIAL)</f>
        <v>0</v>
      </c>
      <c r="I22" s="13" t="s">
        <v>39</v>
      </c>
      <c r="J22" s="16">
        <v>0</v>
      </c>
      <c r="L22" s="6"/>
      <c r="V22" s="9"/>
    </row>
    <row r="23" spans="1:22">
      <c r="A23" s="1" t="s">
        <v>40</v>
      </c>
      <c r="B23" s="6">
        <v>0</v>
      </c>
      <c r="C23" s="1">
        <v>0</v>
      </c>
      <c r="D23" s="1">
        <v>0</v>
      </c>
      <c r="E23" s="1">
        <v>0</v>
      </c>
      <c r="F23" s="1">
        <v>0</v>
      </c>
      <c r="G23" s="9">
        <f>SUM(KY_FINANCIAL)</f>
        <v>0</v>
      </c>
      <c r="I23" s="13" t="s">
        <v>41</v>
      </c>
      <c r="J23" s="16"/>
      <c r="L23" s="6"/>
      <c r="V23" s="9"/>
    </row>
    <row r="24" spans="1:22">
      <c r="A24" s="1" t="s">
        <v>42</v>
      </c>
      <c r="B24" s="6">
        <v>0</v>
      </c>
      <c r="C24" s="1">
        <v>0</v>
      </c>
      <c r="D24" s="1">
        <v>0</v>
      </c>
      <c r="E24" s="1">
        <v>0</v>
      </c>
      <c r="F24" s="1">
        <v>0</v>
      </c>
      <c r="G24" s="9">
        <f>SUM(LA_FINANCIAL)</f>
        <v>0</v>
      </c>
      <c r="I24" s="13" t="s">
        <v>43</v>
      </c>
      <c r="J24" s="16">
        <v>3522084.73</v>
      </c>
      <c r="L24" s="6"/>
      <c r="V24" s="9"/>
    </row>
    <row r="25" spans="1:22">
      <c r="A25" s="1" t="s">
        <v>44</v>
      </c>
      <c r="B25" s="6">
        <v>0</v>
      </c>
      <c r="C25" s="1">
        <v>0</v>
      </c>
      <c r="D25" s="1">
        <v>0</v>
      </c>
      <c r="E25" s="1">
        <v>0</v>
      </c>
      <c r="F25" s="1">
        <v>0</v>
      </c>
      <c r="G25" s="9">
        <f>SUM(ME_FINANCIAL)</f>
        <v>0</v>
      </c>
      <c r="I25" s="13"/>
      <c r="J25" s="16"/>
      <c r="L25" s="6"/>
      <c r="V25" s="9"/>
    </row>
    <row r="26" spans="1:22">
      <c r="A26" s="1" t="s">
        <v>45</v>
      </c>
      <c r="B26" s="6">
        <v>0</v>
      </c>
      <c r="C26" s="1">
        <v>0</v>
      </c>
      <c r="D26" s="1">
        <v>0</v>
      </c>
      <c r="E26" s="1">
        <v>0</v>
      </c>
      <c r="F26" s="1">
        <v>0</v>
      </c>
      <c r="G26" s="9">
        <f>SUM(MD_FINANCIAL)</f>
        <v>0</v>
      </c>
      <c r="I26" s="13" t="s">
        <v>46</v>
      </c>
      <c r="J26" s="16">
        <f>SUM(ADD_FINANCIAL)-SUM(LESS_FINANCIAL)</f>
        <v>10397891.839999998</v>
      </c>
      <c r="L26" s="6"/>
      <c r="V26" s="9"/>
    </row>
    <row r="27" spans="1:22">
      <c r="A27" s="1" t="s">
        <v>47</v>
      </c>
      <c r="B27" s="6">
        <v>0</v>
      </c>
      <c r="C27" s="1">
        <v>0</v>
      </c>
      <c r="D27" s="1">
        <v>0</v>
      </c>
      <c r="E27" s="1">
        <v>0</v>
      </c>
      <c r="F27" s="1">
        <v>0</v>
      </c>
      <c r="G27" s="9">
        <f>SUM(MA_FINANCIAL)</f>
        <v>0</v>
      </c>
      <c r="I27" s="13" t="s">
        <v>48</v>
      </c>
      <c r="J27" s="16">
        <f>SUM(ALL_BLOCKS)</f>
        <v>10397891.84</v>
      </c>
      <c r="L27" s="6"/>
      <c r="V27" s="9"/>
    </row>
    <row r="28" spans="1:22">
      <c r="A28" s="1" t="s">
        <v>49</v>
      </c>
      <c r="B28" s="6">
        <v>0</v>
      </c>
      <c r="C28" s="1">
        <v>0</v>
      </c>
      <c r="D28" s="1">
        <v>0</v>
      </c>
      <c r="E28" s="1">
        <v>0</v>
      </c>
      <c r="F28" s="1">
        <v>0</v>
      </c>
      <c r="G28" s="9">
        <f>SUM(MI_FINANCIAL)</f>
        <v>0</v>
      </c>
      <c r="I28" s="14"/>
      <c r="J28" s="17"/>
      <c r="L28" s="6"/>
      <c r="V28" s="9"/>
    </row>
    <row r="29" spans="1:22">
      <c r="A29" s="1" t="s">
        <v>50</v>
      </c>
      <c r="B29" s="6">
        <v>0</v>
      </c>
      <c r="C29" s="1">
        <v>0</v>
      </c>
      <c r="D29" s="1">
        <v>0</v>
      </c>
      <c r="E29" s="1">
        <v>0</v>
      </c>
      <c r="F29" s="1">
        <v>0</v>
      </c>
      <c r="G29" s="9">
        <f>SUM(MN_FINANCIAL)</f>
        <v>0</v>
      </c>
      <c r="L29" s="6"/>
      <c r="V29" s="9"/>
    </row>
    <row r="30" spans="1:22">
      <c r="A30" s="1" t="s">
        <v>51</v>
      </c>
      <c r="B30" s="6">
        <v>0</v>
      </c>
      <c r="C30" s="1">
        <v>0</v>
      </c>
      <c r="D30" s="1">
        <v>57996.017075917378</v>
      </c>
      <c r="E30" s="1">
        <v>0</v>
      </c>
      <c r="F30" s="1">
        <v>0</v>
      </c>
      <c r="G30" s="9">
        <f>SUM(MS_FINANCIAL)</f>
        <v>57996.017075917378</v>
      </c>
      <c r="L30" s="6"/>
      <c r="V30" s="9"/>
    </row>
    <row r="31" spans="1:22">
      <c r="A31" s="1" t="s">
        <v>52</v>
      </c>
      <c r="B31" s="6">
        <v>0</v>
      </c>
      <c r="C31" s="1">
        <v>0</v>
      </c>
      <c r="D31" s="1">
        <v>209856.08800398803</v>
      </c>
      <c r="E31" s="1">
        <v>0</v>
      </c>
      <c r="F31" s="1">
        <v>0</v>
      </c>
      <c r="G31" s="9">
        <f>SUM(MO_FINANCIAL)</f>
        <v>209856.08800398803</v>
      </c>
      <c r="L31" s="6"/>
      <c r="V31" s="9"/>
    </row>
    <row r="32" spans="1:22">
      <c r="A32" s="1" t="s">
        <v>53</v>
      </c>
      <c r="B32" s="6">
        <v>0</v>
      </c>
      <c r="C32" s="1">
        <v>0</v>
      </c>
      <c r="D32" s="1">
        <v>193978.75165535181</v>
      </c>
      <c r="E32" s="1">
        <v>0</v>
      </c>
      <c r="F32" s="1">
        <v>0</v>
      </c>
      <c r="G32" s="9">
        <f>SUM(MT_FINANCIAL)</f>
        <v>193978.75165535181</v>
      </c>
      <c r="L32" s="6">
        <v>0</v>
      </c>
      <c r="M32" s="1">
        <v>0</v>
      </c>
      <c r="O32" s="1">
        <v>0</v>
      </c>
      <c r="P32" s="1">
        <v>0</v>
      </c>
      <c r="R32" s="1">
        <v>315000</v>
      </c>
      <c r="S32" s="1">
        <v>0</v>
      </c>
      <c r="U32" s="1">
        <v>0</v>
      </c>
      <c r="V32" s="9">
        <v>0</v>
      </c>
    </row>
    <row r="33" spans="1:22">
      <c r="A33" s="1" t="s">
        <v>54</v>
      </c>
      <c r="B33" s="6">
        <v>0</v>
      </c>
      <c r="C33" s="1">
        <v>0</v>
      </c>
      <c r="D33" s="1">
        <v>233381.29380040528</v>
      </c>
      <c r="E33" s="1">
        <v>0</v>
      </c>
      <c r="F33" s="1">
        <v>0</v>
      </c>
      <c r="G33" s="9">
        <f>SUM(NE_FINANCIAL)</f>
        <v>233381.29380040528</v>
      </c>
      <c r="L33" s="6"/>
      <c r="V33" s="9"/>
    </row>
    <row r="34" spans="1:22">
      <c r="A34" s="1" t="s">
        <v>55</v>
      </c>
      <c r="B34" s="6">
        <v>0</v>
      </c>
      <c r="C34" s="1">
        <v>0</v>
      </c>
      <c r="D34" s="1">
        <v>80866.740390233303</v>
      </c>
      <c r="E34" s="1">
        <v>0</v>
      </c>
      <c r="F34" s="1">
        <v>0</v>
      </c>
      <c r="G34" s="9">
        <f>SUM(NV_FINANCIAL)</f>
        <v>80866.740390233303</v>
      </c>
      <c r="L34" s="6">
        <v>0</v>
      </c>
      <c r="M34" s="1">
        <v>0</v>
      </c>
      <c r="O34" s="1">
        <v>0</v>
      </c>
      <c r="P34" s="1">
        <v>0</v>
      </c>
      <c r="R34" s="1">
        <v>100000</v>
      </c>
      <c r="S34" s="1">
        <v>0</v>
      </c>
      <c r="U34" s="1">
        <v>0</v>
      </c>
      <c r="V34" s="9">
        <v>0</v>
      </c>
    </row>
    <row r="35" spans="1:22">
      <c r="A35" s="1" t="s">
        <v>56</v>
      </c>
      <c r="B35" s="6">
        <v>0</v>
      </c>
      <c r="C35" s="1">
        <v>0</v>
      </c>
      <c r="D35" s="1">
        <v>0</v>
      </c>
      <c r="E35" s="1">
        <v>0</v>
      </c>
      <c r="F35" s="1">
        <v>0</v>
      </c>
      <c r="G35" s="9">
        <f>SUM(NH_FINANCIAL)</f>
        <v>0</v>
      </c>
      <c r="L35" s="6"/>
      <c r="V35" s="9"/>
    </row>
    <row r="36" spans="1:22">
      <c r="A36" s="1" t="s">
        <v>57</v>
      </c>
      <c r="B36" s="6">
        <v>0</v>
      </c>
      <c r="C36" s="1">
        <v>0</v>
      </c>
      <c r="D36" s="1">
        <v>0</v>
      </c>
      <c r="E36" s="1">
        <v>0</v>
      </c>
      <c r="F36" s="1">
        <v>0</v>
      </c>
      <c r="G36" s="9">
        <f>SUM(NJ_FINANCIAL)</f>
        <v>0</v>
      </c>
      <c r="L36" s="6"/>
      <c r="V36" s="9"/>
    </row>
    <row r="37" spans="1:22">
      <c r="A37" s="1" t="s">
        <v>58</v>
      </c>
      <c r="B37" s="6">
        <v>0</v>
      </c>
      <c r="C37" s="1">
        <v>0</v>
      </c>
      <c r="D37" s="1">
        <v>1294.1615134726671</v>
      </c>
      <c r="E37" s="1">
        <v>0</v>
      </c>
      <c r="F37" s="1">
        <v>0</v>
      </c>
      <c r="G37" s="9">
        <f>SUM(NM_FINANCIAL)</f>
        <v>1294.1615134726671</v>
      </c>
      <c r="L37" s="6"/>
      <c r="V37" s="9"/>
    </row>
    <row r="38" spans="1:22">
      <c r="A38" s="1" t="s">
        <v>59</v>
      </c>
      <c r="B38" s="6">
        <v>0</v>
      </c>
      <c r="C38" s="1">
        <v>0</v>
      </c>
      <c r="D38" s="1">
        <v>0</v>
      </c>
      <c r="E38" s="1">
        <v>0</v>
      </c>
      <c r="F38" s="1">
        <v>0</v>
      </c>
      <c r="G38" s="9">
        <f>SUM(NY_FINANCIAL)</f>
        <v>0</v>
      </c>
      <c r="L38" s="6"/>
      <c r="V38" s="9"/>
    </row>
    <row r="39" spans="1:22">
      <c r="A39" s="1" t="s">
        <v>60</v>
      </c>
      <c r="B39" s="6">
        <v>0</v>
      </c>
      <c r="C39" s="1">
        <v>0</v>
      </c>
      <c r="D39" s="1">
        <v>0</v>
      </c>
      <c r="E39" s="1">
        <v>0</v>
      </c>
      <c r="F39" s="1">
        <v>0</v>
      </c>
      <c r="G39" s="9">
        <f>SUM(NC_FINANCIAL)</f>
        <v>0</v>
      </c>
      <c r="L39" s="6"/>
      <c r="V39" s="9"/>
    </row>
    <row r="40" spans="1:22">
      <c r="A40" s="1" t="s">
        <v>61</v>
      </c>
      <c r="B40" s="6">
        <v>0</v>
      </c>
      <c r="C40" s="1">
        <v>0</v>
      </c>
      <c r="D40" s="1">
        <v>13034.122079405886</v>
      </c>
      <c r="E40" s="1">
        <v>0</v>
      </c>
      <c r="F40" s="1">
        <v>0</v>
      </c>
      <c r="G40" s="9">
        <f>SUM(ND_FINANCIAL)</f>
        <v>13034.122079405886</v>
      </c>
      <c r="L40" s="6">
        <v>0</v>
      </c>
      <c r="M40" s="1">
        <v>0</v>
      </c>
      <c r="O40" s="1">
        <v>5000</v>
      </c>
      <c r="P40" s="1">
        <v>0</v>
      </c>
      <c r="R40" s="1">
        <v>14400</v>
      </c>
      <c r="S40" s="1">
        <v>0</v>
      </c>
      <c r="U40" s="1">
        <v>0</v>
      </c>
      <c r="V40" s="9">
        <v>0</v>
      </c>
    </row>
    <row r="41" spans="1:22">
      <c r="A41" s="1" t="s">
        <v>62</v>
      </c>
      <c r="B41" s="6">
        <v>0</v>
      </c>
      <c r="C41" s="1">
        <v>0</v>
      </c>
      <c r="D41" s="1">
        <v>5530.5652873698336</v>
      </c>
      <c r="E41" s="1">
        <v>0</v>
      </c>
      <c r="F41" s="1">
        <v>0</v>
      </c>
      <c r="G41" s="9">
        <f>SUM(OH_FINANCIAL)</f>
        <v>5530.5652873698336</v>
      </c>
      <c r="L41" s="6"/>
      <c r="V41" s="9"/>
    </row>
    <row r="42" spans="1:22">
      <c r="A42" s="1" t="s">
        <v>63</v>
      </c>
      <c r="B42" s="6">
        <v>0</v>
      </c>
      <c r="C42" s="1">
        <v>0</v>
      </c>
      <c r="D42" s="1">
        <v>21333.662700766145</v>
      </c>
      <c r="E42" s="1">
        <v>0</v>
      </c>
      <c r="F42" s="1">
        <v>0</v>
      </c>
      <c r="G42" s="9">
        <f>SUM(OK_FINANCIAL)</f>
        <v>21333.662700766145</v>
      </c>
      <c r="L42" s="6">
        <v>6000</v>
      </c>
      <c r="M42" s="1">
        <v>0</v>
      </c>
      <c r="O42" s="1">
        <v>0</v>
      </c>
      <c r="P42" s="1">
        <v>0</v>
      </c>
      <c r="R42" s="1">
        <v>114000</v>
      </c>
      <c r="S42" s="1">
        <v>0</v>
      </c>
      <c r="U42" s="1">
        <v>0</v>
      </c>
      <c r="V42" s="9">
        <v>0</v>
      </c>
    </row>
    <row r="43" spans="1:22">
      <c r="A43" s="1" t="s">
        <v>64</v>
      </c>
      <c r="B43" s="6">
        <v>0</v>
      </c>
      <c r="C43" s="1">
        <v>0</v>
      </c>
      <c r="D43" s="1">
        <v>396541.02101182332</v>
      </c>
      <c r="E43" s="1">
        <v>0</v>
      </c>
      <c r="F43" s="1">
        <v>0</v>
      </c>
      <c r="G43" s="9">
        <f>SUM(OR_FINANCIAL)</f>
        <v>396541.02101182332</v>
      </c>
      <c r="L43" s="6"/>
      <c r="V43" s="9"/>
    </row>
    <row r="44" spans="1:22">
      <c r="A44" s="1" t="s">
        <v>65</v>
      </c>
      <c r="B44" s="6">
        <v>0</v>
      </c>
      <c r="C44" s="1">
        <v>0</v>
      </c>
      <c r="D44" s="1">
        <v>0</v>
      </c>
      <c r="E44" s="1">
        <v>0</v>
      </c>
      <c r="F44" s="1">
        <v>0</v>
      </c>
      <c r="G44" s="9">
        <f>SUM(PA_FINANCIAL)</f>
        <v>0</v>
      </c>
      <c r="L44" s="6"/>
      <c r="V44" s="9"/>
    </row>
    <row r="45" spans="1:22">
      <c r="A45" s="1" t="s">
        <v>66</v>
      </c>
      <c r="B45" s="6">
        <v>0</v>
      </c>
      <c r="C45" s="1">
        <v>0</v>
      </c>
      <c r="D45" s="1">
        <v>0</v>
      </c>
      <c r="E45" s="1">
        <v>0</v>
      </c>
      <c r="F45" s="1">
        <v>0</v>
      </c>
      <c r="G45" s="9">
        <f>SUM(PR_FINANCIAL)</f>
        <v>0</v>
      </c>
      <c r="L45" s="6"/>
      <c r="V45" s="9"/>
    </row>
    <row r="46" spans="1:22">
      <c r="A46" s="1" t="s">
        <v>67</v>
      </c>
      <c r="B46" s="6">
        <v>0</v>
      </c>
      <c r="C46" s="1">
        <v>0</v>
      </c>
      <c r="D46" s="1">
        <v>0</v>
      </c>
      <c r="E46" s="1">
        <v>0</v>
      </c>
      <c r="F46" s="1">
        <v>0</v>
      </c>
      <c r="G46" s="9">
        <f>SUM(RI_FINANCIAL)</f>
        <v>0</v>
      </c>
      <c r="L46" s="6"/>
      <c r="V46" s="9"/>
    </row>
    <row r="47" spans="1:22">
      <c r="A47" s="1" t="s">
        <v>68</v>
      </c>
      <c r="B47" s="6">
        <v>0</v>
      </c>
      <c r="C47" s="1">
        <v>0</v>
      </c>
      <c r="D47" s="1">
        <v>0</v>
      </c>
      <c r="E47" s="1">
        <v>0</v>
      </c>
      <c r="F47" s="1">
        <v>0</v>
      </c>
      <c r="G47" s="9">
        <f>SUM(SC_FINANCIAL)</f>
        <v>0</v>
      </c>
      <c r="L47" s="6"/>
      <c r="V47" s="9"/>
    </row>
    <row r="48" spans="1:22">
      <c r="A48" s="1" t="s">
        <v>69</v>
      </c>
      <c r="B48" s="6">
        <v>0</v>
      </c>
      <c r="C48" s="1">
        <v>0</v>
      </c>
      <c r="D48" s="1">
        <v>7773.6119689516781</v>
      </c>
      <c r="E48" s="1">
        <v>0</v>
      </c>
      <c r="F48" s="1">
        <v>0</v>
      </c>
      <c r="G48" s="9">
        <f>SUM(SD_FINANCIAL)</f>
        <v>7773.6119689516781</v>
      </c>
      <c r="L48" s="6"/>
      <c r="V48" s="9"/>
    </row>
    <row r="49" spans="1:22">
      <c r="A49" s="1" t="s">
        <v>70</v>
      </c>
      <c r="B49" s="6">
        <v>0</v>
      </c>
      <c r="C49" s="1">
        <v>0</v>
      </c>
      <c r="D49" s="1">
        <v>0</v>
      </c>
      <c r="E49" s="1">
        <v>0</v>
      </c>
      <c r="F49" s="1">
        <v>0</v>
      </c>
      <c r="G49" s="9">
        <f>SUM(TN_FINANCIAL)</f>
        <v>0</v>
      </c>
      <c r="L49" s="6"/>
      <c r="V49" s="9"/>
    </row>
    <row r="50" spans="1:22">
      <c r="A50" s="1" t="s">
        <v>71</v>
      </c>
      <c r="B50" s="6">
        <v>0</v>
      </c>
      <c r="C50" s="1">
        <v>0</v>
      </c>
      <c r="D50" s="1">
        <v>299202.70400169643</v>
      </c>
      <c r="E50" s="1">
        <v>0</v>
      </c>
      <c r="F50" s="1">
        <v>0</v>
      </c>
      <c r="G50" s="9">
        <f>SUM(TX_FINANCIAL)</f>
        <v>299202.70400169643</v>
      </c>
      <c r="L50" s="6">
        <v>9502</v>
      </c>
      <c r="M50" s="1">
        <v>718.197</v>
      </c>
      <c r="O50" s="1">
        <v>0</v>
      </c>
      <c r="P50" s="1">
        <v>0</v>
      </c>
      <c r="R50" s="1">
        <v>465584</v>
      </c>
      <c r="S50" s="1">
        <v>35191.652999999998</v>
      </c>
      <c r="U50" s="1">
        <v>0</v>
      </c>
      <c r="V50" s="9">
        <v>0</v>
      </c>
    </row>
    <row r="51" spans="1:22">
      <c r="A51" s="1" t="s">
        <v>72</v>
      </c>
      <c r="B51" s="6">
        <v>0</v>
      </c>
      <c r="C51" s="1">
        <v>0</v>
      </c>
      <c r="D51" s="1">
        <v>0.87559052179130958</v>
      </c>
      <c r="E51" s="1">
        <v>0</v>
      </c>
      <c r="F51" s="1">
        <v>0</v>
      </c>
      <c r="G51" s="9">
        <f>SUM(UT_FINANCIAL)</f>
        <v>0.87559052179130958</v>
      </c>
      <c r="L51" s="6"/>
      <c r="V51" s="9"/>
    </row>
    <row r="52" spans="1:22">
      <c r="A52" s="1" t="s">
        <v>73</v>
      </c>
      <c r="B52" s="6">
        <v>0</v>
      </c>
      <c r="C52" s="1">
        <v>0</v>
      </c>
      <c r="D52" s="1">
        <v>0</v>
      </c>
      <c r="E52" s="1">
        <v>0</v>
      </c>
      <c r="F52" s="1">
        <v>0</v>
      </c>
      <c r="G52" s="9">
        <f>SUM(VT_FINANCIAL)</f>
        <v>0</v>
      </c>
      <c r="L52" s="6"/>
      <c r="V52" s="9"/>
    </row>
    <row r="53" spans="1:22">
      <c r="A53" s="1" t="s">
        <v>74</v>
      </c>
      <c r="B53" s="6">
        <v>0</v>
      </c>
      <c r="C53" s="1">
        <v>0</v>
      </c>
      <c r="D53" s="1">
        <v>0</v>
      </c>
      <c r="E53" s="1">
        <v>0</v>
      </c>
      <c r="F53" s="1">
        <v>0</v>
      </c>
      <c r="G53" s="9">
        <f>SUM(VA_FINANCIAL)</f>
        <v>0</v>
      </c>
      <c r="L53" s="6"/>
      <c r="V53" s="9"/>
    </row>
    <row r="54" spans="1:22">
      <c r="A54" s="1" t="s">
        <v>75</v>
      </c>
      <c r="B54" s="6">
        <v>0</v>
      </c>
      <c r="C54" s="1">
        <v>0</v>
      </c>
      <c r="D54" s="1">
        <v>7263457.1707551815</v>
      </c>
      <c r="E54" s="1">
        <v>0</v>
      </c>
      <c r="F54" s="1">
        <v>0</v>
      </c>
      <c r="G54" s="9">
        <f>SUM(WA_FINANCIAL)</f>
        <v>7263457.1707551815</v>
      </c>
      <c r="L54" s="6">
        <v>0</v>
      </c>
      <c r="M54" s="1">
        <v>0</v>
      </c>
      <c r="O54" s="1">
        <v>0</v>
      </c>
      <c r="P54" s="1">
        <v>0</v>
      </c>
      <c r="R54" s="1">
        <v>5225000</v>
      </c>
      <c r="S54" s="1">
        <v>0</v>
      </c>
      <c r="U54" s="1">
        <v>0</v>
      </c>
      <c r="V54" s="9">
        <v>0</v>
      </c>
    </row>
    <row r="55" spans="1:22">
      <c r="A55" s="1" t="s">
        <v>76</v>
      </c>
      <c r="B55" s="6">
        <v>0</v>
      </c>
      <c r="C55" s="1">
        <v>0</v>
      </c>
      <c r="D55" s="1">
        <v>0</v>
      </c>
      <c r="E55" s="1">
        <v>0</v>
      </c>
      <c r="F55" s="1">
        <v>0</v>
      </c>
      <c r="G55" s="9">
        <f>SUM(WV_FINANCIAL)</f>
        <v>0</v>
      </c>
      <c r="L55" s="6"/>
      <c r="V55" s="9"/>
    </row>
    <row r="56" spans="1:22">
      <c r="A56" s="1" t="s">
        <v>77</v>
      </c>
      <c r="B56" s="6">
        <v>0</v>
      </c>
      <c r="C56" s="1">
        <v>0</v>
      </c>
      <c r="D56" s="1">
        <v>0</v>
      </c>
      <c r="E56" s="1">
        <v>0</v>
      </c>
      <c r="F56" s="1">
        <v>0</v>
      </c>
      <c r="G56" s="9">
        <f>SUM(WI_FINANCIAL)</f>
        <v>0</v>
      </c>
      <c r="L56" s="6"/>
      <c r="V56" s="9"/>
    </row>
    <row r="57" spans="1:22">
      <c r="A57" s="1" t="s">
        <v>78</v>
      </c>
      <c r="B57" s="6">
        <v>0</v>
      </c>
      <c r="C57" s="1">
        <v>0</v>
      </c>
      <c r="D57" s="1">
        <v>28150.406740119681</v>
      </c>
      <c r="E57" s="1">
        <v>0</v>
      </c>
      <c r="F57" s="1">
        <v>0</v>
      </c>
      <c r="G57" s="9">
        <f>SUM(WY_FINANCIAL)</f>
        <v>28150.406740119681</v>
      </c>
      <c r="L57" s="6">
        <v>0</v>
      </c>
      <c r="M57" s="1">
        <v>0</v>
      </c>
      <c r="O57" s="1">
        <v>0</v>
      </c>
      <c r="P57" s="1">
        <v>0</v>
      </c>
      <c r="R57" s="1">
        <v>50000</v>
      </c>
      <c r="S57" s="1">
        <v>0</v>
      </c>
      <c r="U57" s="1">
        <v>0</v>
      </c>
      <c r="V57" s="9">
        <v>0</v>
      </c>
    </row>
    <row r="58" spans="1:22">
      <c r="A58" s="1" t="s">
        <v>79</v>
      </c>
      <c r="B58" s="6">
        <v>0</v>
      </c>
      <c r="C58" s="1">
        <v>0</v>
      </c>
      <c r="D58" s="1">
        <v>0</v>
      </c>
      <c r="E58" s="1">
        <v>0</v>
      </c>
      <c r="F58" s="1">
        <v>0</v>
      </c>
      <c r="G58" s="9">
        <f>SUM(OT_FINANCIAL)</f>
        <v>0</v>
      </c>
      <c r="L58" s="6"/>
      <c r="V58" s="9"/>
    </row>
    <row r="59" spans="1:22">
      <c r="B59" s="6"/>
      <c r="G59" s="9"/>
      <c r="L59" s="6"/>
      <c r="V59" s="9"/>
    </row>
    <row r="60" spans="1:22">
      <c r="A60" s="1" t="s">
        <v>8</v>
      </c>
      <c r="B60" s="6">
        <f>SUM(LIFE)</f>
        <v>0</v>
      </c>
      <c r="C60" s="1">
        <f>SUM(ALLOCATED)</f>
        <v>0</v>
      </c>
      <c r="D60" s="1">
        <f>SUM(HEALTH)</f>
        <v>10397891.84</v>
      </c>
      <c r="E60" s="1">
        <f>SUM(UNALLOCATED)</f>
        <v>0</v>
      </c>
      <c r="F60" s="1">
        <f>SUM(LTC)</f>
        <v>0</v>
      </c>
      <c r="G60" s="9">
        <f>SUM(ALL_BLOCKS)</f>
        <v>10397891.84</v>
      </c>
      <c r="L60" s="6">
        <f>SUM(LIFE_CALLED)</f>
        <v>122316</v>
      </c>
      <c r="M60" s="1">
        <f>SUM(LIFE_REFUNDED)</f>
        <v>718.197</v>
      </c>
      <c r="O60" s="1">
        <f>SUM(ALLOC_CALLED)</f>
        <v>5000</v>
      </c>
      <c r="P60" s="1">
        <f>SUM(ALLOC_REFUNDED)</f>
        <v>0</v>
      </c>
      <c r="R60" s="1">
        <f>SUM(HEALTH_CALLED)</f>
        <v>7662381</v>
      </c>
      <c r="S60" s="1">
        <f>SUM(HEALTH_REFUNDED)</f>
        <v>851691.65300000005</v>
      </c>
      <c r="U60" s="1">
        <f>SUM(UNALLOC_CALLED)</f>
        <v>0</v>
      </c>
      <c r="V60" s="9">
        <f>SUM(UNALLOC_REFUNDED)</f>
        <v>0</v>
      </c>
    </row>
    <row r="61" spans="1:22" ht="5.0999999999999996" customHeight="1">
      <c r="B61" s="6"/>
      <c r="G61" s="9"/>
      <c r="L61" s="6"/>
      <c r="V61" s="9"/>
    </row>
    <row r="62" spans="1:22">
      <c r="B62" s="6"/>
      <c r="G62" s="9"/>
      <c r="L62" s="78" t="s">
        <v>80</v>
      </c>
      <c r="M62" s="79"/>
      <c r="N62" s="79"/>
      <c r="O62" s="79"/>
      <c r="P62" s="79"/>
      <c r="Q62" s="79"/>
      <c r="R62" s="79"/>
      <c r="S62" s="79"/>
      <c r="T62" s="79"/>
      <c r="U62" s="79"/>
      <c r="V62" s="80"/>
    </row>
    <row r="63" spans="1:22">
      <c r="B63" s="6"/>
      <c r="G63" s="9"/>
      <c r="L63" s="81"/>
      <c r="M63" s="79"/>
      <c r="N63" s="79"/>
      <c r="O63" s="79"/>
      <c r="P63" s="79"/>
      <c r="Q63" s="79"/>
      <c r="R63" s="79"/>
      <c r="S63" s="79"/>
      <c r="T63" s="79"/>
      <c r="U63" s="79"/>
      <c r="V63" s="80"/>
    </row>
    <row r="64" spans="1:22">
      <c r="B64" s="8"/>
      <c r="C64" s="5"/>
      <c r="D64" s="5"/>
      <c r="E64" s="5"/>
      <c r="F64" s="5"/>
      <c r="G64" s="11"/>
      <c r="L64" s="82"/>
      <c r="M64" s="83"/>
      <c r="N64" s="83"/>
      <c r="O64" s="83"/>
      <c r="P64" s="83"/>
      <c r="Q64" s="83"/>
      <c r="R64" s="83"/>
      <c r="S64" s="83"/>
      <c r="T64" s="83"/>
      <c r="U64" s="83"/>
      <c r="V64" s="84"/>
    </row>
  </sheetData>
  <mergeCells count="8">
    <mergeCell ref="L62:V64"/>
    <mergeCell ref="A1:G1"/>
    <mergeCell ref="B3:G3"/>
    <mergeCell ref="L3:V3"/>
    <mergeCell ref="L4:M4"/>
    <mergeCell ref="O4:P4"/>
    <mergeCell ref="R4:S4"/>
    <mergeCell ref="U4:V4"/>
  </mergeCells>
  <pageMargins left="0" right="0" top="0" bottom="0" header="0" footer="0"/>
  <pageSetup scale="4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1f2a6f5-faa7-4b34-97df-5db05bd8e340">
      <Terms xmlns="http://schemas.microsoft.com/office/infopath/2007/PartnerControls"/>
    </lcf76f155ced4ddcb4097134ff3c332f>
    <TaxCatchAll xmlns="b67778c5-455f-4c56-bb7b-08121c0e2e2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3D771F4A956BD44A24C48D3F81E02BE" ma:contentTypeVersion="16" ma:contentTypeDescription="Create a new document." ma:contentTypeScope="" ma:versionID="0fa571ee53527baa5fc0ae2376a1c27a">
  <xsd:schema xmlns:xsd="http://www.w3.org/2001/XMLSchema" xmlns:xs="http://www.w3.org/2001/XMLSchema" xmlns:p="http://schemas.microsoft.com/office/2006/metadata/properties" xmlns:ns2="21f2a6f5-faa7-4b34-97df-5db05bd8e340" xmlns:ns3="b67778c5-455f-4c56-bb7b-08121c0e2e25" targetNamespace="http://schemas.microsoft.com/office/2006/metadata/properties" ma:root="true" ma:fieldsID="3f200ccc1170c13caed2f17f6259938f" ns2:_="" ns3:_="">
    <xsd:import namespace="21f2a6f5-faa7-4b34-97df-5db05bd8e340"/>
    <xsd:import namespace="b67778c5-455f-4c56-bb7b-08121c0e2e2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f2a6f5-faa7-4b34-97df-5db05bd8e3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7f727472-1d1b-468c-a2e0-260083959c79"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description="" ma:hidden="true" ma:indexed="true" ma:internalName="MediaServiceDateTake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67778c5-455f-4c56-bb7b-08121c0e2e2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fe6c0eb9-b8bb-4da9-81e1-0821469cb5e4}" ma:internalName="TaxCatchAll" ma:showField="CatchAllData" ma:web="b67778c5-455f-4c56-bb7b-08121c0e2e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2354E8-A39E-4341-9C20-0E891E5D558D}">
  <ds:schemaRefs>
    <ds:schemaRef ds:uri="http://schemas.microsoft.com/office/2006/metadata/properties"/>
    <ds:schemaRef ds:uri="http://schemas.microsoft.com/office/infopath/2007/PartnerControls"/>
    <ds:schemaRef ds:uri="21f2a6f5-faa7-4b34-97df-5db05bd8e340"/>
    <ds:schemaRef ds:uri="b67778c5-455f-4c56-bb7b-08121c0e2e25"/>
  </ds:schemaRefs>
</ds:datastoreItem>
</file>

<file path=customXml/itemProps2.xml><?xml version="1.0" encoding="utf-8"?>
<ds:datastoreItem xmlns:ds="http://schemas.openxmlformats.org/officeDocument/2006/customXml" ds:itemID="{21BE98B6-7117-43C1-B2AF-ABCEE104CD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f2a6f5-faa7-4b34-97df-5db05bd8e340"/>
    <ds:schemaRef ds:uri="b67778c5-455f-4c56-bb7b-08121c0e2e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2243AD8-E1FE-46AB-A3C8-DC8838AA634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108</vt:i4>
      </vt:variant>
      <vt:variant>
        <vt:lpstr>Named Ranges</vt:lpstr>
      </vt:variant>
      <vt:variant>
        <vt:i4>7193</vt:i4>
      </vt:variant>
    </vt:vector>
  </HeadingPairs>
  <TitlesOfParts>
    <vt:vector size="7301" baseType="lpstr">
      <vt:lpstr>AF&amp;L</vt:lpstr>
      <vt:lpstr>Alabama Life</vt:lpstr>
      <vt:lpstr>American Chambers</vt:lpstr>
      <vt:lpstr>American Community</vt:lpstr>
      <vt:lpstr>American Educators</vt:lpstr>
      <vt:lpstr>American Integrity</vt:lpstr>
      <vt:lpstr>Amer Life Asr</vt:lpstr>
      <vt:lpstr>American Medical</vt:lpstr>
      <vt:lpstr>American Network</vt:lpstr>
      <vt:lpstr>Amer Std Life Acc</vt:lpstr>
      <vt:lpstr>AmerWstrn</vt:lpstr>
      <vt:lpstr>AMS Life</vt:lpstr>
      <vt:lpstr>Andrew Jackson</vt:lpstr>
      <vt:lpstr>Bankers Commercial</vt:lpstr>
      <vt:lpstr>Bankers Life</vt:lpstr>
      <vt:lpstr>Benicorp</vt:lpstr>
      <vt:lpstr>Booker T Washington</vt:lpstr>
      <vt:lpstr>Centennial</vt:lpstr>
      <vt:lpstr>Coastal States</vt:lpstr>
      <vt:lpstr>CO Bankers</vt:lpstr>
      <vt:lpstr>Colorado Health</vt:lpstr>
      <vt:lpstr>Compass (dbs Meritus)</vt:lpstr>
      <vt:lpstr>Confed Life &amp; Annty (CLIAC)</vt:lpstr>
      <vt:lpstr>Confed Life (CLIC)</vt:lpstr>
      <vt:lpstr>Consolidated National</vt:lpstr>
      <vt:lpstr>Consumers Choice</vt:lpstr>
      <vt:lpstr>Consumers Mutual</vt:lpstr>
      <vt:lpstr>Consumers United</vt:lpstr>
      <vt:lpstr>CoOportunity</vt:lpstr>
      <vt:lpstr>Coordinated Hlth</vt:lpstr>
      <vt:lpstr>Corporate Life</vt:lpstr>
      <vt:lpstr>Diamond Benefits</vt:lpstr>
      <vt:lpstr>EBL Life</vt:lpstr>
      <vt:lpstr>Executive Life</vt:lpstr>
      <vt:lpstr>ELNY</vt:lpstr>
      <vt:lpstr>Family Guaranty</vt:lpstr>
      <vt:lpstr>Fidelity Bankers</vt:lpstr>
      <vt:lpstr>Fidelity Mutual</vt:lpstr>
      <vt:lpstr>First Capital</vt:lpstr>
      <vt:lpstr>First Natl</vt:lpstr>
      <vt:lpstr>First Natl (Thrnr)</vt:lpstr>
      <vt:lpstr>Franklin American</vt:lpstr>
      <vt:lpstr>Franklin Protective</vt:lpstr>
      <vt:lpstr>Freelancers CO-OP</vt:lpstr>
      <vt:lpstr>Freestone</vt:lpstr>
      <vt:lpstr>George Washington</vt:lpstr>
      <vt:lpstr>Golden State</vt:lpstr>
      <vt:lpstr>Guarantee Security</vt:lpstr>
      <vt:lpstr>HealthyCT</vt:lpstr>
      <vt:lpstr>Imerica</vt:lpstr>
      <vt:lpstr>Inter-American</vt:lpstr>
      <vt:lpstr>International Fin</vt:lpstr>
      <vt:lpstr>Investment Life of America</vt:lpstr>
      <vt:lpstr>Investors Equity</vt:lpstr>
      <vt:lpstr>Kentucky Central</vt:lpstr>
      <vt:lpstr>Land of Lincoln</vt:lpstr>
      <vt:lpstr>Legion</vt:lpstr>
      <vt:lpstr>Life Health America</vt:lpstr>
      <vt:lpstr>Lincoln Memorial</vt:lpstr>
      <vt:lpstr>London Pac</vt:lpstr>
      <vt:lpstr>Lumbermens</vt:lpstr>
      <vt:lpstr>Medical Savings</vt:lpstr>
      <vt:lpstr>Memorial Service</vt:lpstr>
      <vt:lpstr>Midcontinent</vt:lpstr>
      <vt:lpstr>Midwest Life</vt:lpstr>
      <vt:lpstr>Monarch Life</vt:lpstr>
      <vt:lpstr>Mutual Benefit</vt:lpstr>
      <vt:lpstr>Mutual Security</vt:lpstr>
      <vt:lpstr>National Affiliated</vt:lpstr>
      <vt:lpstr>Natl American</vt:lpstr>
      <vt:lpstr>National Heritage</vt:lpstr>
      <vt:lpstr>National States</vt:lpstr>
      <vt:lpstr>New Jersey Life</vt:lpstr>
      <vt:lpstr>North Carolina Mutual</vt:lpstr>
      <vt:lpstr>NNIC</vt:lpstr>
      <vt:lpstr>Old Colony Life</vt:lpstr>
      <vt:lpstr>Old Faithful</vt:lpstr>
      <vt:lpstr>Pacific Standard</vt:lpstr>
      <vt:lpstr>Pavonia Life</vt:lpstr>
      <vt:lpstr>Pen  Treaty</vt:lpstr>
      <vt:lpstr>Red Rock</vt:lpstr>
      <vt:lpstr>Reliance</vt:lpstr>
      <vt:lpstr>SeeChange</vt:lpstr>
      <vt:lpstr>Senior American</vt:lpstr>
      <vt:lpstr>Settlers</vt:lpstr>
      <vt:lpstr>Shenandoah</vt:lpstr>
      <vt:lpstr>Southland National Life</vt:lpstr>
      <vt:lpstr>Standard Life IN</vt:lpstr>
      <vt:lpstr>States General</vt:lpstr>
      <vt:lpstr>Statesman</vt:lpstr>
      <vt:lpstr>Summit National</vt:lpstr>
      <vt:lpstr>Supreme</vt:lpstr>
      <vt:lpstr>Time</vt:lpstr>
      <vt:lpstr>Underwriters</vt:lpstr>
      <vt:lpstr>Unison</vt:lpstr>
      <vt:lpstr>United Republic</vt:lpstr>
      <vt:lpstr>Universal Health Care</vt:lpstr>
      <vt:lpstr>Universal Life</vt:lpstr>
      <vt:lpstr>Universe</vt:lpstr>
      <vt:lpstr>Villanova</vt:lpstr>
      <vt:lpstr>Summary</vt:lpstr>
      <vt:lpstr>Pre-Liquidation Summary</vt:lpstr>
      <vt:lpstr>Open Summary</vt:lpstr>
      <vt:lpstr>Closed Summary</vt:lpstr>
      <vt:lpstr>Estate Closed Summary</vt:lpstr>
      <vt:lpstr>Released from Oversight Summary</vt:lpstr>
      <vt:lpstr>Total Summary</vt:lpstr>
      <vt:lpstr>Assessable Premiums</vt:lpstr>
      <vt:lpstr>'AF&amp;L'!ADD_FINANCIAL</vt:lpstr>
      <vt:lpstr>'Alabama Life'!ADD_FINANCIAL</vt:lpstr>
      <vt:lpstr>'Amer Life Asr'!ADD_FINANCIAL</vt:lpstr>
      <vt:lpstr>'Amer Std Life Acc'!ADD_FINANCIAL</vt:lpstr>
      <vt:lpstr>'American Chambers'!ADD_FINANCIAL</vt:lpstr>
      <vt:lpstr>'American Community'!ADD_FINANCIAL</vt:lpstr>
      <vt:lpstr>'American Educators'!ADD_FINANCIAL</vt:lpstr>
      <vt:lpstr>'American Integrity'!ADD_FINANCIAL</vt:lpstr>
      <vt:lpstr>'American Medical'!ADD_FINANCIAL</vt:lpstr>
      <vt:lpstr>'American Network'!ADD_FINANCIAL</vt:lpstr>
      <vt:lpstr>AmerWstrn!ADD_FINANCIAL</vt:lpstr>
      <vt:lpstr>'AMS Life'!ADD_FINANCIAL</vt:lpstr>
      <vt:lpstr>'Andrew Jackson'!ADD_FINANCIAL</vt:lpstr>
      <vt:lpstr>'Bankers Commercial'!ADD_FINANCIAL</vt:lpstr>
      <vt:lpstr>'Bankers Life'!ADD_FINANCIAL</vt:lpstr>
      <vt:lpstr>Benicorp!ADD_FINANCIAL</vt:lpstr>
      <vt:lpstr>'Booker T Washington'!ADD_FINANCIAL</vt:lpstr>
      <vt:lpstr>Centennial!ADD_FINANCIAL</vt:lpstr>
      <vt:lpstr>'CO Bankers'!ADD_FINANCIAL</vt:lpstr>
      <vt:lpstr>'Coastal States'!ADD_FINANCIAL</vt:lpstr>
      <vt:lpstr>'Colorado Health'!ADD_FINANCIAL</vt:lpstr>
      <vt:lpstr>'Compass (dbs Meritus)'!ADD_FINANCIAL</vt:lpstr>
      <vt:lpstr>'Confed Life &amp; Annty (CLIAC)'!ADD_FINANCIAL</vt:lpstr>
      <vt:lpstr>'Confed Life (CLIC)'!ADD_FINANCIAL</vt:lpstr>
      <vt:lpstr>'Consolidated National'!ADD_FINANCIAL</vt:lpstr>
      <vt:lpstr>'Consumers Choice'!ADD_FINANCIAL</vt:lpstr>
      <vt:lpstr>'Consumers Mutual'!ADD_FINANCIAL</vt:lpstr>
      <vt:lpstr>'Consumers United'!ADD_FINANCIAL</vt:lpstr>
      <vt:lpstr>CoOportunity!ADD_FINANCIAL</vt:lpstr>
      <vt:lpstr>'Coordinated Hlth'!ADD_FINANCIAL</vt:lpstr>
      <vt:lpstr>'Corporate Life'!ADD_FINANCIAL</vt:lpstr>
      <vt:lpstr>'Diamond Benefits'!ADD_FINANCIAL</vt:lpstr>
      <vt:lpstr>'EBL Life'!ADD_FINANCIAL</vt:lpstr>
      <vt:lpstr>ELNY!ADD_FINANCIAL</vt:lpstr>
      <vt:lpstr>'Executive Life'!ADD_FINANCIAL</vt:lpstr>
      <vt:lpstr>'Family Guaranty'!ADD_FINANCIAL</vt:lpstr>
      <vt:lpstr>'Fidelity Bankers'!ADD_FINANCIAL</vt:lpstr>
      <vt:lpstr>'Fidelity Mutual'!ADD_FINANCIAL</vt:lpstr>
      <vt:lpstr>'First Capital'!ADD_FINANCIAL</vt:lpstr>
      <vt:lpstr>'First Natl'!ADD_FINANCIAL</vt:lpstr>
      <vt:lpstr>'First Natl (Thrnr)'!ADD_FINANCIAL</vt:lpstr>
      <vt:lpstr>'Franklin American'!ADD_FINANCIAL</vt:lpstr>
      <vt:lpstr>'Franklin Protective'!ADD_FINANCIAL</vt:lpstr>
      <vt:lpstr>'Freelancers CO-OP'!ADD_FINANCIAL</vt:lpstr>
      <vt:lpstr>Freestone!ADD_FINANCIAL</vt:lpstr>
      <vt:lpstr>'George Washington'!ADD_FINANCIAL</vt:lpstr>
      <vt:lpstr>'Golden State'!ADD_FINANCIAL</vt:lpstr>
      <vt:lpstr>'Guarantee Security'!ADD_FINANCIAL</vt:lpstr>
      <vt:lpstr>HealthyCT!ADD_FINANCIAL</vt:lpstr>
      <vt:lpstr>Imerica!ADD_FINANCIAL</vt:lpstr>
      <vt:lpstr>'Inter-American'!ADD_FINANCIAL</vt:lpstr>
      <vt:lpstr>'International Fin'!ADD_FINANCIAL</vt:lpstr>
      <vt:lpstr>'Investment Life of America'!ADD_FINANCIAL</vt:lpstr>
      <vt:lpstr>'Investors Equity'!ADD_FINANCIAL</vt:lpstr>
      <vt:lpstr>'Kentucky Central'!ADD_FINANCIAL</vt:lpstr>
      <vt:lpstr>'Land of Lincoln'!ADD_FINANCIAL</vt:lpstr>
      <vt:lpstr>Legion!ADD_FINANCIAL</vt:lpstr>
      <vt:lpstr>'Life Health America'!ADD_FINANCIAL</vt:lpstr>
      <vt:lpstr>'Lincoln Memorial'!ADD_FINANCIAL</vt:lpstr>
      <vt:lpstr>'London Pac'!ADD_FINANCIAL</vt:lpstr>
      <vt:lpstr>Lumbermens!ADD_FINANCIAL</vt:lpstr>
      <vt:lpstr>'Medical Savings'!ADD_FINANCIAL</vt:lpstr>
      <vt:lpstr>'Memorial Service'!ADD_FINANCIAL</vt:lpstr>
      <vt:lpstr>Midcontinent!ADD_FINANCIAL</vt:lpstr>
      <vt:lpstr>'Midwest Life'!ADD_FINANCIAL</vt:lpstr>
      <vt:lpstr>'Monarch Life'!ADD_FINANCIAL</vt:lpstr>
      <vt:lpstr>'Mutual Benefit'!ADD_FINANCIAL</vt:lpstr>
      <vt:lpstr>'Mutual Security'!ADD_FINANCIAL</vt:lpstr>
      <vt:lpstr>'National Affiliated'!ADD_FINANCIAL</vt:lpstr>
      <vt:lpstr>'National Heritage'!ADD_FINANCIAL</vt:lpstr>
      <vt:lpstr>'National States'!ADD_FINANCIAL</vt:lpstr>
      <vt:lpstr>'Natl American'!ADD_FINANCIAL</vt:lpstr>
      <vt:lpstr>'New Jersey Life'!ADD_FINANCIAL</vt:lpstr>
      <vt:lpstr>NNIC!ADD_FINANCIAL</vt:lpstr>
      <vt:lpstr>'North Carolina Mutual'!ADD_FINANCIAL</vt:lpstr>
      <vt:lpstr>'Old Colony Life'!ADD_FINANCIAL</vt:lpstr>
      <vt:lpstr>'Old Faithful'!ADD_FINANCIAL</vt:lpstr>
      <vt:lpstr>'Pacific Standard'!ADD_FINANCIAL</vt:lpstr>
      <vt:lpstr>'Pavonia Life'!ADD_FINANCIAL</vt:lpstr>
      <vt:lpstr>'Pen  Treaty'!ADD_FINANCIAL</vt:lpstr>
      <vt:lpstr>'Red Rock'!ADD_FINANCIAL</vt:lpstr>
      <vt:lpstr>Reliance!ADD_FINANCIAL</vt:lpstr>
      <vt:lpstr>SeeChange!ADD_FINANCIAL</vt:lpstr>
      <vt:lpstr>'Senior American'!ADD_FINANCIAL</vt:lpstr>
      <vt:lpstr>Settlers!ADD_FINANCIAL</vt:lpstr>
      <vt:lpstr>Shenandoah!ADD_FINANCIAL</vt:lpstr>
      <vt:lpstr>'Southland National Life'!ADD_FINANCIAL</vt:lpstr>
      <vt:lpstr>'Standard Life IN'!ADD_FINANCIAL</vt:lpstr>
      <vt:lpstr>'States General'!ADD_FINANCIAL</vt:lpstr>
      <vt:lpstr>Statesman!ADD_FINANCIAL</vt:lpstr>
      <vt:lpstr>'Summit National'!ADD_FINANCIAL</vt:lpstr>
      <vt:lpstr>Supreme!ADD_FINANCIAL</vt:lpstr>
      <vt:lpstr>Time!ADD_FINANCIAL</vt:lpstr>
      <vt:lpstr>Underwriters!ADD_FINANCIAL</vt:lpstr>
      <vt:lpstr>Unison!ADD_FINANCIAL</vt:lpstr>
      <vt:lpstr>'United Republic'!ADD_FINANCIAL</vt:lpstr>
      <vt:lpstr>'Universal Health Care'!ADD_FINANCIAL</vt:lpstr>
      <vt:lpstr>'Universal Life'!ADD_FINANCIAL</vt:lpstr>
      <vt:lpstr>Universe!ADD_FINANCIAL</vt:lpstr>
      <vt:lpstr>Villanova!ADD_FINANCIAL</vt:lpstr>
      <vt:lpstr>'AF&amp;L'!AK_FINANCIAL</vt:lpstr>
      <vt:lpstr>'Alabama Life'!AK_FINANCIAL</vt:lpstr>
      <vt:lpstr>'Amer Life Asr'!AK_FINANCIAL</vt:lpstr>
      <vt:lpstr>'Amer Std Life Acc'!AK_FINANCIAL</vt:lpstr>
      <vt:lpstr>'American Chambers'!AK_FINANCIAL</vt:lpstr>
      <vt:lpstr>'American Community'!AK_FINANCIAL</vt:lpstr>
      <vt:lpstr>'American Educators'!AK_FINANCIAL</vt:lpstr>
      <vt:lpstr>'American Integrity'!AK_FINANCIAL</vt:lpstr>
      <vt:lpstr>'American Medical'!AK_FINANCIAL</vt:lpstr>
      <vt:lpstr>'American Network'!AK_FINANCIAL</vt:lpstr>
      <vt:lpstr>AmerWstrn!AK_FINANCIAL</vt:lpstr>
      <vt:lpstr>'AMS Life'!AK_FINANCIAL</vt:lpstr>
      <vt:lpstr>'Andrew Jackson'!AK_FINANCIAL</vt:lpstr>
      <vt:lpstr>'Bankers Commercial'!AK_FINANCIAL</vt:lpstr>
      <vt:lpstr>'Bankers Life'!AK_FINANCIAL</vt:lpstr>
      <vt:lpstr>Benicorp!AK_FINANCIAL</vt:lpstr>
      <vt:lpstr>'Booker T Washington'!AK_FINANCIAL</vt:lpstr>
      <vt:lpstr>Centennial!AK_FINANCIAL</vt:lpstr>
      <vt:lpstr>'CO Bankers'!AK_FINANCIAL</vt:lpstr>
      <vt:lpstr>'Coastal States'!AK_FINANCIAL</vt:lpstr>
      <vt:lpstr>'Colorado Health'!AK_FINANCIAL</vt:lpstr>
      <vt:lpstr>'Compass (dbs Meritus)'!AK_FINANCIAL</vt:lpstr>
      <vt:lpstr>'Confed Life &amp; Annty (CLIAC)'!AK_FINANCIAL</vt:lpstr>
      <vt:lpstr>'Confed Life (CLIC)'!AK_FINANCIAL</vt:lpstr>
      <vt:lpstr>'Consolidated National'!AK_FINANCIAL</vt:lpstr>
      <vt:lpstr>'Consumers Choice'!AK_FINANCIAL</vt:lpstr>
      <vt:lpstr>'Consumers Mutual'!AK_FINANCIAL</vt:lpstr>
      <vt:lpstr>'Consumers United'!AK_FINANCIAL</vt:lpstr>
      <vt:lpstr>CoOportunity!AK_FINANCIAL</vt:lpstr>
      <vt:lpstr>'Coordinated Hlth'!AK_FINANCIAL</vt:lpstr>
      <vt:lpstr>'Corporate Life'!AK_FINANCIAL</vt:lpstr>
      <vt:lpstr>'Diamond Benefits'!AK_FINANCIAL</vt:lpstr>
      <vt:lpstr>'EBL Life'!AK_FINANCIAL</vt:lpstr>
      <vt:lpstr>ELNY!AK_FINANCIAL</vt:lpstr>
      <vt:lpstr>'Executive Life'!AK_FINANCIAL</vt:lpstr>
      <vt:lpstr>'Family Guaranty'!AK_FINANCIAL</vt:lpstr>
      <vt:lpstr>'Fidelity Bankers'!AK_FINANCIAL</vt:lpstr>
      <vt:lpstr>'Fidelity Mutual'!AK_FINANCIAL</vt:lpstr>
      <vt:lpstr>'First Capital'!AK_FINANCIAL</vt:lpstr>
      <vt:lpstr>'First Natl'!AK_FINANCIAL</vt:lpstr>
      <vt:lpstr>'First Natl (Thrnr)'!AK_FINANCIAL</vt:lpstr>
      <vt:lpstr>'Franklin American'!AK_FINANCIAL</vt:lpstr>
      <vt:lpstr>'Franklin Protective'!AK_FINANCIAL</vt:lpstr>
      <vt:lpstr>'Freelancers CO-OP'!AK_FINANCIAL</vt:lpstr>
      <vt:lpstr>Freestone!AK_FINANCIAL</vt:lpstr>
      <vt:lpstr>'George Washington'!AK_FINANCIAL</vt:lpstr>
      <vt:lpstr>'Golden State'!AK_FINANCIAL</vt:lpstr>
      <vt:lpstr>'Guarantee Security'!AK_FINANCIAL</vt:lpstr>
      <vt:lpstr>HealthyCT!AK_FINANCIAL</vt:lpstr>
      <vt:lpstr>Imerica!AK_FINANCIAL</vt:lpstr>
      <vt:lpstr>'Inter-American'!AK_FINANCIAL</vt:lpstr>
      <vt:lpstr>'International Fin'!AK_FINANCIAL</vt:lpstr>
      <vt:lpstr>'Investment Life of America'!AK_FINANCIAL</vt:lpstr>
      <vt:lpstr>'Investors Equity'!AK_FINANCIAL</vt:lpstr>
      <vt:lpstr>'Kentucky Central'!AK_FINANCIAL</vt:lpstr>
      <vt:lpstr>'Land of Lincoln'!AK_FINANCIAL</vt:lpstr>
      <vt:lpstr>Legion!AK_FINANCIAL</vt:lpstr>
      <vt:lpstr>'Life Health America'!AK_FINANCIAL</vt:lpstr>
      <vt:lpstr>'Lincoln Memorial'!AK_FINANCIAL</vt:lpstr>
      <vt:lpstr>'London Pac'!AK_FINANCIAL</vt:lpstr>
      <vt:lpstr>Lumbermens!AK_FINANCIAL</vt:lpstr>
      <vt:lpstr>'Medical Savings'!AK_FINANCIAL</vt:lpstr>
      <vt:lpstr>'Memorial Service'!AK_FINANCIAL</vt:lpstr>
      <vt:lpstr>Midcontinent!AK_FINANCIAL</vt:lpstr>
      <vt:lpstr>'Midwest Life'!AK_FINANCIAL</vt:lpstr>
      <vt:lpstr>'Monarch Life'!AK_FINANCIAL</vt:lpstr>
      <vt:lpstr>'Mutual Benefit'!AK_FINANCIAL</vt:lpstr>
      <vt:lpstr>'Mutual Security'!AK_FINANCIAL</vt:lpstr>
      <vt:lpstr>'National Affiliated'!AK_FINANCIAL</vt:lpstr>
      <vt:lpstr>'National Heritage'!AK_FINANCIAL</vt:lpstr>
      <vt:lpstr>'National States'!AK_FINANCIAL</vt:lpstr>
      <vt:lpstr>'Natl American'!AK_FINANCIAL</vt:lpstr>
      <vt:lpstr>'New Jersey Life'!AK_FINANCIAL</vt:lpstr>
      <vt:lpstr>NNIC!AK_FINANCIAL</vt:lpstr>
      <vt:lpstr>'North Carolina Mutual'!AK_FINANCIAL</vt:lpstr>
      <vt:lpstr>'Old Colony Life'!AK_FINANCIAL</vt:lpstr>
      <vt:lpstr>'Old Faithful'!AK_FINANCIAL</vt:lpstr>
      <vt:lpstr>'Pacific Standard'!AK_FINANCIAL</vt:lpstr>
      <vt:lpstr>'Pavonia Life'!AK_FINANCIAL</vt:lpstr>
      <vt:lpstr>'Pen  Treaty'!AK_FINANCIAL</vt:lpstr>
      <vt:lpstr>'Red Rock'!AK_FINANCIAL</vt:lpstr>
      <vt:lpstr>Reliance!AK_FINANCIAL</vt:lpstr>
      <vt:lpstr>SeeChange!AK_FINANCIAL</vt:lpstr>
      <vt:lpstr>'Senior American'!AK_FINANCIAL</vt:lpstr>
      <vt:lpstr>Settlers!AK_FINANCIAL</vt:lpstr>
      <vt:lpstr>Shenandoah!AK_FINANCIAL</vt:lpstr>
      <vt:lpstr>'Southland National Life'!AK_FINANCIAL</vt:lpstr>
      <vt:lpstr>'Standard Life IN'!AK_FINANCIAL</vt:lpstr>
      <vt:lpstr>'States General'!AK_FINANCIAL</vt:lpstr>
      <vt:lpstr>Statesman!AK_FINANCIAL</vt:lpstr>
      <vt:lpstr>'Summit National'!AK_FINANCIAL</vt:lpstr>
      <vt:lpstr>Supreme!AK_FINANCIAL</vt:lpstr>
      <vt:lpstr>Time!AK_FINANCIAL</vt:lpstr>
      <vt:lpstr>'Total Summary'!AK_FINANCIAL</vt:lpstr>
      <vt:lpstr>Underwriters!AK_FINANCIAL</vt:lpstr>
      <vt:lpstr>Unison!AK_FINANCIAL</vt:lpstr>
      <vt:lpstr>'United Republic'!AK_FINANCIAL</vt:lpstr>
      <vt:lpstr>'Universal Health Care'!AK_FINANCIAL</vt:lpstr>
      <vt:lpstr>'Universal Life'!AK_FINANCIAL</vt:lpstr>
      <vt:lpstr>Universe!AK_FINANCIAL</vt:lpstr>
      <vt:lpstr>Villanova!AK_FINANCIAL</vt:lpstr>
      <vt:lpstr>'AF&amp;L'!AL_FINANCIAL</vt:lpstr>
      <vt:lpstr>'Alabama Life'!AL_FINANCIAL</vt:lpstr>
      <vt:lpstr>'Amer Life Asr'!AL_FINANCIAL</vt:lpstr>
      <vt:lpstr>'Amer Std Life Acc'!AL_FINANCIAL</vt:lpstr>
      <vt:lpstr>'American Chambers'!AL_FINANCIAL</vt:lpstr>
      <vt:lpstr>'American Community'!AL_FINANCIAL</vt:lpstr>
      <vt:lpstr>'American Educators'!AL_FINANCIAL</vt:lpstr>
      <vt:lpstr>'American Integrity'!AL_FINANCIAL</vt:lpstr>
      <vt:lpstr>'American Medical'!AL_FINANCIAL</vt:lpstr>
      <vt:lpstr>'American Network'!AL_FINANCIAL</vt:lpstr>
      <vt:lpstr>AmerWstrn!AL_FINANCIAL</vt:lpstr>
      <vt:lpstr>'AMS Life'!AL_FINANCIAL</vt:lpstr>
      <vt:lpstr>'Andrew Jackson'!AL_FINANCIAL</vt:lpstr>
      <vt:lpstr>'Bankers Commercial'!AL_FINANCIAL</vt:lpstr>
      <vt:lpstr>'Bankers Life'!AL_FINANCIAL</vt:lpstr>
      <vt:lpstr>Benicorp!AL_FINANCIAL</vt:lpstr>
      <vt:lpstr>'Booker T Washington'!AL_FINANCIAL</vt:lpstr>
      <vt:lpstr>Centennial!AL_FINANCIAL</vt:lpstr>
      <vt:lpstr>'CO Bankers'!AL_FINANCIAL</vt:lpstr>
      <vt:lpstr>'Coastal States'!AL_FINANCIAL</vt:lpstr>
      <vt:lpstr>'Colorado Health'!AL_FINANCIAL</vt:lpstr>
      <vt:lpstr>'Compass (dbs Meritus)'!AL_FINANCIAL</vt:lpstr>
      <vt:lpstr>'Confed Life &amp; Annty (CLIAC)'!AL_FINANCIAL</vt:lpstr>
      <vt:lpstr>'Confed Life (CLIC)'!AL_FINANCIAL</vt:lpstr>
      <vt:lpstr>'Consolidated National'!AL_FINANCIAL</vt:lpstr>
      <vt:lpstr>'Consumers Choice'!AL_FINANCIAL</vt:lpstr>
      <vt:lpstr>'Consumers Mutual'!AL_FINANCIAL</vt:lpstr>
      <vt:lpstr>'Consumers United'!AL_FINANCIAL</vt:lpstr>
      <vt:lpstr>CoOportunity!AL_FINANCIAL</vt:lpstr>
      <vt:lpstr>'Coordinated Hlth'!AL_FINANCIAL</vt:lpstr>
      <vt:lpstr>'Corporate Life'!AL_FINANCIAL</vt:lpstr>
      <vt:lpstr>'Diamond Benefits'!AL_FINANCIAL</vt:lpstr>
      <vt:lpstr>'EBL Life'!AL_FINANCIAL</vt:lpstr>
      <vt:lpstr>ELNY!AL_FINANCIAL</vt:lpstr>
      <vt:lpstr>'Executive Life'!AL_FINANCIAL</vt:lpstr>
      <vt:lpstr>'Family Guaranty'!AL_FINANCIAL</vt:lpstr>
      <vt:lpstr>'Fidelity Bankers'!AL_FINANCIAL</vt:lpstr>
      <vt:lpstr>'Fidelity Mutual'!AL_FINANCIAL</vt:lpstr>
      <vt:lpstr>'First Capital'!AL_FINANCIAL</vt:lpstr>
      <vt:lpstr>'First Natl'!AL_FINANCIAL</vt:lpstr>
      <vt:lpstr>'First Natl (Thrnr)'!AL_FINANCIAL</vt:lpstr>
      <vt:lpstr>'Franklin American'!AL_FINANCIAL</vt:lpstr>
      <vt:lpstr>'Franklin Protective'!AL_FINANCIAL</vt:lpstr>
      <vt:lpstr>'Freelancers CO-OP'!AL_FINANCIAL</vt:lpstr>
      <vt:lpstr>Freestone!AL_FINANCIAL</vt:lpstr>
      <vt:lpstr>'George Washington'!AL_FINANCIAL</vt:lpstr>
      <vt:lpstr>'Golden State'!AL_FINANCIAL</vt:lpstr>
      <vt:lpstr>'Guarantee Security'!AL_FINANCIAL</vt:lpstr>
      <vt:lpstr>HealthyCT!AL_FINANCIAL</vt:lpstr>
      <vt:lpstr>Imerica!AL_FINANCIAL</vt:lpstr>
      <vt:lpstr>'Inter-American'!AL_FINANCIAL</vt:lpstr>
      <vt:lpstr>'International Fin'!AL_FINANCIAL</vt:lpstr>
      <vt:lpstr>'Investment Life of America'!AL_FINANCIAL</vt:lpstr>
      <vt:lpstr>'Investors Equity'!AL_FINANCIAL</vt:lpstr>
      <vt:lpstr>'Kentucky Central'!AL_FINANCIAL</vt:lpstr>
      <vt:lpstr>'Land of Lincoln'!AL_FINANCIAL</vt:lpstr>
      <vt:lpstr>Legion!AL_FINANCIAL</vt:lpstr>
      <vt:lpstr>'Life Health America'!AL_FINANCIAL</vt:lpstr>
      <vt:lpstr>'Lincoln Memorial'!AL_FINANCIAL</vt:lpstr>
      <vt:lpstr>'London Pac'!AL_FINANCIAL</vt:lpstr>
      <vt:lpstr>Lumbermens!AL_FINANCIAL</vt:lpstr>
      <vt:lpstr>'Medical Savings'!AL_FINANCIAL</vt:lpstr>
      <vt:lpstr>'Memorial Service'!AL_FINANCIAL</vt:lpstr>
      <vt:lpstr>Midcontinent!AL_FINANCIAL</vt:lpstr>
      <vt:lpstr>'Midwest Life'!AL_FINANCIAL</vt:lpstr>
      <vt:lpstr>'Monarch Life'!AL_FINANCIAL</vt:lpstr>
      <vt:lpstr>'Mutual Benefit'!AL_FINANCIAL</vt:lpstr>
      <vt:lpstr>'Mutual Security'!AL_FINANCIAL</vt:lpstr>
      <vt:lpstr>'National Affiliated'!AL_FINANCIAL</vt:lpstr>
      <vt:lpstr>'National Heritage'!AL_FINANCIAL</vt:lpstr>
      <vt:lpstr>'National States'!AL_FINANCIAL</vt:lpstr>
      <vt:lpstr>'Natl American'!AL_FINANCIAL</vt:lpstr>
      <vt:lpstr>'New Jersey Life'!AL_FINANCIAL</vt:lpstr>
      <vt:lpstr>NNIC!AL_FINANCIAL</vt:lpstr>
      <vt:lpstr>'North Carolina Mutual'!AL_FINANCIAL</vt:lpstr>
      <vt:lpstr>'Old Colony Life'!AL_FINANCIAL</vt:lpstr>
      <vt:lpstr>'Old Faithful'!AL_FINANCIAL</vt:lpstr>
      <vt:lpstr>'Pacific Standard'!AL_FINANCIAL</vt:lpstr>
      <vt:lpstr>'Pavonia Life'!AL_FINANCIAL</vt:lpstr>
      <vt:lpstr>'Pen  Treaty'!AL_FINANCIAL</vt:lpstr>
      <vt:lpstr>'Red Rock'!AL_FINANCIAL</vt:lpstr>
      <vt:lpstr>Reliance!AL_FINANCIAL</vt:lpstr>
      <vt:lpstr>SeeChange!AL_FINANCIAL</vt:lpstr>
      <vt:lpstr>'Senior American'!AL_FINANCIAL</vt:lpstr>
      <vt:lpstr>Settlers!AL_FINANCIAL</vt:lpstr>
      <vt:lpstr>Shenandoah!AL_FINANCIAL</vt:lpstr>
      <vt:lpstr>'Southland National Life'!AL_FINANCIAL</vt:lpstr>
      <vt:lpstr>'Standard Life IN'!AL_FINANCIAL</vt:lpstr>
      <vt:lpstr>'States General'!AL_FINANCIAL</vt:lpstr>
      <vt:lpstr>Statesman!AL_FINANCIAL</vt:lpstr>
      <vt:lpstr>'Summit National'!AL_FINANCIAL</vt:lpstr>
      <vt:lpstr>Supreme!AL_FINANCIAL</vt:lpstr>
      <vt:lpstr>Time!AL_FINANCIAL</vt:lpstr>
      <vt:lpstr>'Total Summary'!AL_FINANCIAL</vt:lpstr>
      <vt:lpstr>Underwriters!AL_FINANCIAL</vt:lpstr>
      <vt:lpstr>Unison!AL_FINANCIAL</vt:lpstr>
      <vt:lpstr>'United Republic'!AL_FINANCIAL</vt:lpstr>
      <vt:lpstr>'Universal Health Care'!AL_FINANCIAL</vt:lpstr>
      <vt:lpstr>'Universal Life'!AL_FINANCIAL</vt:lpstr>
      <vt:lpstr>Universe!AL_FINANCIAL</vt:lpstr>
      <vt:lpstr>Villanova!AL_FINANCIAL</vt:lpstr>
      <vt:lpstr>'AF&amp;L'!ALL_BLOCKS</vt:lpstr>
      <vt:lpstr>'Alabama Life'!ALL_BLOCKS</vt:lpstr>
      <vt:lpstr>'Amer Life Asr'!ALL_BLOCKS</vt:lpstr>
      <vt:lpstr>'Amer Std Life Acc'!ALL_BLOCKS</vt:lpstr>
      <vt:lpstr>'American Chambers'!ALL_BLOCKS</vt:lpstr>
      <vt:lpstr>'American Community'!ALL_BLOCKS</vt:lpstr>
      <vt:lpstr>'American Educators'!ALL_BLOCKS</vt:lpstr>
      <vt:lpstr>'American Integrity'!ALL_BLOCKS</vt:lpstr>
      <vt:lpstr>'American Medical'!ALL_BLOCKS</vt:lpstr>
      <vt:lpstr>'American Network'!ALL_BLOCKS</vt:lpstr>
      <vt:lpstr>AmerWstrn!ALL_BLOCKS</vt:lpstr>
      <vt:lpstr>'AMS Life'!ALL_BLOCKS</vt:lpstr>
      <vt:lpstr>'Andrew Jackson'!ALL_BLOCKS</vt:lpstr>
      <vt:lpstr>'Bankers Commercial'!ALL_BLOCKS</vt:lpstr>
      <vt:lpstr>'Bankers Life'!ALL_BLOCKS</vt:lpstr>
      <vt:lpstr>Benicorp!ALL_BLOCKS</vt:lpstr>
      <vt:lpstr>'Booker T Washington'!ALL_BLOCKS</vt:lpstr>
      <vt:lpstr>Centennial!ALL_BLOCKS</vt:lpstr>
      <vt:lpstr>'CO Bankers'!ALL_BLOCKS</vt:lpstr>
      <vt:lpstr>'Coastal States'!ALL_BLOCKS</vt:lpstr>
      <vt:lpstr>'Colorado Health'!ALL_BLOCKS</vt:lpstr>
      <vt:lpstr>'Compass (dbs Meritus)'!ALL_BLOCKS</vt:lpstr>
      <vt:lpstr>'Confed Life &amp; Annty (CLIAC)'!ALL_BLOCKS</vt:lpstr>
      <vt:lpstr>'Confed Life (CLIC)'!ALL_BLOCKS</vt:lpstr>
      <vt:lpstr>'Consolidated National'!ALL_BLOCKS</vt:lpstr>
      <vt:lpstr>'Consumers Choice'!ALL_BLOCKS</vt:lpstr>
      <vt:lpstr>'Consumers Mutual'!ALL_BLOCKS</vt:lpstr>
      <vt:lpstr>'Consumers United'!ALL_BLOCKS</vt:lpstr>
      <vt:lpstr>CoOportunity!ALL_BLOCKS</vt:lpstr>
      <vt:lpstr>'Coordinated Hlth'!ALL_BLOCKS</vt:lpstr>
      <vt:lpstr>'Corporate Life'!ALL_BLOCKS</vt:lpstr>
      <vt:lpstr>'Diamond Benefits'!ALL_BLOCKS</vt:lpstr>
      <vt:lpstr>'EBL Life'!ALL_BLOCKS</vt:lpstr>
      <vt:lpstr>ELNY!ALL_BLOCKS</vt:lpstr>
      <vt:lpstr>'Executive Life'!ALL_BLOCKS</vt:lpstr>
      <vt:lpstr>'Family Guaranty'!ALL_BLOCKS</vt:lpstr>
      <vt:lpstr>'Fidelity Bankers'!ALL_BLOCKS</vt:lpstr>
      <vt:lpstr>'Fidelity Mutual'!ALL_BLOCKS</vt:lpstr>
      <vt:lpstr>'First Capital'!ALL_BLOCKS</vt:lpstr>
      <vt:lpstr>'First Natl'!ALL_BLOCKS</vt:lpstr>
      <vt:lpstr>'First Natl (Thrnr)'!ALL_BLOCKS</vt:lpstr>
      <vt:lpstr>'Franklin American'!ALL_BLOCKS</vt:lpstr>
      <vt:lpstr>'Franklin Protective'!ALL_BLOCKS</vt:lpstr>
      <vt:lpstr>'Freelancers CO-OP'!ALL_BLOCKS</vt:lpstr>
      <vt:lpstr>Freestone!ALL_BLOCKS</vt:lpstr>
      <vt:lpstr>'George Washington'!ALL_BLOCKS</vt:lpstr>
      <vt:lpstr>'Golden State'!ALL_BLOCKS</vt:lpstr>
      <vt:lpstr>'Guarantee Security'!ALL_BLOCKS</vt:lpstr>
      <vt:lpstr>HealthyCT!ALL_BLOCKS</vt:lpstr>
      <vt:lpstr>Imerica!ALL_BLOCKS</vt:lpstr>
      <vt:lpstr>'Inter-American'!ALL_BLOCKS</vt:lpstr>
      <vt:lpstr>'International Fin'!ALL_BLOCKS</vt:lpstr>
      <vt:lpstr>'Investment Life of America'!ALL_BLOCKS</vt:lpstr>
      <vt:lpstr>'Investors Equity'!ALL_BLOCKS</vt:lpstr>
      <vt:lpstr>'Kentucky Central'!ALL_BLOCKS</vt:lpstr>
      <vt:lpstr>'Land of Lincoln'!ALL_BLOCKS</vt:lpstr>
      <vt:lpstr>Legion!ALL_BLOCKS</vt:lpstr>
      <vt:lpstr>'Life Health America'!ALL_BLOCKS</vt:lpstr>
      <vt:lpstr>'Lincoln Memorial'!ALL_BLOCKS</vt:lpstr>
      <vt:lpstr>'London Pac'!ALL_BLOCKS</vt:lpstr>
      <vt:lpstr>Lumbermens!ALL_BLOCKS</vt:lpstr>
      <vt:lpstr>'Medical Savings'!ALL_BLOCKS</vt:lpstr>
      <vt:lpstr>'Memorial Service'!ALL_BLOCKS</vt:lpstr>
      <vt:lpstr>Midcontinent!ALL_BLOCKS</vt:lpstr>
      <vt:lpstr>'Midwest Life'!ALL_BLOCKS</vt:lpstr>
      <vt:lpstr>'Monarch Life'!ALL_BLOCKS</vt:lpstr>
      <vt:lpstr>'Mutual Benefit'!ALL_BLOCKS</vt:lpstr>
      <vt:lpstr>'Mutual Security'!ALL_BLOCKS</vt:lpstr>
      <vt:lpstr>'National Affiliated'!ALL_BLOCKS</vt:lpstr>
      <vt:lpstr>'National Heritage'!ALL_BLOCKS</vt:lpstr>
      <vt:lpstr>'National States'!ALL_BLOCKS</vt:lpstr>
      <vt:lpstr>'Natl American'!ALL_BLOCKS</vt:lpstr>
      <vt:lpstr>'New Jersey Life'!ALL_BLOCKS</vt:lpstr>
      <vt:lpstr>NNIC!ALL_BLOCKS</vt:lpstr>
      <vt:lpstr>'North Carolina Mutual'!ALL_BLOCKS</vt:lpstr>
      <vt:lpstr>'Old Colony Life'!ALL_BLOCKS</vt:lpstr>
      <vt:lpstr>'Old Faithful'!ALL_BLOCKS</vt:lpstr>
      <vt:lpstr>'Pacific Standard'!ALL_BLOCKS</vt:lpstr>
      <vt:lpstr>'Pavonia Life'!ALL_BLOCKS</vt:lpstr>
      <vt:lpstr>'Pen  Treaty'!ALL_BLOCKS</vt:lpstr>
      <vt:lpstr>'Red Rock'!ALL_BLOCKS</vt:lpstr>
      <vt:lpstr>Reliance!ALL_BLOCKS</vt:lpstr>
      <vt:lpstr>SeeChange!ALL_BLOCKS</vt:lpstr>
      <vt:lpstr>'Senior American'!ALL_BLOCKS</vt:lpstr>
      <vt:lpstr>Settlers!ALL_BLOCKS</vt:lpstr>
      <vt:lpstr>Shenandoah!ALL_BLOCKS</vt:lpstr>
      <vt:lpstr>'Southland National Life'!ALL_BLOCKS</vt:lpstr>
      <vt:lpstr>'Standard Life IN'!ALL_BLOCKS</vt:lpstr>
      <vt:lpstr>'States General'!ALL_BLOCKS</vt:lpstr>
      <vt:lpstr>Statesman!ALL_BLOCKS</vt:lpstr>
      <vt:lpstr>'Summit National'!ALL_BLOCKS</vt:lpstr>
      <vt:lpstr>Supreme!ALL_BLOCKS</vt:lpstr>
      <vt:lpstr>Time!ALL_BLOCKS</vt:lpstr>
      <vt:lpstr>'Total Summary'!ALL_BLOCKS</vt:lpstr>
      <vt:lpstr>Underwriters!ALL_BLOCKS</vt:lpstr>
      <vt:lpstr>Unison!ALL_BLOCKS</vt:lpstr>
      <vt:lpstr>'United Republic'!ALL_BLOCKS</vt:lpstr>
      <vt:lpstr>'Universal Health Care'!ALL_BLOCKS</vt:lpstr>
      <vt:lpstr>'Universal Life'!ALL_BLOCKS</vt:lpstr>
      <vt:lpstr>Universe!ALL_BLOCKS</vt:lpstr>
      <vt:lpstr>Villanova!ALL_BLOCKS</vt:lpstr>
      <vt:lpstr>'AF&amp;L'!ALLOC_CALLED</vt:lpstr>
      <vt:lpstr>'Alabama Life'!ALLOC_CALLED</vt:lpstr>
      <vt:lpstr>'Amer Life Asr'!ALLOC_CALLED</vt:lpstr>
      <vt:lpstr>'Amer Std Life Acc'!ALLOC_CALLED</vt:lpstr>
      <vt:lpstr>'American Chambers'!ALLOC_CALLED</vt:lpstr>
      <vt:lpstr>'American Community'!ALLOC_CALLED</vt:lpstr>
      <vt:lpstr>'American Educators'!ALLOC_CALLED</vt:lpstr>
      <vt:lpstr>'American Integrity'!ALLOC_CALLED</vt:lpstr>
      <vt:lpstr>'American Medical'!ALLOC_CALLED</vt:lpstr>
      <vt:lpstr>'American Network'!ALLOC_CALLED</vt:lpstr>
      <vt:lpstr>AmerWstrn!ALLOC_CALLED</vt:lpstr>
      <vt:lpstr>'AMS Life'!ALLOC_CALLED</vt:lpstr>
      <vt:lpstr>'Andrew Jackson'!ALLOC_CALLED</vt:lpstr>
      <vt:lpstr>'Bankers Commercial'!ALLOC_CALLED</vt:lpstr>
      <vt:lpstr>'Bankers Life'!ALLOC_CALLED</vt:lpstr>
      <vt:lpstr>Benicorp!ALLOC_CALLED</vt:lpstr>
      <vt:lpstr>'Booker T Washington'!ALLOC_CALLED</vt:lpstr>
      <vt:lpstr>Centennial!ALLOC_CALLED</vt:lpstr>
      <vt:lpstr>'CO Bankers'!ALLOC_CALLED</vt:lpstr>
      <vt:lpstr>'Coastal States'!ALLOC_CALLED</vt:lpstr>
      <vt:lpstr>'Colorado Health'!ALLOC_CALLED</vt:lpstr>
      <vt:lpstr>'Compass (dbs Meritus)'!ALLOC_CALLED</vt:lpstr>
      <vt:lpstr>'Confed Life &amp; Annty (CLIAC)'!ALLOC_CALLED</vt:lpstr>
      <vt:lpstr>'Confed Life (CLIC)'!ALLOC_CALLED</vt:lpstr>
      <vt:lpstr>'Consolidated National'!ALLOC_CALLED</vt:lpstr>
      <vt:lpstr>'Consumers Choice'!ALLOC_CALLED</vt:lpstr>
      <vt:lpstr>'Consumers Mutual'!ALLOC_CALLED</vt:lpstr>
      <vt:lpstr>'Consumers United'!ALLOC_CALLED</vt:lpstr>
      <vt:lpstr>CoOportunity!ALLOC_CALLED</vt:lpstr>
      <vt:lpstr>'Coordinated Hlth'!ALLOC_CALLED</vt:lpstr>
      <vt:lpstr>'Corporate Life'!ALLOC_CALLED</vt:lpstr>
      <vt:lpstr>'Diamond Benefits'!ALLOC_CALLED</vt:lpstr>
      <vt:lpstr>'EBL Life'!ALLOC_CALLED</vt:lpstr>
      <vt:lpstr>ELNY!ALLOC_CALLED</vt:lpstr>
      <vt:lpstr>'Executive Life'!ALLOC_CALLED</vt:lpstr>
      <vt:lpstr>'Family Guaranty'!ALLOC_CALLED</vt:lpstr>
      <vt:lpstr>'Fidelity Bankers'!ALLOC_CALLED</vt:lpstr>
      <vt:lpstr>'Fidelity Mutual'!ALLOC_CALLED</vt:lpstr>
      <vt:lpstr>'First Capital'!ALLOC_CALLED</vt:lpstr>
      <vt:lpstr>'First Natl'!ALLOC_CALLED</vt:lpstr>
      <vt:lpstr>'First Natl (Thrnr)'!ALLOC_CALLED</vt:lpstr>
      <vt:lpstr>'Franklin American'!ALLOC_CALLED</vt:lpstr>
      <vt:lpstr>'Franklin Protective'!ALLOC_CALLED</vt:lpstr>
      <vt:lpstr>'Freelancers CO-OP'!ALLOC_CALLED</vt:lpstr>
      <vt:lpstr>Freestone!ALLOC_CALLED</vt:lpstr>
      <vt:lpstr>'George Washington'!ALLOC_CALLED</vt:lpstr>
      <vt:lpstr>'Golden State'!ALLOC_CALLED</vt:lpstr>
      <vt:lpstr>'Guarantee Security'!ALLOC_CALLED</vt:lpstr>
      <vt:lpstr>HealthyCT!ALLOC_CALLED</vt:lpstr>
      <vt:lpstr>Imerica!ALLOC_CALLED</vt:lpstr>
      <vt:lpstr>'Inter-American'!ALLOC_CALLED</vt:lpstr>
      <vt:lpstr>'International Fin'!ALLOC_CALLED</vt:lpstr>
      <vt:lpstr>'Investment Life of America'!ALLOC_CALLED</vt:lpstr>
      <vt:lpstr>'Investors Equity'!ALLOC_CALLED</vt:lpstr>
      <vt:lpstr>'Kentucky Central'!ALLOC_CALLED</vt:lpstr>
      <vt:lpstr>'Land of Lincoln'!ALLOC_CALLED</vt:lpstr>
      <vt:lpstr>Legion!ALLOC_CALLED</vt:lpstr>
      <vt:lpstr>'Life Health America'!ALLOC_CALLED</vt:lpstr>
      <vt:lpstr>'Lincoln Memorial'!ALLOC_CALLED</vt:lpstr>
      <vt:lpstr>'London Pac'!ALLOC_CALLED</vt:lpstr>
      <vt:lpstr>Lumbermens!ALLOC_CALLED</vt:lpstr>
      <vt:lpstr>'Medical Savings'!ALLOC_CALLED</vt:lpstr>
      <vt:lpstr>'Memorial Service'!ALLOC_CALLED</vt:lpstr>
      <vt:lpstr>Midcontinent!ALLOC_CALLED</vt:lpstr>
      <vt:lpstr>'Midwest Life'!ALLOC_CALLED</vt:lpstr>
      <vt:lpstr>'Monarch Life'!ALLOC_CALLED</vt:lpstr>
      <vt:lpstr>'Mutual Benefit'!ALLOC_CALLED</vt:lpstr>
      <vt:lpstr>'Mutual Security'!ALLOC_CALLED</vt:lpstr>
      <vt:lpstr>'National Affiliated'!ALLOC_CALLED</vt:lpstr>
      <vt:lpstr>'National Heritage'!ALLOC_CALLED</vt:lpstr>
      <vt:lpstr>'National States'!ALLOC_CALLED</vt:lpstr>
      <vt:lpstr>'Natl American'!ALLOC_CALLED</vt:lpstr>
      <vt:lpstr>'New Jersey Life'!ALLOC_CALLED</vt:lpstr>
      <vt:lpstr>NNIC!ALLOC_CALLED</vt:lpstr>
      <vt:lpstr>'North Carolina Mutual'!ALLOC_CALLED</vt:lpstr>
      <vt:lpstr>'Old Colony Life'!ALLOC_CALLED</vt:lpstr>
      <vt:lpstr>'Old Faithful'!ALLOC_CALLED</vt:lpstr>
      <vt:lpstr>'Pacific Standard'!ALLOC_CALLED</vt:lpstr>
      <vt:lpstr>'Pavonia Life'!ALLOC_CALLED</vt:lpstr>
      <vt:lpstr>'Pen  Treaty'!ALLOC_CALLED</vt:lpstr>
      <vt:lpstr>'Red Rock'!ALLOC_CALLED</vt:lpstr>
      <vt:lpstr>Reliance!ALLOC_CALLED</vt:lpstr>
      <vt:lpstr>SeeChange!ALLOC_CALLED</vt:lpstr>
      <vt:lpstr>'Senior American'!ALLOC_CALLED</vt:lpstr>
      <vt:lpstr>Settlers!ALLOC_CALLED</vt:lpstr>
      <vt:lpstr>Shenandoah!ALLOC_CALLED</vt:lpstr>
      <vt:lpstr>'Southland National Life'!ALLOC_CALLED</vt:lpstr>
      <vt:lpstr>'Standard Life IN'!ALLOC_CALLED</vt:lpstr>
      <vt:lpstr>'States General'!ALLOC_CALLED</vt:lpstr>
      <vt:lpstr>Statesman!ALLOC_CALLED</vt:lpstr>
      <vt:lpstr>'Summit National'!ALLOC_CALLED</vt:lpstr>
      <vt:lpstr>Supreme!ALLOC_CALLED</vt:lpstr>
      <vt:lpstr>Time!ALLOC_CALLED</vt:lpstr>
      <vt:lpstr>'Total Summary'!ALLOC_CALLED</vt:lpstr>
      <vt:lpstr>Underwriters!ALLOC_CALLED</vt:lpstr>
      <vt:lpstr>Unison!ALLOC_CALLED</vt:lpstr>
      <vt:lpstr>'United Republic'!ALLOC_CALLED</vt:lpstr>
      <vt:lpstr>'Universal Health Care'!ALLOC_CALLED</vt:lpstr>
      <vt:lpstr>'Universal Life'!ALLOC_CALLED</vt:lpstr>
      <vt:lpstr>Universe!ALLOC_CALLED</vt:lpstr>
      <vt:lpstr>Villanova!ALLOC_CALLED</vt:lpstr>
      <vt:lpstr>'AF&amp;L'!ALLOC_REFUNDED</vt:lpstr>
      <vt:lpstr>'Alabama Life'!ALLOC_REFUNDED</vt:lpstr>
      <vt:lpstr>'Amer Life Asr'!ALLOC_REFUNDED</vt:lpstr>
      <vt:lpstr>'Amer Std Life Acc'!ALLOC_REFUNDED</vt:lpstr>
      <vt:lpstr>'American Chambers'!ALLOC_REFUNDED</vt:lpstr>
      <vt:lpstr>'American Community'!ALLOC_REFUNDED</vt:lpstr>
      <vt:lpstr>'American Educators'!ALLOC_REFUNDED</vt:lpstr>
      <vt:lpstr>'American Integrity'!ALLOC_REFUNDED</vt:lpstr>
      <vt:lpstr>'American Medical'!ALLOC_REFUNDED</vt:lpstr>
      <vt:lpstr>'American Network'!ALLOC_REFUNDED</vt:lpstr>
      <vt:lpstr>AmerWstrn!ALLOC_REFUNDED</vt:lpstr>
      <vt:lpstr>'AMS Life'!ALLOC_REFUNDED</vt:lpstr>
      <vt:lpstr>'Andrew Jackson'!ALLOC_REFUNDED</vt:lpstr>
      <vt:lpstr>'Bankers Commercial'!ALLOC_REFUNDED</vt:lpstr>
      <vt:lpstr>'Bankers Life'!ALLOC_REFUNDED</vt:lpstr>
      <vt:lpstr>Benicorp!ALLOC_REFUNDED</vt:lpstr>
      <vt:lpstr>'Booker T Washington'!ALLOC_REFUNDED</vt:lpstr>
      <vt:lpstr>Centennial!ALLOC_REFUNDED</vt:lpstr>
      <vt:lpstr>'CO Bankers'!ALLOC_REFUNDED</vt:lpstr>
      <vt:lpstr>'Coastal States'!ALLOC_REFUNDED</vt:lpstr>
      <vt:lpstr>'Colorado Health'!ALLOC_REFUNDED</vt:lpstr>
      <vt:lpstr>'Compass (dbs Meritus)'!ALLOC_REFUNDED</vt:lpstr>
      <vt:lpstr>'Confed Life &amp; Annty (CLIAC)'!ALLOC_REFUNDED</vt:lpstr>
      <vt:lpstr>'Confed Life (CLIC)'!ALLOC_REFUNDED</vt:lpstr>
      <vt:lpstr>'Consolidated National'!ALLOC_REFUNDED</vt:lpstr>
      <vt:lpstr>'Consumers Choice'!ALLOC_REFUNDED</vt:lpstr>
      <vt:lpstr>'Consumers Mutual'!ALLOC_REFUNDED</vt:lpstr>
      <vt:lpstr>'Consumers United'!ALLOC_REFUNDED</vt:lpstr>
      <vt:lpstr>CoOportunity!ALLOC_REFUNDED</vt:lpstr>
      <vt:lpstr>'Coordinated Hlth'!ALLOC_REFUNDED</vt:lpstr>
      <vt:lpstr>'Corporate Life'!ALLOC_REFUNDED</vt:lpstr>
      <vt:lpstr>'Diamond Benefits'!ALLOC_REFUNDED</vt:lpstr>
      <vt:lpstr>'EBL Life'!ALLOC_REFUNDED</vt:lpstr>
      <vt:lpstr>ELNY!ALLOC_REFUNDED</vt:lpstr>
      <vt:lpstr>'Executive Life'!ALLOC_REFUNDED</vt:lpstr>
      <vt:lpstr>'Family Guaranty'!ALLOC_REFUNDED</vt:lpstr>
      <vt:lpstr>'Fidelity Bankers'!ALLOC_REFUNDED</vt:lpstr>
      <vt:lpstr>'Fidelity Mutual'!ALLOC_REFUNDED</vt:lpstr>
      <vt:lpstr>'First Capital'!ALLOC_REFUNDED</vt:lpstr>
      <vt:lpstr>'First Natl'!ALLOC_REFUNDED</vt:lpstr>
      <vt:lpstr>'First Natl (Thrnr)'!ALLOC_REFUNDED</vt:lpstr>
      <vt:lpstr>'Franklin American'!ALLOC_REFUNDED</vt:lpstr>
      <vt:lpstr>'Franklin Protective'!ALLOC_REFUNDED</vt:lpstr>
      <vt:lpstr>'Freelancers CO-OP'!ALLOC_REFUNDED</vt:lpstr>
      <vt:lpstr>Freestone!ALLOC_REFUNDED</vt:lpstr>
      <vt:lpstr>'George Washington'!ALLOC_REFUNDED</vt:lpstr>
      <vt:lpstr>'Golden State'!ALLOC_REFUNDED</vt:lpstr>
      <vt:lpstr>'Guarantee Security'!ALLOC_REFUNDED</vt:lpstr>
      <vt:lpstr>HealthyCT!ALLOC_REFUNDED</vt:lpstr>
      <vt:lpstr>Imerica!ALLOC_REFUNDED</vt:lpstr>
      <vt:lpstr>'Inter-American'!ALLOC_REFUNDED</vt:lpstr>
      <vt:lpstr>'International Fin'!ALLOC_REFUNDED</vt:lpstr>
      <vt:lpstr>'Investment Life of America'!ALLOC_REFUNDED</vt:lpstr>
      <vt:lpstr>'Investors Equity'!ALLOC_REFUNDED</vt:lpstr>
      <vt:lpstr>'Kentucky Central'!ALLOC_REFUNDED</vt:lpstr>
      <vt:lpstr>'Land of Lincoln'!ALLOC_REFUNDED</vt:lpstr>
      <vt:lpstr>Legion!ALLOC_REFUNDED</vt:lpstr>
      <vt:lpstr>'Life Health America'!ALLOC_REFUNDED</vt:lpstr>
      <vt:lpstr>'Lincoln Memorial'!ALLOC_REFUNDED</vt:lpstr>
      <vt:lpstr>'London Pac'!ALLOC_REFUNDED</vt:lpstr>
      <vt:lpstr>Lumbermens!ALLOC_REFUNDED</vt:lpstr>
      <vt:lpstr>'Medical Savings'!ALLOC_REFUNDED</vt:lpstr>
      <vt:lpstr>'Memorial Service'!ALLOC_REFUNDED</vt:lpstr>
      <vt:lpstr>Midcontinent!ALLOC_REFUNDED</vt:lpstr>
      <vt:lpstr>'Midwest Life'!ALLOC_REFUNDED</vt:lpstr>
      <vt:lpstr>'Monarch Life'!ALLOC_REFUNDED</vt:lpstr>
      <vt:lpstr>'Mutual Benefit'!ALLOC_REFUNDED</vt:lpstr>
      <vt:lpstr>'Mutual Security'!ALLOC_REFUNDED</vt:lpstr>
      <vt:lpstr>'National Affiliated'!ALLOC_REFUNDED</vt:lpstr>
      <vt:lpstr>'National Heritage'!ALLOC_REFUNDED</vt:lpstr>
      <vt:lpstr>'National States'!ALLOC_REFUNDED</vt:lpstr>
      <vt:lpstr>'Natl American'!ALLOC_REFUNDED</vt:lpstr>
      <vt:lpstr>'New Jersey Life'!ALLOC_REFUNDED</vt:lpstr>
      <vt:lpstr>NNIC!ALLOC_REFUNDED</vt:lpstr>
      <vt:lpstr>'North Carolina Mutual'!ALLOC_REFUNDED</vt:lpstr>
      <vt:lpstr>'Old Colony Life'!ALLOC_REFUNDED</vt:lpstr>
      <vt:lpstr>'Old Faithful'!ALLOC_REFUNDED</vt:lpstr>
      <vt:lpstr>'Pacific Standard'!ALLOC_REFUNDED</vt:lpstr>
      <vt:lpstr>'Pavonia Life'!ALLOC_REFUNDED</vt:lpstr>
      <vt:lpstr>'Pen  Treaty'!ALLOC_REFUNDED</vt:lpstr>
      <vt:lpstr>'Red Rock'!ALLOC_REFUNDED</vt:lpstr>
      <vt:lpstr>Reliance!ALLOC_REFUNDED</vt:lpstr>
      <vt:lpstr>SeeChange!ALLOC_REFUNDED</vt:lpstr>
      <vt:lpstr>'Senior American'!ALLOC_REFUNDED</vt:lpstr>
      <vt:lpstr>Settlers!ALLOC_REFUNDED</vt:lpstr>
      <vt:lpstr>Shenandoah!ALLOC_REFUNDED</vt:lpstr>
      <vt:lpstr>'Southland National Life'!ALLOC_REFUNDED</vt:lpstr>
      <vt:lpstr>'Standard Life IN'!ALLOC_REFUNDED</vt:lpstr>
      <vt:lpstr>'States General'!ALLOC_REFUNDED</vt:lpstr>
      <vt:lpstr>Statesman!ALLOC_REFUNDED</vt:lpstr>
      <vt:lpstr>'Summit National'!ALLOC_REFUNDED</vt:lpstr>
      <vt:lpstr>Supreme!ALLOC_REFUNDED</vt:lpstr>
      <vt:lpstr>Time!ALLOC_REFUNDED</vt:lpstr>
      <vt:lpstr>'Total Summary'!ALLOC_REFUNDED</vt:lpstr>
      <vt:lpstr>Underwriters!ALLOC_REFUNDED</vt:lpstr>
      <vt:lpstr>Unison!ALLOC_REFUNDED</vt:lpstr>
      <vt:lpstr>'United Republic'!ALLOC_REFUNDED</vt:lpstr>
      <vt:lpstr>'Universal Health Care'!ALLOC_REFUNDED</vt:lpstr>
      <vt:lpstr>'Universal Life'!ALLOC_REFUNDED</vt:lpstr>
      <vt:lpstr>Universe!ALLOC_REFUNDED</vt:lpstr>
      <vt:lpstr>Villanova!ALLOC_REFUNDED</vt:lpstr>
      <vt:lpstr>'AF&amp;L'!ALLOCATED</vt:lpstr>
      <vt:lpstr>'Alabama Life'!ALLOCATED</vt:lpstr>
      <vt:lpstr>'Amer Life Asr'!ALLOCATED</vt:lpstr>
      <vt:lpstr>'Amer Std Life Acc'!ALLOCATED</vt:lpstr>
      <vt:lpstr>'American Chambers'!ALLOCATED</vt:lpstr>
      <vt:lpstr>'American Community'!ALLOCATED</vt:lpstr>
      <vt:lpstr>'American Educators'!ALLOCATED</vt:lpstr>
      <vt:lpstr>'American Integrity'!ALLOCATED</vt:lpstr>
      <vt:lpstr>'American Medical'!ALLOCATED</vt:lpstr>
      <vt:lpstr>'American Network'!ALLOCATED</vt:lpstr>
      <vt:lpstr>AmerWstrn!ALLOCATED</vt:lpstr>
      <vt:lpstr>'AMS Life'!ALLOCATED</vt:lpstr>
      <vt:lpstr>'Andrew Jackson'!ALLOCATED</vt:lpstr>
      <vt:lpstr>'Bankers Commercial'!ALLOCATED</vt:lpstr>
      <vt:lpstr>'Bankers Life'!ALLOCATED</vt:lpstr>
      <vt:lpstr>Benicorp!ALLOCATED</vt:lpstr>
      <vt:lpstr>'Booker T Washington'!ALLOCATED</vt:lpstr>
      <vt:lpstr>Centennial!ALLOCATED</vt:lpstr>
      <vt:lpstr>'Closed Summary'!ALLOCATED</vt:lpstr>
      <vt:lpstr>'CO Bankers'!ALLOCATED</vt:lpstr>
      <vt:lpstr>'Coastal States'!ALLOCATED</vt:lpstr>
      <vt:lpstr>'Colorado Health'!ALLOCATED</vt:lpstr>
      <vt:lpstr>'Compass (dbs Meritus)'!ALLOCATED</vt:lpstr>
      <vt:lpstr>'Confed Life &amp; Annty (CLIAC)'!ALLOCATED</vt:lpstr>
      <vt:lpstr>'Confed Life (CLIC)'!ALLOCATED</vt:lpstr>
      <vt:lpstr>'Consolidated National'!ALLOCATED</vt:lpstr>
      <vt:lpstr>'Consumers Choice'!ALLOCATED</vt:lpstr>
      <vt:lpstr>'Consumers Mutual'!ALLOCATED</vt:lpstr>
      <vt:lpstr>'Consumers United'!ALLOCATED</vt:lpstr>
      <vt:lpstr>CoOportunity!ALLOCATED</vt:lpstr>
      <vt:lpstr>'Coordinated Hlth'!ALLOCATED</vt:lpstr>
      <vt:lpstr>'Corporate Life'!ALLOCATED</vt:lpstr>
      <vt:lpstr>'Diamond Benefits'!ALLOCATED</vt:lpstr>
      <vt:lpstr>'EBL Life'!ALLOCATED</vt:lpstr>
      <vt:lpstr>ELNY!ALLOCATED</vt:lpstr>
      <vt:lpstr>'Estate Closed Summary'!ALLOCATED</vt:lpstr>
      <vt:lpstr>'Executive Life'!ALLOCATED</vt:lpstr>
      <vt:lpstr>'Family Guaranty'!ALLOCATED</vt:lpstr>
      <vt:lpstr>'Fidelity Bankers'!ALLOCATED</vt:lpstr>
      <vt:lpstr>'Fidelity Mutual'!ALLOCATED</vt:lpstr>
      <vt:lpstr>'First Capital'!ALLOCATED</vt:lpstr>
      <vt:lpstr>'First Natl'!ALLOCATED</vt:lpstr>
      <vt:lpstr>'First Natl (Thrnr)'!ALLOCATED</vt:lpstr>
      <vt:lpstr>'Franklin American'!ALLOCATED</vt:lpstr>
      <vt:lpstr>'Franklin Protective'!ALLOCATED</vt:lpstr>
      <vt:lpstr>'Freelancers CO-OP'!ALLOCATED</vt:lpstr>
      <vt:lpstr>Freestone!ALLOCATED</vt:lpstr>
      <vt:lpstr>'George Washington'!ALLOCATED</vt:lpstr>
      <vt:lpstr>'Golden State'!ALLOCATED</vt:lpstr>
      <vt:lpstr>'Guarantee Security'!ALLOCATED</vt:lpstr>
      <vt:lpstr>HealthyCT!ALLOCATED</vt:lpstr>
      <vt:lpstr>Imerica!ALLOCATED</vt:lpstr>
      <vt:lpstr>'Inter-American'!ALLOCATED</vt:lpstr>
      <vt:lpstr>'International Fin'!ALLOCATED</vt:lpstr>
      <vt:lpstr>'Investment Life of America'!ALLOCATED</vt:lpstr>
      <vt:lpstr>'Investors Equity'!ALLOCATED</vt:lpstr>
      <vt:lpstr>'Kentucky Central'!ALLOCATED</vt:lpstr>
      <vt:lpstr>'Land of Lincoln'!ALLOCATED</vt:lpstr>
      <vt:lpstr>Legion!ALLOCATED</vt:lpstr>
      <vt:lpstr>'Life Health America'!ALLOCATED</vt:lpstr>
      <vt:lpstr>'Lincoln Memorial'!ALLOCATED</vt:lpstr>
      <vt:lpstr>'London Pac'!ALLOCATED</vt:lpstr>
      <vt:lpstr>Lumbermens!ALLOCATED</vt:lpstr>
      <vt:lpstr>'Medical Savings'!ALLOCATED</vt:lpstr>
      <vt:lpstr>'Memorial Service'!ALLOCATED</vt:lpstr>
      <vt:lpstr>Midcontinent!ALLOCATED</vt:lpstr>
      <vt:lpstr>'Midwest Life'!ALLOCATED</vt:lpstr>
      <vt:lpstr>'Monarch Life'!ALLOCATED</vt:lpstr>
      <vt:lpstr>'Mutual Benefit'!ALLOCATED</vt:lpstr>
      <vt:lpstr>'Mutual Security'!ALLOCATED</vt:lpstr>
      <vt:lpstr>'National Affiliated'!ALLOCATED</vt:lpstr>
      <vt:lpstr>'National Heritage'!ALLOCATED</vt:lpstr>
      <vt:lpstr>'National States'!ALLOCATED</vt:lpstr>
      <vt:lpstr>'Natl American'!ALLOCATED</vt:lpstr>
      <vt:lpstr>'New Jersey Life'!ALLOCATED</vt:lpstr>
      <vt:lpstr>NNIC!ALLOCATED</vt:lpstr>
      <vt:lpstr>'North Carolina Mutual'!ALLOCATED</vt:lpstr>
      <vt:lpstr>'Old Colony Life'!ALLOCATED</vt:lpstr>
      <vt:lpstr>'Old Faithful'!ALLOCATED</vt:lpstr>
      <vt:lpstr>'Open Summary'!ALLOCATED</vt:lpstr>
      <vt:lpstr>'Pacific Standard'!ALLOCATED</vt:lpstr>
      <vt:lpstr>'Pavonia Life'!ALLOCATED</vt:lpstr>
      <vt:lpstr>'Pen  Treaty'!ALLOCATED</vt:lpstr>
      <vt:lpstr>'Pre-Liquidation Summary'!ALLOCATED</vt:lpstr>
      <vt:lpstr>'Red Rock'!ALLOCATED</vt:lpstr>
      <vt:lpstr>'Released from Oversight Summary'!ALLOCATED</vt:lpstr>
      <vt:lpstr>Reliance!ALLOCATED</vt:lpstr>
      <vt:lpstr>SeeChange!ALLOCATED</vt:lpstr>
      <vt:lpstr>'Senior American'!ALLOCATED</vt:lpstr>
      <vt:lpstr>Settlers!ALLOCATED</vt:lpstr>
      <vt:lpstr>Shenandoah!ALLOCATED</vt:lpstr>
      <vt:lpstr>'Southland National Life'!ALLOCATED</vt:lpstr>
      <vt:lpstr>'Standard Life IN'!ALLOCATED</vt:lpstr>
      <vt:lpstr>'States General'!ALLOCATED</vt:lpstr>
      <vt:lpstr>Statesman!ALLOCATED</vt:lpstr>
      <vt:lpstr>'Summit National'!ALLOCATED</vt:lpstr>
      <vt:lpstr>Supreme!ALLOCATED</vt:lpstr>
      <vt:lpstr>Time!ALLOCATED</vt:lpstr>
      <vt:lpstr>'Total Summary'!ALLOCATED</vt:lpstr>
      <vt:lpstr>Underwriters!ALLOCATED</vt:lpstr>
      <vt:lpstr>Unison!ALLOCATED</vt:lpstr>
      <vt:lpstr>'United Republic'!ALLOCATED</vt:lpstr>
      <vt:lpstr>'Universal Health Care'!ALLOCATED</vt:lpstr>
      <vt:lpstr>'Universal Life'!ALLOCATED</vt:lpstr>
      <vt:lpstr>Universe!ALLOCATED</vt:lpstr>
      <vt:lpstr>Villanova!ALLOCATED</vt:lpstr>
      <vt:lpstr>'AF&amp;L'!AR_FINANCIAL</vt:lpstr>
      <vt:lpstr>'Alabama Life'!AR_FINANCIAL</vt:lpstr>
      <vt:lpstr>'Amer Life Asr'!AR_FINANCIAL</vt:lpstr>
      <vt:lpstr>'Amer Std Life Acc'!AR_FINANCIAL</vt:lpstr>
      <vt:lpstr>'American Chambers'!AR_FINANCIAL</vt:lpstr>
      <vt:lpstr>'American Community'!AR_FINANCIAL</vt:lpstr>
      <vt:lpstr>'American Educators'!AR_FINANCIAL</vt:lpstr>
      <vt:lpstr>'American Integrity'!AR_FINANCIAL</vt:lpstr>
      <vt:lpstr>'American Medical'!AR_FINANCIAL</vt:lpstr>
      <vt:lpstr>'American Network'!AR_FINANCIAL</vt:lpstr>
      <vt:lpstr>AmerWstrn!AR_FINANCIAL</vt:lpstr>
      <vt:lpstr>'AMS Life'!AR_FINANCIAL</vt:lpstr>
      <vt:lpstr>'Andrew Jackson'!AR_FINANCIAL</vt:lpstr>
      <vt:lpstr>'Bankers Commercial'!AR_FINANCIAL</vt:lpstr>
      <vt:lpstr>'Bankers Life'!AR_FINANCIAL</vt:lpstr>
      <vt:lpstr>Benicorp!AR_FINANCIAL</vt:lpstr>
      <vt:lpstr>'Booker T Washington'!AR_FINANCIAL</vt:lpstr>
      <vt:lpstr>Centennial!AR_FINANCIAL</vt:lpstr>
      <vt:lpstr>'CO Bankers'!AR_FINANCIAL</vt:lpstr>
      <vt:lpstr>'Coastal States'!AR_FINANCIAL</vt:lpstr>
      <vt:lpstr>'Colorado Health'!AR_FINANCIAL</vt:lpstr>
      <vt:lpstr>'Compass (dbs Meritus)'!AR_FINANCIAL</vt:lpstr>
      <vt:lpstr>'Confed Life &amp; Annty (CLIAC)'!AR_FINANCIAL</vt:lpstr>
      <vt:lpstr>'Confed Life (CLIC)'!AR_FINANCIAL</vt:lpstr>
      <vt:lpstr>'Consolidated National'!AR_FINANCIAL</vt:lpstr>
      <vt:lpstr>'Consumers Choice'!AR_FINANCIAL</vt:lpstr>
      <vt:lpstr>'Consumers Mutual'!AR_FINANCIAL</vt:lpstr>
      <vt:lpstr>'Consumers United'!AR_FINANCIAL</vt:lpstr>
      <vt:lpstr>CoOportunity!AR_FINANCIAL</vt:lpstr>
      <vt:lpstr>'Coordinated Hlth'!AR_FINANCIAL</vt:lpstr>
      <vt:lpstr>'Corporate Life'!AR_FINANCIAL</vt:lpstr>
      <vt:lpstr>'Diamond Benefits'!AR_FINANCIAL</vt:lpstr>
      <vt:lpstr>'EBL Life'!AR_FINANCIAL</vt:lpstr>
      <vt:lpstr>ELNY!AR_FINANCIAL</vt:lpstr>
      <vt:lpstr>'Executive Life'!AR_FINANCIAL</vt:lpstr>
      <vt:lpstr>'Family Guaranty'!AR_FINANCIAL</vt:lpstr>
      <vt:lpstr>'Fidelity Bankers'!AR_FINANCIAL</vt:lpstr>
      <vt:lpstr>'Fidelity Mutual'!AR_FINANCIAL</vt:lpstr>
      <vt:lpstr>'First Capital'!AR_FINANCIAL</vt:lpstr>
      <vt:lpstr>'First Natl'!AR_FINANCIAL</vt:lpstr>
      <vt:lpstr>'First Natl (Thrnr)'!AR_FINANCIAL</vt:lpstr>
      <vt:lpstr>'Franklin American'!AR_FINANCIAL</vt:lpstr>
      <vt:lpstr>'Franklin Protective'!AR_FINANCIAL</vt:lpstr>
      <vt:lpstr>'Freelancers CO-OP'!AR_FINANCIAL</vt:lpstr>
      <vt:lpstr>Freestone!AR_FINANCIAL</vt:lpstr>
      <vt:lpstr>'George Washington'!AR_FINANCIAL</vt:lpstr>
      <vt:lpstr>'Golden State'!AR_FINANCIAL</vt:lpstr>
      <vt:lpstr>'Guarantee Security'!AR_FINANCIAL</vt:lpstr>
      <vt:lpstr>HealthyCT!AR_FINANCIAL</vt:lpstr>
      <vt:lpstr>Imerica!AR_FINANCIAL</vt:lpstr>
      <vt:lpstr>'Inter-American'!AR_FINANCIAL</vt:lpstr>
      <vt:lpstr>'International Fin'!AR_FINANCIAL</vt:lpstr>
      <vt:lpstr>'Investment Life of America'!AR_FINANCIAL</vt:lpstr>
      <vt:lpstr>'Investors Equity'!AR_FINANCIAL</vt:lpstr>
      <vt:lpstr>'Kentucky Central'!AR_FINANCIAL</vt:lpstr>
      <vt:lpstr>'Land of Lincoln'!AR_FINANCIAL</vt:lpstr>
      <vt:lpstr>Legion!AR_FINANCIAL</vt:lpstr>
      <vt:lpstr>'Life Health America'!AR_FINANCIAL</vt:lpstr>
      <vt:lpstr>'Lincoln Memorial'!AR_FINANCIAL</vt:lpstr>
      <vt:lpstr>'London Pac'!AR_FINANCIAL</vt:lpstr>
      <vt:lpstr>Lumbermens!AR_FINANCIAL</vt:lpstr>
      <vt:lpstr>'Medical Savings'!AR_FINANCIAL</vt:lpstr>
      <vt:lpstr>'Memorial Service'!AR_FINANCIAL</vt:lpstr>
      <vt:lpstr>Midcontinent!AR_FINANCIAL</vt:lpstr>
      <vt:lpstr>'Midwest Life'!AR_FINANCIAL</vt:lpstr>
      <vt:lpstr>'Monarch Life'!AR_FINANCIAL</vt:lpstr>
      <vt:lpstr>'Mutual Benefit'!AR_FINANCIAL</vt:lpstr>
      <vt:lpstr>'Mutual Security'!AR_FINANCIAL</vt:lpstr>
      <vt:lpstr>'National Affiliated'!AR_FINANCIAL</vt:lpstr>
      <vt:lpstr>'National Heritage'!AR_FINANCIAL</vt:lpstr>
      <vt:lpstr>'National States'!AR_FINANCIAL</vt:lpstr>
      <vt:lpstr>'Natl American'!AR_FINANCIAL</vt:lpstr>
      <vt:lpstr>'New Jersey Life'!AR_FINANCIAL</vt:lpstr>
      <vt:lpstr>NNIC!AR_FINANCIAL</vt:lpstr>
      <vt:lpstr>'North Carolina Mutual'!AR_FINANCIAL</vt:lpstr>
      <vt:lpstr>'Old Colony Life'!AR_FINANCIAL</vt:lpstr>
      <vt:lpstr>'Old Faithful'!AR_FINANCIAL</vt:lpstr>
      <vt:lpstr>'Pacific Standard'!AR_FINANCIAL</vt:lpstr>
      <vt:lpstr>'Pavonia Life'!AR_FINANCIAL</vt:lpstr>
      <vt:lpstr>'Pen  Treaty'!AR_FINANCIAL</vt:lpstr>
      <vt:lpstr>'Red Rock'!AR_FINANCIAL</vt:lpstr>
      <vt:lpstr>Reliance!AR_FINANCIAL</vt:lpstr>
      <vt:lpstr>SeeChange!AR_FINANCIAL</vt:lpstr>
      <vt:lpstr>'Senior American'!AR_FINANCIAL</vt:lpstr>
      <vt:lpstr>Settlers!AR_FINANCIAL</vt:lpstr>
      <vt:lpstr>Shenandoah!AR_FINANCIAL</vt:lpstr>
      <vt:lpstr>'Southland National Life'!AR_FINANCIAL</vt:lpstr>
      <vt:lpstr>'Standard Life IN'!AR_FINANCIAL</vt:lpstr>
      <vt:lpstr>'States General'!AR_FINANCIAL</vt:lpstr>
      <vt:lpstr>Statesman!AR_FINANCIAL</vt:lpstr>
      <vt:lpstr>'Summit National'!AR_FINANCIAL</vt:lpstr>
      <vt:lpstr>Supreme!AR_FINANCIAL</vt:lpstr>
      <vt:lpstr>Time!AR_FINANCIAL</vt:lpstr>
      <vt:lpstr>'Total Summary'!AR_FINANCIAL</vt:lpstr>
      <vt:lpstr>Underwriters!AR_FINANCIAL</vt:lpstr>
      <vt:lpstr>Unison!AR_FINANCIAL</vt:lpstr>
      <vt:lpstr>'United Republic'!AR_FINANCIAL</vt:lpstr>
      <vt:lpstr>'Universal Health Care'!AR_FINANCIAL</vt:lpstr>
      <vt:lpstr>'Universal Life'!AR_FINANCIAL</vt:lpstr>
      <vt:lpstr>Universe!AR_FINANCIAL</vt:lpstr>
      <vt:lpstr>Villanova!AR_FINANCIAL</vt:lpstr>
      <vt:lpstr>'AF&amp;L'!AZ_FINANCIAL</vt:lpstr>
      <vt:lpstr>'Alabama Life'!AZ_FINANCIAL</vt:lpstr>
      <vt:lpstr>'Amer Life Asr'!AZ_FINANCIAL</vt:lpstr>
      <vt:lpstr>'Amer Std Life Acc'!AZ_FINANCIAL</vt:lpstr>
      <vt:lpstr>'American Chambers'!AZ_FINANCIAL</vt:lpstr>
      <vt:lpstr>'American Community'!AZ_FINANCIAL</vt:lpstr>
      <vt:lpstr>'American Educators'!AZ_FINANCIAL</vt:lpstr>
      <vt:lpstr>'American Integrity'!AZ_FINANCIAL</vt:lpstr>
      <vt:lpstr>'American Medical'!AZ_FINANCIAL</vt:lpstr>
      <vt:lpstr>'American Network'!AZ_FINANCIAL</vt:lpstr>
      <vt:lpstr>AmerWstrn!AZ_FINANCIAL</vt:lpstr>
      <vt:lpstr>'AMS Life'!AZ_FINANCIAL</vt:lpstr>
      <vt:lpstr>'Andrew Jackson'!AZ_FINANCIAL</vt:lpstr>
      <vt:lpstr>'Bankers Commercial'!AZ_FINANCIAL</vt:lpstr>
      <vt:lpstr>'Bankers Life'!AZ_FINANCIAL</vt:lpstr>
      <vt:lpstr>Benicorp!AZ_FINANCIAL</vt:lpstr>
      <vt:lpstr>'Booker T Washington'!AZ_FINANCIAL</vt:lpstr>
      <vt:lpstr>Centennial!AZ_FINANCIAL</vt:lpstr>
      <vt:lpstr>'CO Bankers'!AZ_FINANCIAL</vt:lpstr>
      <vt:lpstr>'Coastal States'!AZ_FINANCIAL</vt:lpstr>
      <vt:lpstr>'Colorado Health'!AZ_FINANCIAL</vt:lpstr>
      <vt:lpstr>'Compass (dbs Meritus)'!AZ_FINANCIAL</vt:lpstr>
      <vt:lpstr>'Confed Life &amp; Annty (CLIAC)'!AZ_FINANCIAL</vt:lpstr>
      <vt:lpstr>'Confed Life (CLIC)'!AZ_FINANCIAL</vt:lpstr>
      <vt:lpstr>'Consolidated National'!AZ_FINANCIAL</vt:lpstr>
      <vt:lpstr>'Consumers Choice'!AZ_FINANCIAL</vt:lpstr>
      <vt:lpstr>'Consumers Mutual'!AZ_FINANCIAL</vt:lpstr>
      <vt:lpstr>'Consumers United'!AZ_FINANCIAL</vt:lpstr>
      <vt:lpstr>CoOportunity!AZ_FINANCIAL</vt:lpstr>
      <vt:lpstr>'Coordinated Hlth'!AZ_FINANCIAL</vt:lpstr>
      <vt:lpstr>'Corporate Life'!AZ_FINANCIAL</vt:lpstr>
      <vt:lpstr>'Diamond Benefits'!AZ_FINANCIAL</vt:lpstr>
      <vt:lpstr>'EBL Life'!AZ_FINANCIAL</vt:lpstr>
      <vt:lpstr>ELNY!AZ_FINANCIAL</vt:lpstr>
      <vt:lpstr>'Executive Life'!AZ_FINANCIAL</vt:lpstr>
      <vt:lpstr>'Family Guaranty'!AZ_FINANCIAL</vt:lpstr>
      <vt:lpstr>'Fidelity Bankers'!AZ_FINANCIAL</vt:lpstr>
      <vt:lpstr>'Fidelity Mutual'!AZ_FINANCIAL</vt:lpstr>
      <vt:lpstr>'First Capital'!AZ_FINANCIAL</vt:lpstr>
      <vt:lpstr>'First Natl'!AZ_FINANCIAL</vt:lpstr>
      <vt:lpstr>'First Natl (Thrnr)'!AZ_FINANCIAL</vt:lpstr>
      <vt:lpstr>'Franklin American'!AZ_FINANCIAL</vt:lpstr>
      <vt:lpstr>'Franklin Protective'!AZ_FINANCIAL</vt:lpstr>
      <vt:lpstr>'Freelancers CO-OP'!AZ_FINANCIAL</vt:lpstr>
      <vt:lpstr>Freestone!AZ_FINANCIAL</vt:lpstr>
      <vt:lpstr>'George Washington'!AZ_FINANCIAL</vt:lpstr>
      <vt:lpstr>'Golden State'!AZ_FINANCIAL</vt:lpstr>
      <vt:lpstr>'Guarantee Security'!AZ_FINANCIAL</vt:lpstr>
      <vt:lpstr>HealthyCT!AZ_FINANCIAL</vt:lpstr>
      <vt:lpstr>Imerica!AZ_FINANCIAL</vt:lpstr>
      <vt:lpstr>'Inter-American'!AZ_FINANCIAL</vt:lpstr>
      <vt:lpstr>'International Fin'!AZ_FINANCIAL</vt:lpstr>
      <vt:lpstr>'Investment Life of America'!AZ_FINANCIAL</vt:lpstr>
      <vt:lpstr>'Investors Equity'!AZ_FINANCIAL</vt:lpstr>
      <vt:lpstr>'Kentucky Central'!AZ_FINANCIAL</vt:lpstr>
      <vt:lpstr>'Land of Lincoln'!AZ_FINANCIAL</vt:lpstr>
      <vt:lpstr>Legion!AZ_FINANCIAL</vt:lpstr>
      <vt:lpstr>'Life Health America'!AZ_FINANCIAL</vt:lpstr>
      <vt:lpstr>'Lincoln Memorial'!AZ_FINANCIAL</vt:lpstr>
      <vt:lpstr>'London Pac'!AZ_FINANCIAL</vt:lpstr>
      <vt:lpstr>Lumbermens!AZ_FINANCIAL</vt:lpstr>
      <vt:lpstr>'Medical Savings'!AZ_FINANCIAL</vt:lpstr>
      <vt:lpstr>'Memorial Service'!AZ_FINANCIAL</vt:lpstr>
      <vt:lpstr>Midcontinent!AZ_FINANCIAL</vt:lpstr>
      <vt:lpstr>'Midwest Life'!AZ_FINANCIAL</vt:lpstr>
      <vt:lpstr>'Monarch Life'!AZ_FINANCIAL</vt:lpstr>
      <vt:lpstr>'Mutual Benefit'!AZ_FINANCIAL</vt:lpstr>
      <vt:lpstr>'Mutual Security'!AZ_FINANCIAL</vt:lpstr>
      <vt:lpstr>'National Affiliated'!AZ_FINANCIAL</vt:lpstr>
      <vt:lpstr>'National Heritage'!AZ_FINANCIAL</vt:lpstr>
      <vt:lpstr>'National States'!AZ_FINANCIAL</vt:lpstr>
      <vt:lpstr>'Natl American'!AZ_FINANCIAL</vt:lpstr>
      <vt:lpstr>'New Jersey Life'!AZ_FINANCIAL</vt:lpstr>
      <vt:lpstr>NNIC!AZ_FINANCIAL</vt:lpstr>
      <vt:lpstr>'North Carolina Mutual'!AZ_FINANCIAL</vt:lpstr>
      <vt:lpstr>'Old Colony Life'!AZ_FINANCIAL</vt:lpstr>
      <vt:lpstr>'Old Faithful'!AZ_FINANCIAL</vt:lpstr>
      <vt:lpstr>'Pacific Standard'!AZ_FINANCIAL</vt:lpstr>
      <vt:lpstr>'Pavonia Life'!AZ_FINANCIAL</vt:lpstr>
      <vt:lpstr>'Pen  Treaty'!AZ_FINANCIAL</vt:lpstr>
      <vt:lpstr>'Red Rock'!AZ_FINANCIAL</vt:lpstr>
      <vt:lpstr>Reliance!AZ_FINANCIAL</vt:lpstr>
      <vt:lpstr>SeeChange!AZ_FINANCIAL</vt:lpstr>
      <vt:lpstr>'Senior American'!AZ_FINANCIAL</vt:lpstr>
      <vt:lpstr>Settlers!AZ_FINANCIAL</vt:lpstr>
      <vt:lpstr>Shenandoah!AZ_FINANCIAL</vt:lpstr>
      <vt:lpstr>'Southland National Life'!AZ_FINANCIAL</vt:lpstr>
      <vt:lpstr>'Standard Life IN'!AZ_FINANCIAL</vt:lpstr>
      <vt:lpstr>'States General'!AZ_FINANCIAL</vt:lpstr>
      <vt:lpstr>Statesman!AZ_FINANCIAL</vt:lpstr>
      <vt:lpstr>'Summit National'!AZ_FINANCIAL</vt:lpstr>
      <vt:lpstr>Supreme!AZ_FINANCIAL</vt:lpstr>
      <vt:lpstr>Time!AZ_FINANCIAL</vt:lpstr>
      <vt:lpstr>'Total Summary'!AZ_FINANCIAL</vt:lpstr>
      <vt:lpstr>Underwriters!AZ_FINANCIAL</vt:lpstr>
      <vt:lpstr>Unison!AZ_FINANCIAL</vt:lpstr>
      <vt:lpstr>'United Republic'!AZ_FINANCIAL</vt:lpstr>
      <vt:lpstr>'Universal Health Care'!AZ_FINANCIAL</vt:lpstr>
      <vt:lpstr>'Universal Life'!AZ_FINANCIAL</vt:lpstr>
      <vt:lpstr>Universe!AZ_FINANCIAL</vt:lpstr>
      <vt:lpstr>Villanova!AZ_FINANCIAL</vt:lpstr>
      <vt:lpstr>'AF&amp;L'!CA_FINANCIAL</vt:lpstr>
      <vt:lpstr>'Alabama Life'!CA_FINANCIAL</vt:lpstr>
      <vt:lpstr>'Amer Life Asr'!CA_FINANCIAL</vt:lpstr>
      <vt:lpstr>'Amer Std Life Acc'!CA_FINANCIAL</vt:lpstr>
      <vt:lpstr>'American Chambers'!CA_FINANCIAL</vt:lpstr>
      <vt:lpstr>'American Community'!CA_FINANCIAL</vt:lpstr>
      <vt:lpstr>'American Educators'!CA_FINANCIAL</vt:lpstr>
      <vt:lpstr>'American Integrity'!CA_FINANCIAL</vt:lpstr>
      <vt:lpstr>'American Medical'!CA_FINANCIAL</vt:lpstr>
      <vt:lpstr>'American Network'!CA_FINANCIAL</vt:lpstr>
      <vt:lpstr>AmerWstrn!CA_FINANCIAL</vt:lpstr>
      <vt:lpstr>'AMS Life'!CA_FINANCIAL</vt:lpstr>
      <vt:lpstr>'Andrew Jackson'!CA_FINANCIAL</vt:lpstr>
      <vt:lpstr>'Bankers Commercial'!CA_FINANCIAL</vt:lpstr>
      <vt:lpstr>'Bankers Life'!CA_FINANCIAL</vt:lpstr>
      <vt:lpstr>Benicorp!CA_FINANCIAL</vt:lpstr>
      <vt:lpstr>'Booker T Washington'!CA_FINANCIAL</vt:lpstr>
      <vt:lpstr>Centennial!CA_FINANCIAL</vt:lpstr>
      <vt:lpstr>'CO Bankers'!CA_FINANCIAL</vt:lpstr>
      <vt:lpstr>'Coastal States'!CA_FINANCIAL</vt:lpstr>
      <vt:lpstr>'Colorado Health'!CA_FINANCIAL</vt:lpstr>
      <vt:lpstr>'Compass (dbs Meritus)'!CA_FINANCIAL</vt:lpstr>
      <vt:lpstr>'Confed Life &amp; Annty (CLIAC)'!CA_FINANCIAL</vt:lpstr>
      <vt:lpstr>'Confed Life (CLIC)'!CA_FINANCIAL</vt:lpstr>
      <vt:lpstr>'Consolidated National'!CA_FINANCIAL</vt:lpstr>
      <vt:lpstr>'Consumers Choice'!CA_FINANCIAL</vt:lpstr>
      <vt:lpstr>'Consumers Mutual'!CA_FINANCIAL</vt:lpstr>
      <vt:lpstr>'Consumers United'!CA_FINANCIAL</vt:lpstr>
      <vt:lpstr>CoOportunity!CA_FINANCIAL</vt:lpstr>
      <vt:lpstr>'Coordinated Hlth'!CA_FINANCIAL</vt:lpstr>
      <vt:lpstr>'Corporate Life'!CA_FINANCIAL</vt:lpstr>
      <vt:lpstr>'Diamond Benefits'!CA_FINANCIAL</vt:lpstr>
      <vt:lpstr>'EBL Life'!CA_FINANCIAL</vt:lpstr>
      <vt:lpstr>ELNY!CA_FINANCIAL</vt:lpstr>
      <vt:lpstr>'Executive Life'!CA_FINANCIAL</vt:lpstr>
      <vt:lpstr>'Family Guaranty'!CA_FINANCIAL</vt:lpstr>
      <vt:lpstr>'Fidelity Bankers'!CA_FINANCIAL</vt:lpstr>
      <vt:lpstr>'Fidelity Mutual'!CA_FINANCIAL</vt:lpstr>
      <vt:lpstr>'First Capital'!CA_FINANCIAL</vt:lpstr>
      <vt:lpstr>'First Natl'!CA_FINANCIAL</vt:lpstr>
      <vt:lpstr>'First Natl (Thrnr)'!CA_FINANCIAL</vt:lpstr>
      <vt:lpstr>'Franklin American'!CA_FINANCIAL</vt:lpstr>
      <vt:lpstr>'Franklin Protective'!CA_FINANCIAL</vt:lpstr>
      <vt:lpstr>'Freelancers CO-OP'!CA_FINANCIAL</vt:lpstr>
      <vt:lpstr>Freestone!CA_FINANCIAL</vt:lpstr>
      <vt:lpstr>'George Washington'!CA_FINANCIAL</vt:lpstr>
      <vt:lpstr>'Golden State'!CA_FINANCIAL</vt:lpstr>
      <vt:lpstr>'Guarantee Security'!CA_FINANCIAL</vt:lpstr>
      <vt:lpstr>HealthyCT!CA_FINANCIAL</vt:lpstr>
      <vt:lpstr>Imerica!CA_FINANCIAL</vt:lpstr>
      <vt:lpstr>'Inter-American'!CA_FINANCIAL</vt:lpstr>
      <vt:lpstr>'International Fin'!CA_FINANCIAL</vt:lpstr>
      <vt:lpstr>'Investment Life of America'!CA_FINANCIAL</vt:lpstr>
      <vt:lpstr>'Investors Equity'!CA_FINANCIAL</vt:lpstr>
      <vt:lpstr>'Kentucky Central'!CA_FINANCIAL</vt:lpstr>
      <vt:lpstr>'Land of Lincoln'!CA_FINANCIAL</vt:lpstr>
      <vt:lpstr>Legion!CA_FINANCIAL</vt:lpstr>
      <vt:lpstr>'Life Health America'!CA_FINANCIAL</vt:lpstr>
      <vt:lpstr>'Lincoln Memorial'!CA_FINANCIAL</vt:lpstr>
      <vt:lpstr>'London Pac'!CA_FINANCIAL</vt:lpstr>
      <vt:lpstr>Lumbermens!CA_FINANCIAL</vt:lpstr>
      <vt:lpstr>'Medical Savings'!CA_FINANCIAL</vt:lpstr>
      <vt:lpstr>'Memorial Service'!CA_FINANCIAL</vt:lpstr>
      <vt:lpstr>Midcontinent!CA_FINANCIAL</vt:lpstr>
      <vt:lpstr>'Midwest Life'!CA_FINANCIAL</vt:lpstr>
      <vt:lpstr>'Monarch Life'!CA_FINANCIAL</vt:lpstr>
      <vt:lpstr>'Mutual Benefit'!CA_FINANCIAL</vt:lpstr>
      <vt:lpstr>'Mutual Security'!CA_FINANCIAL</vt:lpstr>
      <vt:lpstr>'National Affiliated'!CA_FINANCIAL</vt:lpstr>
      <vt:lpstr>'National Heritage'!CA_FINANCIAL</vt:lpstr>
      <vt:lpstr>'National States'!CA_FINANCIAL</vt:lpstr>
      <vt:lpstr>'Natl American'!CA_FINANCIAL</vt:lpstr>
      <vt:lpstr>'New Jersey Life'!CA_FINANCIAL</vt:lpstr>
      <vt:lpstr>NNIC!CA_FINANCIAL</vt:lpstr>
      <vt:lpstr>'North Carolina Mutual'!CA_FINANCIAL</vt:lpstr>
      <vt:lpstr>'Old Colony Life'!CA_FINANCIAL</vt:lpstr>
      <vt:lpstr>'Old Faithful'!CA_FINANCIAL</vt:lpstr>
      <vt:lpstr>'Pacific Standard'!CA_FINANCIAL</vt:lpstr>
      <vt:lpstr>'Pavonia Life'!CA_FINANCIAL</vt:lpstr>
      <vt:lpstr>'Pen  Treaty'!CA_FINANCIAL</vt:lpstr>
      <vt:lpstr>'Red Rock'!CA_FINANCIAL</vt:lpstr>
      <vt:lpstr>Reliance!CA_FINANCIAL</vt:lpstr>
      <vt:lpstr>SeeChange!CA_FINANCIAL</vt:lpstr>
      <vt:lpstr>'Senior American'!CA_FINANCIAL</vt:lpstr>
      <vt:lpstr>Settlers!CA_FINANCIAL</vt:lpstr>
      <vt:lpstr>Shenandoah!CA_FINANCIAL</vt:lpstr>
      <vt:lpstr>'Southland National Life'!CA_FINANCIAL</vt:lpstr>
      <vt:lpstr>'Standard Life IN'!CA_FINANCIAL</vt:lpstr>
      <vt:lpstr>'States General'!CA_FINANCIAL</vt:lpstr>
      <vt:lpstr>Statesman!CA_FINANCIAL</vt:lpstr>
      <vt:lpstr>'Summit National'!CA_FINANCIAL</vt:lpstr>
      <vt:lpstr>Supreme!CA_FINANCIAL</vt:lpstr>
      <vt:lpstr>Time!CA_FINANCIAL</vt:lpstr>
      <vt:lpstr>'Total Summary'!CA_FINANCIAL</vt:lpstr>
      <vt:lpstr>Underwriters!CA_FINANCIAL</vt:lpstr>
      <vt:lpstr>Unison!CA_FINANCIAL</vt:lpstr>
      <vt:lpstr>'United Republic'!CA_FINANCIAL</vt:lpstr>
      <vt:lpstr>'Universal Health Care'!CA_FINANCIAL</vt:lpstr>
      <vt:lpstr>'Universal Life'!CA_FINANCIAL</vt:lpstr>
      <vt:lpstr>Universe!CA_FINANCIAL</vt:lpstr>
      <vt:lpstr>Villanova!CA_FINANCIAL</vt:lpstr>
      <vt:lpstr>Summary!CL_ALLOC_CALLED</vt:lpstr>
      <vt:lpstr>Summary!CL_ALLOC_REFUNDED</vt:lpstr>
      <vt:lpstr>Summary!CL_ALLOCATED</vt:lpstr>
      <vt:lpstr>Summary!CL_CHANGE</vt:lpstr>
      <vt:lpstr>Summary!CL_HEALTH</vt:lpstr>
      <vt:lpstr>Summary!CL_HEALTH_CALLED</vt:lpstr>
      <vt:lpstr>Summary!CL_HEALTH_REFUNDED</vt:lpstr>
      <vt:lpstr>Summary!CL_LIFE</vt:lpstr>
      <vt:lpstr>Summary!CL_LIFE_CALLED</vt:lpstr>
      <vt:lpstr>Summary!CL_LIFE_REFUNDED</vt:lpstr>
      <vt:lpstr>Summary!CL_LTC</vt:lpstr>
      <vt:lpstr>Summary!CL_TOTAL</vt:lpstr>
      <vt:lpstr>Summary!CL_TOTAL_PREV</vt:lpstr>
      <vt:lpstr>Summary!CL_UNALLOC_CALLED</vt:lpstr>
      <vt:lpstr>Summary!CL_UNALLOC_REFUNDED</vt:lpstr>
      <vt:lpstr>Summary!CL_UNALLOCATED</vt:lpstr>
      <vt:lpstr>'AF&amp;L'!CO_FINANCIAL</vt:lpstr>
      <vt:lpstr>'Alabama Life'!CO_FINANCIAL</vt:lpstr>
      <vt:lpstr>'Amer Life Asr'!CO_FINANCIAL</vt:lpstr>
      <vt:lpstr>'Amer Std Life Acc'!CO_FINANCIAL</vt:lpstr>
      <vt:lpstr>'American Chambers'!CO_FINANCIAL</vt:lpstr>
      <vt:lpstr>'American Community'!CO_FINANCIAL</vt:lpstr>
      <vt:lpstr>'American Educators'!CO_FINANCIAL</vt:lpstr>
      <vt:lpstr>'American Integrity'!CO_FINANCIAL</vt:lpstr>
      <vt:lpstr>'American Medical'!CO_FINANCIAL</vt:lpstr>
      <vt:lpstr>'American Network'!CO_FINANCIAL</vt:lpstr>
      <vt:lpstr>AmerWstrn!CO_FINANCIAL</vt:lpstr>
      <vt:lpstr>'AMS Life'!CO_FINANCIAL</vt:lpstr>
      <vt:lpstr>'Andrew Jackson'!CO_FINANCIAL</vt:lpstr>
      <vt:lpstr>'Bankers Commercial'!CO_FINANCIAL</vt:lpstr>
      <vt:lpstr>'Bankers Life'!CO_FINANCIAL</vt:lpstr>
      <vt:lpstr>Benicorp!CO_FINANCIAL</vt:lpstr>
      <vt:lpstr>'Booker T Washington'!CO_FINANCIAL</vt:lpstr>
      <vt:lpstr>Centennial!CO_FINANCIAL</vt:lpstr>
      <vt:lpstr>'CO Bankers'!CO_FINANCIAL</vt:lpstr>
      <vt:lpstr>'Coastal States'!CO_FINANCIAL</vt:lpstr>
      <vt:lpstr>'Colorado Health'!CO_FINANCIAL</vt:lpstr>
      <vt:lpstr>'Compass (dbs Meritus)'!CO_FINANCIAL</vt:lpstr>
      <vt:lpstr>'Confed Life &amp; Annty (CLIAC)'!CO_FINANCIAL</vt:lpstr>
      <vt:lpstr>'Confed Life (CLIC)'!CO_FINANCIAL</vt:lpstr>
      <vt:lpstr>'Consolidated National'!CO_FINANCIAL</vt:lpstr>
      <vt:lpstr>'Consumers Choice'!CO_FINANCIAL</vt:lpstr>
      <vt:lpstr>'Consumers Mutual'!CO_FINANCIAL</vt:lpstr>
      <vt:lpstr>'Consumers United'!CO_FINANCIAL</vt:lpstr>
      <vt:lpstr>CoOportunity!CO_FINANCIAL</vt:lpstr>
      <vt:lpstr>'Coordinated Hlth'!CO_FINANCIAL</vt:lpstr>
      <vt:lpstr>'Corporate Life'!CO_FINANCIAL</vt:lpstr>
      <vt:lpstr>'Diamond Benefits'!CO_FINANCIAL</vt:lpstr>
      <vt:lpstr>'EBL Life'!CO_FINANCIAL</vt:lpstr>
      <vt:lpstr>ELNY!CO_FINANCIAL</vt:lpstr>
      <vt:lpstr>'Executive Life'!CO_FINANCIAL</vt:lpstr>
      <vt:lpstr>'Family Guaranty'!CO_FINANCIAL</vt:lpstr>
      <vt:lpstr>'Fidelity Bankers'!CO_FINANCIAL</vt:lpstr>
      <vt:lpstr>'Fidelity Mutual'!CO_FINANCIAL</vt:lpstr>
      <vt:lpstr>'First Capital'!CO_FINANCIAL</vt:lpstr>
      <vt:lpstr>'First Natl'!CO_FINANCIAL</vt:lpstr>
      <vt:lpstr>'First Natl (Thrnr)'!CO_FINANCIAL</vt:lpstr>
      <vt:lpstr>'Franklin American'!CO_FINANCIAL</vt:lpstr>
      <vt:lpstr>'Franklin Protective'!CO_FINANCIAL</vt:lpstr>
      <vt:lpstr>'Freelancers CO-OP'!CO_FINANCIAL</vt:lpstr>
      <vt:lpstr>Freestone!CO_FINANCIAL</vt:lpstr>
      <vt:lpstr>'George Washington'!CO_FINANCIAL</vt:lpstr>
      <vt:lpstr>'Golden State'!CO_FINANCIAL</vt:lpstr>
      <vt:lpstr>'Guarantee Security'!CO_FINANCIAL</vt:lpstr>
      <vt:lpstr>HealthyCT!CO_FINANCIAL</vt:lpstr>
      <vt:lpstr>Imerica!CO_FINANCIAL</vt:lpstr>
      <vt:lpstr>'Inter-American'!CO_FINANCIAL</vt:lpstr>
      <vt:lpstr>'International Fin'!CO_FINANCIAL</vt:lpstr>
      <vt:lpstr>'Investment Life of America'!CO_FINANCIAL</vt:lpstr>
      <vt:lpstr>'Investors Equity'!CO_FINANCIAL</vt:lpstr>
      <vt:lpstr>'Kentucky Central'!CO_FINANCIAL</vt:lpstr>
      <vt:lpstr>'Land of Lincoln'!CO_FINANCIAL</vt:lpstr>
      <vt:lpstr>Legion!CO_FINANCIAL</vt:lpstr>
      <vt:lpstr>'Life Health America'!CO_FINANCIAL</vt:lpstr>
      <vt:lpstr>'Lincoln Memorial'!CO_FINANCIAL</vt:lpstr>
      <vt:lpstr>'London Pac'!CO_FINANCIAL</vt:lpstr>
      <vt:lpstr>Lumbermens!CO_FINANCIAL</vt:lpstr>
      <vt:lpstr>'Medical Savings'!CO_FINANCIAL</vt:lpstr>
      <vt:lpstr>'Memorial Service'!CO_FINANCIAL</vt:lpstr>
      <vt:lpstr>Midcontinent!CO_FINANCIAL</vt:lpstr>
      <vt:lpstr>'Midwest Life'!CO_FINANCIAL</vt:lpstr>
      <vt:lpstr>'Monarch Life'!CO_FINANCIAL</vt:lpstr>
      <vt:lpstr>'Mutual Benefit'!CO_FINANCIAL</vt:lpstr>
      <vt:lpstr>'Mutual Security'!CO_FINANCIAL</vt:lpstr>
      <vt:lpstr>'National Affiliated'!CO_FINANCIAL</vt:lpstr>
      <vt:lpstr>'National Heritage'!CO_FINANCIAL</vt:lpstr>
      <vt:lpstr>'National States'!CO_FINANCIAL</vt:lpstr>
      <vt:lpstr>'Natl American'!CO_FINANCIAL</vt:lpstr>
      <vt:lpstr>'New Jersey Life'!CO_FINANCIAL</vt:lpstr>
      <vt:lpstr>NNIC!CO_FINANCIAL</vt:lpstr>
      <vt:lpstr>'North Carolina Mutual'!CO_FINANCIAL</vt:lpstr>
      <vt:lpstr>'Old Colony Life'!CO_FINANCIAL</vt:lpstr>
      <vt:lpstr>'Old Faithful'!CO_FINANCIAL</vt:lpstr>
      <vt:lpstr>'Pacific Standard'!CO_FINANCIAL</vt:lpstr>
      <vt:lpstr>'Pavonia Life'!CO_FINANCIAL</vt:lpstr>
      <vt:lpstr>'Pen  Treaty'!CO_FINANCIAL</vt:lpstr>
      <vt:lpstr>'Red Rock'!CO_FINANCIAL</vt:lpstr>
      <vt:lpstr>Reliance!CO_FINANCIAL</vt:lpstr>
      <vt:lpstr>SeeChange!CO_FINANCIAL</vt:lpstr>
      <vt:lpstr>'Senior American'!CO_FINANCIAL</vt:lpstr>
      <vt:lpstr>Settlers!CO_FINANCIAL</vt:lpstr>
      <vt:lpstr>Shenandoah!CO_FINANCIAL</vt:lpstr>
      <vt:lpstr>'Southland National Life'!CO_FINANCIAL</vt:lpstr>
      <vt:lpstr>'Standard Life IN'!CO_FINANCIAL</vt:lpstr>
      <vt:lpstr>'States General'!CO_FINANCIAL</vt:lpstr>
      <vt:lpstr>Statesman!CO_FINANCIAL</vt:lpstr>
      <vt:lpstr>'Summit National'!CO_FINANCIAL</vt:lpstr>
      <vt:lpstr>Supreme!CO_FINANCIAL</vt:lpstr>
      <vt:lpstr>Time!CO_FINANCIAL</vt:lpstr>
      <vt:lpstr>'Total Summary'!CO_FINANCIAL</vt:lpstr>
      <vt:lpstr>Underwriters!CO_FINANCIAL</vt:lpstr>
      <vt:lpstr>Unison!CO_FINANCIAL</vt:lpstr>
      <vt:lpstr>'United Republic'!CO_FINANCIAL</vt:lpstr>
      <vt:lpstr>'Universal Health Care'!CO_FINANCIAL</vt:lpstr>
      <vt:lpstr>'Universal Life'!CO_FINANCIAL</vt:lpstr>
      <vt:lpstr>Universe!CO_FINANCIAL</vt:lpstr>
      <vt:lpstr>Villanova!CO_FINANCIAL</vt:lpstr>
      <vt:lpstr>'AF&amp;L'!CT_FINANCIAL</vt:lpstr>
      <vt:lpstr>'Alabama Life'!CT_FINANCIAL</vt:lpstr>
      <vt:lpstr>'Amer Life Asr'!CT_FINANCIAL</vt:lpstr>
      <vt:lpstr>'Amer Std Life Acc'!CT_FINANCIAL</vt:lpstr>
      <vt:lpstr>'American Chambers'!CT_FINANCIAL</vt:lpstr>
      <vt:lpstr>'American Community'!CT_FINANCIAL</vt:lpstr>
      <vt:lpstr>'American Educators'!CT_FINANCIAL</vt:lpstr>
      <vt:lpstr>'American Integrity'!CT_FINANCIAL</vt:lpstr>
      <vt:lpstr>'American Medical'!CT_FINANCIAL</vt:lpstr>
      <vt:lpstr>'American Network'!CT_FINANCIAL</vt:lpstr>
      <vt:lpstr>AmerWstrn!CT_FINANCIAL</vt:lpstr>
      <vt:lpstr>'AMS Life'!CT_FINANCIAL</vt:lpstr>
      <vt:lpstr>'Andrew Jackson'!CT_FINANCIAL</vt:lpstr>
      <vt:lpstr>'Bankers Commercial'!CT_FINANCIAL</vt:lpstr>
      <vt:lpstr>'Bankers Life'!CT_FINANCIAL</vt:lpstr>
      <vt:lpstr>Benicorp!CT_FINANCIAL</vt:lpstr>
      <vt:lpstr>'Booker T Washington'!CT_FINANCIAL</vt:lpstr>
      <vt:lpstr>Centennial!CT_FINANCIAL</vt:lpstr>
      <vt:lpstr>'CO Bankers'!CT_FINANCIAL</vt:lpstr>
      <vt:lpstr>'Coastal States'!CT_FINANCIAL</vt:lpstr>
      <vt:lpstr>'Colorado Health'!CT_FINANCIAL</vt:lpstr>
      <vt:lpstr>'Compass (dbs Meritus)'!CT_FINANCIAL</vt:lpstr>
      <vt:lpstr>'Confed Life &amp; Annty (CLIAC)'!CT_FINANCIAL</vt:lpstr>
      <vt:lpstr>'Confed Life (CLIC)'!CT_FINANCIAL</vt:lpstr>
      <vt:lpstr>'Consolidated National'!CT_FINANCIAL</vt:lpstr>
      <vt:lpstr>'Consumers Choice'!CT_FINANCIAL</vt:lpstr>
      <vt:lpstr>'Consumers Mutual'!CT_FINANCIAL</vt:lpstr>
      <vt:lpstr>'Consumers United'!CT_FINANCIAL</vt:lpstr>
      <vt:lpstr>CoOportunity!CT_FINANCIAL</vt:lpstr>
      <vt:lpstr>'Coordinated Hlth'!CT_FINANCIAL</vt:lpstr>
      <vt:lpstr>'Corporate Life'!CT_FINANCIAL</vt:lpstr>
      <vt:lpstr>'Diamond Benefits'!CT_FINANCIAL</vt:lpstr>
      <vt:lpstr>'EBL Life'!CT_FINANCIAL</vt:lpstr>
      <vt:lpstr>ELNY!CT_FINANCIAL</vt:lpstr>
      <vt:lpstr>'Executive Life'!CT_FINANCIAL</vt:lpstr>
      <vt:lpstr>'Family Guaranty'!CT_FINANCIAL</vt:lpstr>
      <vt:lpstr>'Fidelity Bankers'!CT_FINANCIAL</vt:lpstr>
      <vt:lpstr>'Fidelity Mutual'!CT_FINANCIAL</vt:lpstr>
      <vt:lpstr>'First Capital'!CT_FINANCIAL</vt:lpstr>
      <vt:lpstr>'First Natl'!CT_FINANCIAL</vt:lpstr>
      <vt:lpstr>'First Natl (Thrnr)'!CT_FINANCIAL</vt:lpstr>
      <vt:lpstr>'Franklin American'!CT_FINANCIAL</vt:lpstr>
      <vt:lpstr>'Franklin Protective'!CT_FINANCIAL</vt:lpstr>
      <vt:lpstr>'Freelancers CO-OP'!CT_FINANCIAL</vt:lpstr>
      <vt:lpstr>Freestone!CT_FINANCIAL</vt:lpstr>
      <vt:lpstr>'George Washington'!CT_FINANCIAL</vt:lpstr>
      <vt:lpstr>'Golden State'!CT_FINANCIAL</vt:lpstr>
      <vt:lpstr>'Guarantee Security'!CT_FINANCIAL</vt:lpstr>
      <vt:lpstr>HealthyCT!CT_FINANCIAL</vt:lpstr>
      <vt:lpstr>Imerica!CT_FINANCIAL</vt:lpstr>
      <vt:lpstr>'Inter-American'!CT_FINANCIAL</vt:lpstr>
      <vt:lpstr>'International Fin'!CT_FINANCIAL</vt:lpstr>
      <vt:lpstr>'Investment Life of America'!CT_FINANCIAL</vt:lpstr>
      <vt:lpstr>'Investors Equity'!CT_FINANCIAL</vt:lpstr>
      <vt:lpstr>'Kentucky Central'!CT_FINANCIAL</vt:lpstr>
      <vt:lpstr>'Land of Lincoln'!CT_FINANCIAL</vt:lpstr>
      <vt:lpstr>Legion!CT_FINANCIAL</vt:lpstr>
      <vt:lpstr>'Life Health America'!CT_FINANCIAL</vt:lpstr>
      <vt:lpstr>'Lincoln Memorial'!CT_FINANCIAL</vt:lpstr>
      <vt:lpstr>'London Pac'!CT_FINANCIAL</vt:lpstr>
      <vt:lpstr>Lumbermens!CT_FINANCIAL</vt:lpstr>
      <vt:lpstr>'Medical Savings'!CT_FINANCIAL</vt:lpstr>
      <vt:lpstr>'Memorial Service'!CT_FINANCIAL</vt:lpstr>
      <vt:lpstr>Midcontinent!CT_FINANCIAL</vt:lpstr>
      <vt:lpstr>'Midwest Life'!CT_FINANCIAL</vt:lpstr>
      <vt:lpstr>'Monarch Life'!CT_FINANCIAL</vt:lpstr>
      <vt:lpstr>'Mutual Benefit'!CT_FINANCIAL</vt:lpstr>
      <vt:lpstr>'Mutual Security'!CT_FINANCIAL</vt:lpstr>
      <vt:lpstr>'National Affiliated'!CT_FINANCIAL</vt:lpstr>
      <vt:lpstr>'National Heritage'!CT_FINANCIAL</vt:lpstr>
      <vt:lpstr>'National States'!CT_FINANCIAL</vt:lpstr>
      <vt:lpstr>'Natl American'!CT_FINANCIAL</vt:lpstr>
      <vt:lpstr>'New Jersey Life'!CT_FINANCIAL</vt:lpstr>
      <vt:lpstr>NNIC!CT_FINANCIAL</vt:lpstr>
      <vt:lpstr>'North Carolina Mutual'!CT_FINANCIAL</vt:lpstr>
      <vt:lpstr>'Old Colony Life'!CT_FINANCIAL</vt:lpstr>
      <vt:lpstr>'Old Faithful'!CT_FINANCIAL</vt:lpstr>
      <vt:lpstr>'Pacific Standard'!CT_FINANCIAL</vt:lpstr>
      <vt:lpstr>'Pavonia Life'!CT_FINANCIAL</vt:lpstr>
      <vt:lpstr>'Pen  Treaty'!CT_FINANCIAL</vt:lpstr>
      <vt:lpstr>'Red Rock'!CT_FINANCIAL</vt:lpstr>
      <vt:lpstr>Reliance!CT_FINANCIAL</vt:lpstr>
      <vt:lpstr>SeeChange!CT_FINANCIAL</vt:lpstr>
      <vt:lpstr>'Senior American'!CT_FINANCIAL</vt:lpstr>
      <vt:lpstr>Settlers!CT_FINANCIAL</vt:lpstr>
      <vt:lpstr>Shenandoah!CT_FINANCIAL</vt:lpstr>
      <vt:lpstr>'Southland National Life'!CT_FINANCIAL</vt:lpstr>
      <vt:lpstr>'Standard Life IN'!CT_FINANCIAL</vt:lpstr>
      <vt:lpstr>'States General'!CT_FINANCIAL</vt:lpstr>
      <vt:lpstr>Statesman!CT_FINANCIAL</vt:lpstr>
      <vt:lpstr>'Summit National'!CT_FINANCIAL</vt:lpstr>
      <vt:lpstr>Supreme!CT_FINANCIAL</vt:lpstr>
      <vt:lpstr>Time!CT_FINANCIAL</vt:lpstr>
      <vt:lpstr>'Total Summary'!CT_FINANCIAL</vt:lpstr>
      <vt:lpstr>Underwriters!CT_FINANCIAL</vt:lpstr>
      <vt:lpstr>Unison!CT_FINANCIAL</vt:lpstr>
      <vt:lpstr>'United Republic'!CT_FINANCIAL</vt:lpstr>
      <vt:lpstr>'Universal Health Care'!CT_FINANCIAL</vt:lpstr>
      <vt:lpstr>'Universal Life'!CT_FINANCIAL</vt:lpstr>
      <vt:lpstr>Universe!CT_FINANCIAL</vt:lpstr>
      <vt:lpstr>Villanova!CT_FINANCIAL</vt:lpstr>
      <vt:lpstr>'AF&amp;L'!DC_FINANCIAL</vt:lpstr>
      <vt:lpstr>'Alabama Life'!DC_FINANCIAL</vt:lpstr>
      <vt:lpstr>'Amer Life Asr'!DC_FINANCIAL</vt:lpstr>
      <vt:lpstr>'Amer Std Life Acc'!DC_FINANCIAL</vt:lpstr>
      <vt:lpstr>'American Chambers'!DC_FINANCIAL</vt:lpstr>
      <vt:lpstr>'American Community'!DC_FINANCIAL</vt:lpstr>
      <vt:lpstr>'American Educators'!DC_FINANCIAL</vt:lpstr>
      <vt:lpstr>'American Integrity'!DC_FINANCIAL</vt:lpstr>
      <vt:lpstr>'American Medical'!DC_FINANCIAL</vt:lpstr>
      <vt:lpstr>'American Network'!DC_FINANCIAL</vt:lpstr>
      <vt:lpstr>AmerWstrn!DC_FINANCIAL</vt:lpstr>
      <vt:lpstr>'AMS Life'!DC_FINANCIAL</vt:lpstr>
      <vt:lpstr>'Andrew Jackson'!DC_FINANCIAL</vt:lpstr>
      <vt:lpstr>'Bankers Commercial'!DC_FINANCIAL</vt:lpstr>
      <vt:lpstr>'Bankers Life'!DC_FINANCIAL</vt:lpstr>
      <vt:lpstr>Benicorp!DC_FINANCIAL</vt:lpstr>
      <vt:lpstr>'Booker T Washington'!DC_FINANCIAL</vt:lpstr>
      <vt:lpstr>Centennial!DC_FINANCIAL</vt:lpstr>
      <vt:lpstr>'CO Bankers'!DC_FINANCIAL</vt:lpstr>
      <vt:lpstr>'Coastal States'!DC_FINANCIAL</vt:lpstr>
      <vt:lpstr>'Colorado Health'!DC_FINANCIAL</vt:lpstr>
      <vt:lpstr>'Compass (dbs Meritus)'!DC_FINANCIAL</vt:lpstr>
      <vt:lpstr>'Confed Life &amp; Annty (CLIAC)'!DC_FINANCIAL</vt:lpstr>
      <vt:lpstr>'Confed Life (CLIC)'!DC_FINANCIAL</vt:lpstr>
      <vt:lpstr>'Consolidated National'!DC_FINANCIAL</vt:lpstr>
      <vt:lpstr>'Consumers Choice'!DC_FINANCIAL</vt:lpstr>
      <vt:lpstr>'Consumers Mutual'!DC_FINANCIAL</vt:lpstr>
      <vt:lpstr>'Consumers United'!DC_FINANCIAL</vt:lpstr>
      <vt:lpstr>CoOportunity!DC_FINANCIAL</vt:lpstr>
      <vt:lpstr>'Coordinated Hlth'!DC_FINANCIAL</vt:lpstr>
      <vt:lpstr>'Corporate Life'!DC_FINANCIAL</vt:lpstr>
      <vt:lpstr>'Diamond Benefits'!DC_FINANCIAL</vt:lpstr>
      <vt:lpstr>'EBL Life'!DC_FINANCIAL</vt:lpstr>
      <vt:lpstr>ELNY!DC_FINANCIAL</vt:lpstr>
      <vt:lpstr>'Executive Life'!DC_FINANCIAL</vt:lpstr>
      <vt:lpstr>'Family Guaranty'!DC_FINANCIAL</vt:lpstr>
      <vt:lpstr>'Fidelity Bankers'!DC_FINANCIAL</vt:lpstr>
      <vt:lpstr>'Fidelity Mutual'!DC_FINANCIAL</vt:lpstr>
      <vt:lpstr>'First Capital'!DC_FINANCIAL</vt:lpstr>
      <vt:lpstr>'First Natl'!DC_FINANCIAL</vt:lpstr>
      <vt:lpstr>'First Natl (Thrnr)'!DC_FINANCIAL</vt:lpstr>
      <vt:lpstr>'Franklin American'!DC_FINANCIAL</vt:lpstr>
      <vt:lpstr>'Franklin Protective'!DC_FINANCIAL</vt:lpstr>
      <vt:lpstr>'Freelancers CO-OP'!DC_FINANCIAL</vt:lpstr>
      <vt:lpstr>Freestone!DC_FINANCIAL</vt:lpstr>
      <vt:lpstr>'George Washington'!DC_FINANCIAL</vt:lpstr>
      <vt:lpstr>'Golden State'!DC_FINANCIAL</vt:lpstr>
      <vt:lpstr>'Guarantee Security'!DC_FINANCIAL</vt:lpstr>
      <vt:lpstr>HealthyCT!DC_FINANCIAL</vt:lpstr>
      <vt:lpstr>Imerica!DC_FINANCIAL</vt:lpstr>
      <vt:lpstr>'Inter-American'!DC_FINANCIAL</vt:lpstr>
      <vt:lpstr>'International Fin'!DC_FINANCIAL</vt:lpstr>
      <vt:lpstr>'Investment Life of America'!DC_FINANCIAL</vt:lpstr>
      <vt:lpstr>'Investors Equity'!DC_FINANCIAL</vt:lpstr>
      <vt:lpstr>'Kentucky Central'!DC_FINANCIAL</vt:lpstr>
      <vt:lpstr>'Land of Lincoln'!DC_FINANCIAL</vt:lpstr>
      <vt:lpstr>Legion!DC_FINANCIAL</vt:lpstr>
      <vt:lpstr>'Life Health America'!DC_FINANCIAL</vt:lpstr>
      <vt:lpstr>'Lincoln Memorial'!DC_FINANCIAL</vt:lpstr>
      <vt:lpstr>'London Pac'!DC_FINANCIAL</vt:lpstr>
      <vt:lpstr>Lumbermens!DC_FINANCIAL</vt:lpstr>
      <vt:lpstr>'Medical Savings'!DC_FINANCIAL</vt:lpstr>
      <vt:lpstr>'Memorial Service'!DC_FINANCIAL</vt:lpstr>
      <vt:lpstr>Midcontinent!DC_FINANCIAL</vt:lpstr>
      <vt:lpstr>'Midwest Life'!DC_FINANCIAL</vt:lpstr>
      <vt:lpstr>'Monarch Life'!DC_FINANCIAL</vt:lpstr>
      <vt:lpstr>'Mutual Benefit'!DC_FINANCIAL</vt:lpstr>
      <vt:lpstr>'Mutual Security'!DC_FINANCIAL</vt:lpstr>
      <vt:lpstr>'National Affiliated'!DC_FINANCIAL</vt:lpstr>
      <vt:lpstr>'National Heritage'!DC_FINANCIAL</vt:lpstr>
      <vt:lpstr>'National States'!DC_FINANCIAL</vt:lpstr>
      <vt:lpstr>'Natl American'!DC_FINANCIAL</vt:lpstr>
      <vt:lpstr>'New Jersey Life'!DC_FINANCIAL</vt:lpstr>
      <vt:lpstr>NNIC!DC_FINANCIAL</vt:lpstr>
      <vt:lpstr>'North Carolina Mutual'!DC_FINANCIAL</vt:lpstr>
      <vt:lpstr>'Old Colony Life'!DC_FINANCIAL</vt:lpstr>
      <vt:lpstr>'Old Faithful'!DC_FINANCIAL</vt:lpstr>
      <vt:lpstr>'Pacific Standard'!DC_FINANCIAL</vt:lpstr>
      <vt:lpstr>'Pavonia Life'!DC_FINANCIAL</vt:lpstr>
      <vt:lpstr>'Pen  Treaty'!DC_FINANCIAL</vt:lpstr>
      <vt:lpstr>'Red Rock'!DC_FINANCIAL</vt:lpstr>
      <vt:lpstr>Reliance!DC_FINANCIAL</vt:lpstr>
      <vt:lpstr>SeeChange!DC_FINANCIAL</vt:lpstr>
      <vt:lpstr>'Senior American'!DC_FINANCIAL</vt:lpstr>
      <vt:lpstr>Settlers!DC_FINANCIAL</vt:lpstr>
      <vt:lpstr>Shenandoah!DC_FINANCIAL</vt:lpstr>
      <vt:lpstr>'Southland National Life'!DC_FINANCIAL</vt:lpstr>
      <vt:lpstr>'Standard Life IN'!DC_FINANCIAL</vt:lpstr>
      <vt:lpstr>'States General'!DC_FINANCIAL</vt:lpstr>
      <vt:lpstr>Statesman!DC_FINANCIAL</vt:lpstr>
      <vt:lpstr>'Summit National'!DC_FINANCIAL</vt:lpstr>
      <vt:lpstr>Supreme!DC_FINANCIAL</vt:lpstr>
      <vt:lpstr>Time!DC_FINANCIAL</vt:lpstr>
      <vt:lpstr>'Total Summary'!DC_FINANCIAL</vt:lpstr>
      <vt:lpstr>Underwriters!DC_FINANCIAL</vt:lpstr>
      <vt:lpstr>Unison!DC_FINANCIAL</vt:lpstr>
      <vt:lpstr>'United Republic'!DC_FINANCIAL</vt:lpstr>
      <vt:lpstr>'Universal Health Care'!DC_FINANCIAL</vt:lpstr>
      <vt:lpstr>'Universal Life'!DC_FINANCIAL</vt:lpstr>
      <vt:lpstr>Universe!DC_FINANCIAL</vt:lpstr>
      <vt:lpstr>Villanova!DC_FINANCIAL</vt:lpstr>
      <vt:lpstr>'AF&amp;L'!DE_FINANCIAL</vt:lpstr>
      <vt:lpstr>'Alabama Life'!DE_FINANCIAL</vt:lpstr>
      <vt:lpstr>'Amer Life Asr'!DE_FINANCIAL</vt:lpstr>
      <vt:lpstr>'Amer Std Life Acc'!DE_FINANCIAL</vt:lpstr>
      <vt:lpstr>'American Chambers'!DE_FINANCIAL</vt:lpstr>
      <vt:lpstr>'American Community'!DE_FINANCIAL</vt:lpstr>
      <vt:lpstr>'American Educators'!DE_FINANCIAL</vt:lpstr>
      <vt:lpstr>'American Integrity'!DE_FINANCIAL</vt:lpstr>
      <vt:lpstr>'American Medical'!DE_FINANCIAL</vt:lpstr>
      <vt:lpstr>'American Network'!DE_FINANCIAL</vt:lpstr>
      <vt:lpstr>AmerWstrn!DE_FINANCIAL</vt:lpstr>
      <vt:lpstr>'AMS Life'!DE_FINANCIAL</vt:lpstr>
      <vt:lpstr>'Andrew Jackson'!DE_FINANCIAL</vt:lpstr>
      <vt:lpstr>'Bankers Commercial'!DE_FINANCIAL</vt:lpstr>
      <vt:lpstr>'Bankers Life'!DE_FINANCIAL</vt:lpstr>
      <vt:lpstr>Benicorp!DE_FINANCIAL</vt:lpstr>
      <vt:lpstr>'Booker T Washington'!DE_FINANCIAL</vt:lpstr>
      <vt:lpstr>Centennial!DE_FINANCIAL</vt:lpstr>
      <vt:lpstr>'CO Bankers'!DE_FINANCIAL</vt:lpstr>
      <vt:lpstr>'Coastal States'!DE_FINANCIAL</vt:lpstr>
      <vt:lpstr>'Colorado Health'!DE_FINANCIAL</vt:lpstr>
      <vt:lpstr>'Compass (dbs Meritus)'!DE_FINANCIAL</vt:lpstr>
      <vt:lpstr>'Confed Life &amp; Annty (CLIAC)'!DE_FINANCIAL</vt:lpstr>
      <vt:lpstr>'Confed Life (CLIC)'!DE_FINANCIAL</vt:lpstr>
      <vt:lpstr>'Consolidated National'!DE_FINANCIAL</vt:lpstr>
      <vt:lpstr>'Consumers Choice'!DE_FINANCIAL</vt:lpstr>
      <vt:lpstr>'Consumers Mutual'!DE_FINANCIAL</vt:lpstr>
      <vt:lpstr>'Consumers United'!DE_FINANCIAL</vt:lpstr>
      <vt:lpstr>CoOportunity!DE_FINANCIAL</vt:lpstr>
      <vt:lpstr>'Coordinated Hlth'!DE_FINANCIAL</vt:lpstr>
      <vt:lpstr>'Corporate Life'!DE_FINANCIAL</vt:lpstr>
      <vt:lpstr>'Diamond Benefits'!DE_FINANCIAL</vt:lpstr>
      <vt:lpstr>'EBL Life'!DE_FINANCIAL</vt:lpstr>
      <vt:lpstr>ELNY!DE_FINANCIAL</vt:lpstr>
      <vt:lpstr>'Executive Life'!DE_FINANCIAL</vt:lpstr>
      <vt:lpstr>'Family Guaranty'!DE_FINANCIAL</vt:lpstr>
      <vt:lpstr>'Fidelity Bankers'!DE_FINANCIAL</vt:lpstr>
      <vt:lpstr>'Fidelity Mutual'!DE_FINANCIAL</vt:lpstr>
      <vt:lpstr>'First Capital'!DE_FINANCIAL</vt:lpstr>
      <vt:lpstr>'First Natl'!DE_FINANCIAL</vt:lpstr>
      <vt:lpstr>'First Natl (Thrnr)'!DE_FINANCIAL</vt:lpstr>
      <vt:lpstr>'Franklin American'!DE_FINANCIAL</vt:lpstr>
      <vt:lpstr>'Franklin Protective'!DE_FINANCIAL</vt:lpstr>
      <vt:lpstr>'Freelancers CO-OP'!DE_FINANCIAL</vt:lpstr>
      <vt:lpstr>Freestone!DE_FINANCIAL</vt:lpstr>
      <vt:lpstr>'George Washington'!DE_FINANCIAL</vt:lpstr>
      <vt:lpstr>'Golden State'!DE_FINANCIAL</vt:lpstr>
      <vt:lpstr>'Guarantee Security'!DE_FINANCIAL</vt:lpstr>
      <vt:lpstr>HealthyCT!DE_FINANCIAL</vt:lpstr>
      <vt:lpstr>Imerica!DE_FINANCIAL</vt:lpstr>
      <vt:lpstr>'Inter-American'!DE_FINANCIAL</vt:lpstr>
      <vt:lpstr>'International Fin'!DE_FINANCIAL</vt:lpstr>
      <vt:lpstr>'Investment Life of America'!DE_FINANCIAL</vt:lpstr>
      <vt:lpstr>'Investors Equity'!DE_FINANCIAL</vt:lpstr>
      <vt:lpstr>'Kentucky Central'!DE_FINANCIAL</vt:lpstr>
      <vt:lpstr>'Land of Lincoln'!DE_FINANCIAL</vt:lpstr>
      <vt:lpstr>Legion!DE_FINANCIAL</vt:lpstr>
      <vt:lpstr>'Life Health America'!DE_FINANCIAL</vt:lpstr>
      <vt:lpstr>'Lincoln Memorial'!DE_FINANCIAL</vt:lpstr>
      <vt:lpstr>'London Pac'!DE_FINANCIAL</vt:lpstr>
      <vt:lpstr>Lumbermens!DE_FINANCIAL</vt:lpstr>
      <vt:lpstr>'Medical Savings'!DE_FINANCIAL</vt:lpstr>
      <vt:lpstr>'Memorial Service'!DE_FINANCIAL</vt:lpstr>
      <vt:lpstr>Midcontinent!DE_FINANCIAL</vt:lpstr>
      <vt:lpstr>'Midwest Life'!DE_FINANCIAL</vt:lpstr>
      <vt:lpstr>'Monarch Life'!DE_FINANCIAL</vt:lpstr>
      <vt:lpstr>'Mutual Benefit'!DE_FINANCIAL</vt:lpstr>
      <vt:lpstr>'Mutual Security'!DE_FINANCIAL</vt:lpstr>
      <vt:lpstr>'National Affiliated'!DE_FINANCIAL</vt:lpstr>
      <vt:lpstr>'National Heritage'!DE_FINANCIAL</vt:lpstr>
      <vt:lpstr>'National States'!DE_FINANCIAL</vt:lpstr>
      <vt:lpstr>'Natl American'!DE_FINANCIAL</vt:lpstr>
      <vt:lpstr>'New Jersey Life'!DE_FINANCIAL</vt:lpstr>
      <vt:lpstr>NNIC!DE_FINANCIAL</vt:lpstr>
      <vt:lpstr>'North Carolina Mutual'!DE_FINANCIAL</vt:lpstr>
      <vt:lpstr>'Old Colony Life'!DE_FINANCIAL</vt:lpstr>
      <vt:lpstr>'Old Faithful'!DE_FINANCIAL</vt:lpstr>
      <vt:lpstr>'Pacific Standard'!DE_FINANCIAL</vt:lpstr>
      <vt:lpstr>'Pavonia Life'!DE_FINANCIAL</vt:lpstr>
      <vt:lpstr>'Pen  Treaty'!DE_FINANCIAL</vt:lpstr>
      <vt:lpstr>'Red Rock'!DE_FINANCIAL</vt:lpstr>
      <vt:lpstr>Reliance!DE_FINANCIAL</vt:lpstr>
      <vt:lpstr>SeeChange!DE_FINANCIAL</vt:lpstr>
      <vt:lpstr>'Senior American'!DE_FINANCIAL</vt:lpstr>
      <vt:lpstr>Settlers!DE_FINANCIAL</vt:lpstr>
      <vt:lpstr>Shenandoah!DE_FINANCIAL</vt:lpstr>
      <vt:lpstr>'Southland National Life'!DE_FINANCIAL</vt:lpstr>
      <vt:lpstr>'Standard Life IN'!DE_FINANCIAL</vt:lpstr>
      <vt:lpstr>'States General'!DE_FINANCIAL</vt:lpstr>
      <vt:lpstr>Statesman!DE_FINANCIAL</vt:lpstr>
      <vt:lpstr>'Summit National'!DE_FINANCIAL</vt:lpstr>
      <vt:lpstr>Supreme!DE_FINANCIAL</vt:lpstr>
      <vt:lpstr>Time!DE_FINANCIAL</vt:lpstr>
      <vt:lpstr>'Total Summary'!DE_FINANCIAL</vt:lpstr>
      <vt:lpstr>Underwriters!DE_FINANCIAL</vt:lpstr>
      <vt:lpstr>Unison!DE_FINANCIAL</vt:lpstr>
      <vt:lpstr>'United Republic'!DE_FINANCIAL</vt:lpstr>
      <vt:lpstr>'Universal Health Care'!DE_FINANCIAL</vt:lpstr>
      <vt:lpstr>'Universal Life'!DE_FINANCIAL</vt:lpstr>
      <vt:lpstr>Universe!DE_FINANCIAL</vt:lpstr>
      <vt:lpstr>Villanova!DE_FINANCIAL</vt:lpstr>
      <vt:lpstr>Summary!EC_ALLOC_CALLED</vt:lpstr>
      <vt:lpstr>Summary!EC_ALLOC_REFUNDED</vt:lpstr>
      <vt:lpstr>Summary!EC_ALLOCATED</vt:lpstr>
      <vt:lpstr>Summary!EC_CHANGE</vt:lpstr>
      <vt:lpstr>Summary!EC_HEALTH</vt:lpstr>
      <vt:lpstr>Summary!EC_HEALTH_CALLED</vt:lpstr>
      <vt:lpstr>Summary!EC_HEALTH_REFUNDED</vt:lpstr>
      <vt:lpstr>Summary!EC_LIFE</vt:lpstr>
      <vt:lpstr>Summary!EC_LIFE_CALLED</vt:lpstr>
      <vt:lpstr>Summary!EC_LIFE_REFUNDED</vt:lpstr>
      <vt:lpstr>Summary!EC_LTC</vt:lpstr>
      <vt:lpstr>Summary!EC_TOTAL</vt:lpstr>
      <vt:lpstr>Summary!EC_TOTAL_PREV</vt:lpstr>
      <vt:lpstr>Summary!EC_UNALLOC_CALLED</vt:lpstr>
      <vt:lpstr>Summary!EC_UNALLOC_REFUNDED</vt:lpstr>
      <vt:lpstr>Summary!EC_UNALLOCATED</vt:lpstr>
      <vt:lpstr>'AF&amp;L'!FL_FINANCIAL</vt:lpstr>
      <vt:lpstr>'Alabama Life'!FL_FINANCIAL</vt:lpstr>
      <vt:lpstr>'Amer Life Asr'!FL_FINANCIAL</vt:lpstr>
      <vt:lpstr>'Amer Std Life Acc'!FL_FINANCIAL</vt:lpstr>
      <vt:lpstr>'American Chambers'!FL_FINANCIAL</vt:lpstr>
      <vt:lpstr>'American Community'!FL_FINANCIAL</vt:lpstr>
      <vt:lpstr>'American Educators'!FL_FINANCIAL</vt:lpstr>
      <vt:lpstr>'American Integrity'!FL_FINANCIAL</vt:lpstr>
      <vt:lpstr>'American Medical'!FL_FINANCIAL</vt:lpstr>
      <vt:lpstr>'American Network'!FL_FINANCIAL</vt:lpstr>
      <vt:lpstr>AmerWstrn!FL_FINANCIAL</vt:lpstr>
      <vt:lpstr>'AMS Life'!FL_FINANCIAL</vt:lpstr>
      <vt:lpstr>'Andrew Jackson'!FL_FINANCIAL</vt:lpstr>
      <vt:lpstr>'Bankers Commercial'!FL_FINANCIAL</vt:lpstr>
      <vt:lpstr>'Bankers Life'!FL_FINANCIAL</vt:lpstr>
      <vt:lpstr>Benicorp!FL_FINANCIAL</vt:lpstr>
      <vt:lpstr>'Booker T Washington'!FL_FINANCIAL</vt:lpstr>
      <vt:lpstr>Centennial!FL_FINANCIAL</vt:lpstr>
      <vt:lpstr>'CO Bankers'!FL_FINANCIAL</vt:lpstr>
      <vt:lpstr>'Coastal States'!FL_FINANCIAL</vt:lpstr>
      <vt:lpstr>'Colorado Health'!FL_FINANCIAL</vt:lpstr>
      <vt:lpstr>'Compass (dbs Meritus)'!FL_FINANCIAL</vt:lpstr>
      <vt:lpstr>'Confed Life &amp; Annty (CLIAC)'!FL_FINANCIAL</vt:lpstr>
      <vt:lpstr>'Confed Life (CLIC)'!FL_FINANCIAL</vt:lpstr>
      <vt:lpstr>'Consolidated National'!FL_FINANCIAL</vt:lpstr>
      <vt:lpstr>'Consumers Choice'!FL_FINANCIAL</vt:lpstr>
      <vt:lpstr>'Consumers Mutual'!FL_FINANCIAL</vt:lpstr>
      <vt:lpstr>'Consumers United'!FL_FINANCIAL</vt:lpstr>
      <vt:lpstr>CoOportunity!FL_FINANCIAL</vt:lpstr>
      <vt:lpstr>'Coordinated Hlth'!FL_FINANCIAL</vt:lpstr>
      <vt:lpstr>'Corporate Life'!FL_FINANCIAL</vt:lpstr>
      <vt:lpstr>'Diamond Benefits'!FL_FINANCIAL</vt:lpstr>
      <vt:lpstr>'EBL Life'!FL_FINANCIAL</vt:lpstr>
      <vt:lpstr>ELNY!FL_FINANCIAL</vt:lpstr>
      <vt:lpstr>'Executive Life'!FL_FINANCIAL</vt:lpstr>
      <vt:lpstr>'Family Guaranty'!FL_FINANCIAL</vt:lpstr>
      <vt:lpstr>'Fidelity Bankers'!FL_FINANCIAL</vt:lpstr>
      <vt:lpstr>'Fidelity Mutual'!FL_FINANCIAL</vt:lpstr>
      <vt:lpstr>'First Capital'!FL_FINANCIAL</vt:lpstr>
      <vt:lpstr>'First Natl'!FL_FINANCIAL</vt:lpstr>
      <vt:lpstr>'First Natl (Thrnr)'!FL_FINANCIAL</vt:lpstr>
      <vt:lpstr>'Franklin American'!FL_FINANCIAL</vt:lpstr>
      <vt:lpstr>'Franklin Protective'!FL_FINANCIAL</vt:lpstr>
      <vt:lpstr>'Freelancers CO-OP'!FL_FINANCIAL</vt:lpstr>
      <vt:lpstr>Freestone!FL_FINANCIAL</vt:lpstr>
      <vt:lpstr>'George Washington'!FL_FINANCIAL</vt:lpstr>
      <vt:lpstr>'Golden State'!FL_FINANCIAL</vt:lpstr>
      <vt:lpstr>'Guarantee Security'!FL_FINANCIAL</vt:lpstr>
      <vt:lpstr>HealthyCT!FL_FINANCIAL</vt:lpstr>
      <vt:lpstr>Imerica!FL_FINANCIAL</vt:lpstr>
      <vt:lpstr>'Inter-American'!FL_FINANCIAL</vt:lpstr>
      <vt:lpstr>'International Fin'!FL_FINANCIAL</vt:lpstr>
      <vt:lpstr>'Investment Life of America'!FL_FINANCIAL</vt:lpstr>
      <vt:lpstr>'Investors Equity'!FL_FINANCIAL</vt:lpstr>
      <vt:lpstr>'Kentucky Central'!FL_FINANCIAL</vt:lpstr>
      <vt:lpstr>'Land of Lincoln'!FL_FINANCIAL</vt:lpstr>
      <vt:lpstr>Legion!FL_FINANCIAL</vt:lpstr>
      <vt:lpstr>'Life Health America'!FL_FINANCIAL</vt:lpstr>
      <vt:lpstr>'Lincoln Memorial'!FL_FINANCIAL</vt:lpstr>
      <vt:lpstr>'London Pac'!FL_FINANCIAL</vt:lpstr>
      <vt:lpstr>Lumbermens!FL_FINANCIAL</vt:lpstr>
      <vt:lpstr>'Medical Savings'!FL_FINANCIAL</vt:lpstr>
      <vt:lpstr>'Memorial Service'!FL_FINANCIAL</vt:lpstr>
      <vt:lpstr>Midcontinent!FL_FINANCIAL</vt:lpstr>
      <vt:lpstr>'Midwest Life'!FL_FINANCIAL</vt:lpstr>
      <vt:lpstr>'Monarch Life'!FL_FINANCIAL</vt:lpstr>
      <vt:lpstr>'Mutual Benefit'!FL_FINANCIAL</vt:lpstr>
      <vt:lpstr>'Mutual Security'!FL_FINANCIAL</vt:lpstr>
      <vt:lpstr>'National Affiliated'!FL_FINANCIAL</vt:lpstr>
      <vt:lpstr>'National Heritage'!FL_FINANCIAL</vt:lpstr>
      <vt:lpstr>'National States'!FL_FINANCIAL</vt:lpstr>
      <vt:lpstr>'Natl American'!FL_FINANCIAL</vt:lpstr>
      <vt:lpstr>'New Jersey Life'!FL_FINANCIAL</vt:lpstr>
      <vt:lpstr>NNIC!FL_FINANCIAL</vt:lpstr>
      <vt:lpstr>'North Carolina Mutual'!FL_FINANCIAL</vt:lpstr>
      <vt:lpstr>'Old Colony Life'!FL_FINANCIAL</vt:lpstr>
      <vt:lpstr>'Old Faithful'!FL_FINANCIAL</vt:lpstr>
      <vt:lpstr>'Pacific Standard'!FL_FINANCIAL</vt:lpstr>
      <vt:lpstr>'Pavonia Life'!FL_FINANCIAL</vt:lpstr>
      <vt:lpstr>'Pen  Treaty'!FL_FINANCIAL</vt:lpstr>
      <vt:lpstr>'Red Rock'!FL_FINANCIAL</vt:lpstr>
      <vt:lpstr>Reliance!FL_FINANCIAL</vt:lpstr>
      <vt:lpstr>SeeChange!FL_FINANCIAL</vt:lpstr>
      <vt:lpstr>'Senior American'!FL_FINANCIAL</vt:lpstr>
      <vt:lpstr>Settlers!FL_FINANCIAL</vt:lpstr>
      <vt:lpstr>Shenandoah!FL_FINANCIAL</vt:lpstr>
      <vt:lpstr>'Southland National Life'!FL_FINANCIAL</vt:lpstr>
      <vt:lpstr>'Standard Life IN'!FL_FINANCIAL</vt:lpstr>
      <vt:lpstr>'States General'!FL_FINANCIAL</vt:lpstr>
      <vt:lpstr>Statesman!FL_FINANCIAL</vt:lpstr>
      <vt:lpstr>'Summit National'!FL_FINANCIAL</vt:lpstr>
      <vt:lpstr>Supreme!FL_FINANCIAL</vt:lpstr>
      <vt:lpstr>Time!FL_FINANCIAL</vt:lpstr>
      <vt:lpstr>'Total Summary'!FL_FINANCIAL</vt:lpstr>
      <vt:lpstr>Underwriters!FL_FINANCIAL</vt:lpstr>
      <vt:lpstr>Unison!FL_FINANCIAL</vt:lpstr>
      <vt:lpstr>'United Republic'!FL_FINANCIAL</vt:lpstr>
      <vt:lpstr>'Universal Health Care'!FL_FINANCIAL</vt:lpstr>
      <vt:lpstr>'Universal Life'!FL_FINANCIAL</vt:lpstr>
      <vt:lpstr>Universe!FL_FINANCIAL</vt:lpstr>
      <vt:lpstr>Villanova!FL_FINANCIAL</vt:lpstr>
      <vt:lpstr>'AF&amp;L'!GA_FINANCIAL</vt:lpstr>
      <vt:lpstr>'Alabama Life'!GA_FINANCIAL</vt:lpstr>
      <vt:lpstr>'Amer Life Asr'!GA_FINANCIAL</vt:lpstr>
      <vt:lpstr>'Amer Std Life Acc'!GA_FINANCIAL</vt:lpstr>
      <vt:lpstr>'American Chambers'!GA_FINANCIAL</vt:lpstr>
      <vt:lpstr>'American Community'!GA_FINANCIAL</vt:lpstr>
      <vt:lpstr>'American Educators'!GA_FINANCIAL</vt:lpstr>
      <vt:lpstr>'American Integrity'!GA_FINANCIAL</vt:lpstr>
      <vt:lpstr>'American Medical'!GA_FINANCIAL</vt:lpstr>
      <vt:lpstr>'American Network'!GA_FINANCIAL</vt:lpstr>
      <vt:lpstr>AmerWstrn!GA_FINANCIAL</vt:lpstr>
      <vt:lpstr>'AMS Life'!GA_FINANCIAL</vt:lpstr>
      <vt:lpstr>'Andrew Jackson'!GA_FINANCIAL</vt:lpstr>
      <vt:lpstr>'Bankers Commercial'!GA_FINANCIAL</vt:lpstr>
      <vt:lpstr>'Bankers Life'!GA_FINANCIAL</vt:lpstr>
      <vt:lpstr>Benicorp!GA_FINANCIAL</vt:lpstr>
      <vt:lpstr>'Booker T Washington'!GA_FINANCIAL</vt:lpstr>
      <vt:lpstr>Centennial!GA_FINANCIAL</vt:lpstr>
      <vt:lpstr>'CO Bankers'!GA_FINANCIAL</vt:lpstr>
      <vt:lpstr>'Coastal States'!GA_FINANCIAL</vt:lpstr>
      <vt:lpstr>'Colorado Health'!GA_FINANCIAL</vt:lpstr>
      <vt:lpstr>'Compass (dbs Meritus)'!GA_FINANCIAL</vt:lpstr>
      <vt:lpstr>'Confed Life &amp; Annty (CLIAC)'!GA_FINANCIAL</vt:lpstr>
      <vt:lpstr>'Confed Life (CLIC)'!GA_FINANCIAL</vt:lpstr>
      <vt:lpstr>'Consolidated National'!GA_FINANCIAL</vt:lpstr>
      <vt:lpstr>'Consumers Choice'!GA_FINANCIAL</vt:lpstr>
      <vt:lpstr>'Consumers Mutual'!GA_FINANCIAL</vt:lpstr>
      <vt:lpstr>'Consumers United'!GA_FINANCIAL</vt:lpstr>
      <vt:lpstr>CoOportunity!GA_FINANCIAL</vt:lpstr>
      <vt:lpstr>'Coordinated Hlth'!GA_FINANCIAL</vt:lpstr>
      <vt:lpstr>'Corporate Life'!GA_FINANCIAL</vt:lpstr>
      <vt:lpstr>'Diamond Benefits'!GA_FINANCIAL</vt:lpstr>
      <vt:lpstr>'EBL Life'!GA_FINANCIAL</vt:lpstr>
      <vt:lpstr>ELNY!GA_FINANCIAL</vt:lpstr>
      <vt:lpstr>'Executive Life'!GA_FINANCIAL</vt:lpstr>
      <vt:lpstr>'Family Guaranty'!GA_FINANCIAL</vt:lpstr>
      <vt:lpstr>'Fidelity Bankers'!GA_FINANCIAL</vt:lpstr>
      <vt:lpstr>'Fidelity Mutual'!GA_FINANCIAL</vt:lpstr>
      <vt:lpstr>'First Capital'!GA_FINANCIAL</vt:lpstr>
      <vt:lpstr>'First Natl'!GA_FINANCIAL</vt:lpstr>
      <vt:lpstr>'First Natl (Thrnr)'!GA_FINANCIAL</vt:lpstr>
      <vt:lpstr>'Franklin American'!GA_FINANCIAL</vt:lpstr>
      <vt:lpstr>'Franklin Protective'!GA_FINANCIAL</vt:lpstr>
      <vt:lpstr>'Freelancers CO-OP'!GA_FINANCIAL</vt:lpstr>
      <vt:lpstr>Freestone!GA_FINANCIAL</vt:lpstr>
      <vt:lpstr>'George Washington'!GA_FINANCIAL</vt:lpstr>
      <vt:lpstr>'Golden State'!GA_FINANCIAL</vt:lpstr>
      <vt:lpstr>'Guarantee Security'!GA_FINANCIAL</vt:lpstr>
      <vt:lpstr>HealthyCT!GA_FINANCIAL</vt:lpstr>
      <vt:lpstr>Imerica!GA_FINANCIAL</vt:lpstr>
      <vt:lpstr>'Inter-American'!GA_FINANCIAL</vt:lpstr>
      <vt:lpstr>'International Fin'!GA_FINANCIAL</vt:lpstr>
      <vt:lpstr>'Investment Life of America'!GA_FINANCIAL</vt:lpstr>
      <vt:lpstr>'Investors Equity'!GA_FINANCIAL</vt:lpstr>
      <vt:lpstr>'Kentucky Central'!GA_FINANCIAL</vt:lpstr>
      <vt:lpstr>'Land of Lincoln'!GA_FINANCIAL</vt:lpstr>
      <vt:lpstr>Legion!GA_FINANCIAL</vt:lpstr>
      <vt:lpstr>'Life Health America'!GA_FINANCIAL</vt:lpstr>
      <vt:lpstr>'Lincoln Memorial'!GA_FINANCIAL</vt:lpstr>
      <vt:lpstr>'London Pac'!GA_FINANCIAL</vt:lpstr>
      <vt:lpstr>Lumbermens!GA_FINANCIAL</vt:lpstr>
      <vt:lpstr>'Medical Savings'!GA_FINANCIAL</vt:lpstr>
      <vt:lpstr>'Memorial Service'!GA_FINANCIAL</vt:lpstr>
      <vt:lpstr>Midcontinent!GA_FINANCIAL</vt:lpstr>
      <vt:lpstr>'Midwest Life'!GA_FINANCIAL</vt:lpstr>
      <vt:lpstr>'Monarch Life'!GA_FINANCIAL</vt:lpstr>
      <vt:lpstr>'Mutual Benefit'!GA_FINANCIAL</vt:lpstr>
      <vt:lpstr>'Mutual Security'!GA_FINANCIAL</vt:lpstr>
      <vt:lpstr>'National Affiliated'!GA_FINANCIAL</vt:lpstr>
      <vt:lpstr>'National Heritage'!GA_FINANCIAL</vt:lpstr>
      <vt:lpstr>'National States'!GA_FINANCIAL</vt:lpstr>
      <vt:lpstr>'Natl American'!GA_FINANCIAL</vt:lpstr>
      <vt:lpstr>'New Jersey Life'!GA_FINANCIAL</vt:lpstr>
      <vt:lpstr>NNIC!GA_FINANCIAL</vt:lpstr>
      <vt:lpstr>'North Carolina Mutual'!GA_FINANCIAL</vt:lpstr>
      <vt:lpstr>'Old Colony Life'!GA_FINANCIAL</vt:lpstr>
      <vt:lpstr>'Old Faithful'!GA_FINANCIAL</vt:lpstr>
      <vt:lpstr>'Pacific Standard'!GA_FINANCIAL</vt:lpstr>
      <vt:lpstr>'Pavonia Life'!GA_FINANCIAL</vt:lpstr>
      <vt:lpstr>'Pen  Treaty'!GA_FINANCIAL</vt:lpstr>
      <vt:lpstr>'Red Rock'!GA_FINANCIAL</vt:lpstr>
      <vt:lpstr>Reliance!GA_FINANCIAL</vt:lpstr>
      <vt:lpstr>SeeChange!GA_FINANCIAL</vt:lpstr>
      <vt:lpstr>'Senior American'!GA_FINANCIAL</vt:lpstr>
      <vt:lpstr>Settlers!GA_FINANCIAL</vt:lpstr>
      <vt:lpstr>Shenandoah!GA_FINANCIAL</vt:lpstr>
      <vt:lpstr>'Southland National Life'!GA_FINANCIAL</vt:lpstr>
      <vt:lpstr>'Standard Life IN'!GA_FINANCIAL</vt:lpstr>
      <vt:lpstr>'States General'!GA_FINANCIAL</vt:lpstr>
      <vt:lpstr>Statesman!GA_FINANCIAL</vt:lpstr>
      <vt:lpstr>'Summit National'!GA_FINANCIAL</vt:lpstr>
      <vt:lpstr>Supreme!GA_FINANCIAL</vt:lpstr>
      <vt:lpstr>Time!GA_FINANCIAL</vt:lpstr>
      <vt:lpstr>'Total Summary'!GA_FINANCIAL</vt:lpstr>
      <vt:lpstr>Underwriters!GA_FINANCIAL</vt:lpstr>
      <vt:lpstr>Unison!GA_FINANCIAL</vt:lpstr>
      <vt:lpstr>'United Republic'!GA_FINANCIAL</vt:lpstr>
      <vt:lpstr>'Universal Health Care'!GA_FINANCIAL</vt:lpstr>
      <vt:lpstr>'Universal Life'!GA_FINANCIAL</vt:lpstr>
      <vt:lpstr>Universe!GA_FINANCIAL</vt:lpstr>
      <vt:lpstr>Villanova!GA_FINANCIAL</vt:lpstr>
      <vt:lpstr>'AF&amp;L'!HEALTH</vt:lpstr>
      <vt:lpstr>'Alabama Life'!HEALTH</vt:lpstr>
      <vt:lpstr>'Amer Life Asr'!HEALTH</vt:lpstr>
      <vt:lpstr>'Amer Std Life Acc'!HEALTH</vt:lpstr>
      <vt:lpstr>'American Chambers'!HEALTH</vt:lpstr>
      <vt:lpstr>'American Community'!HEALTH</vt:lpstr>
      <vt:lpstr>'American Educators'!HEALTH</vt:lpstr>
      <vt:lpstr>'American Integrity'!HEALTH</vt:lpstr>
      <vt:lpstr>'American Medical'!HEALTH</vt:lpstr>
      <vt:lpstr>'American Network'!HEALTH</vt:lpstr>
      <vt:lpstr>AmerWstrn!HEALTH</vt:lpstr>
      <vt:lpstr>'AMS Life'!HEALTH</vt:lpstr>
      <vt:lpstr>'Andrew Jackson'!HEALTH</vt:lpstr>
      <vt:lpstr>'Bankers Commercial'!HEALTH</vt:lpstr>
      <vt:lpstr>'Bankers Life'!HEALTH</vt:lpstr>
      <vt:lpstr>Benicorp!HEALTH</vt:lpstr>
      <vt:lpstr>'Booker T Washington'!HEALTH</vt:lpstr>
      <vt:lpstr>Centennial!HEALTH</vt:lpstr>
      <vt:lpstr>'Closed Summary'!HEALTH</vt:lpstr>
      <vt:lpstr>'CO Bankers'!HEALTH</vt:lpstr>
      <vt:lpstr>'Coastal States'!HEALTH</vt:lpstr>
      <vt:lpstr>'Colorado Health'!HEALTH</vt:lpstr>
      <vt:lpstr>'Compass (dbs Meritus)'!HEALTH</vt:lpstr>
      <vt:lpstr>'Confed Life &amp; Annty (CLIAC)'!HEALTH</vt:lpstr>
      <vt:lpstr>'Confed Life (CLIC)'!HEALTH</vt:lpstr>
      <vt:lpstr>'Consolidated National'!HEALTH</vt:lpstr>
      <vt:lpstr>'Consumers Choice'!HEALTH</vt:lpstr>
      <vt:lpstr>'Consumers Mutual'!HEALTH</vt:lpstr>
      <vt:lpstr>'Consumers United'!HEALTH</vt:lpstr>
      <vt:lpstr>CoOportunity!HEALTH</vt:lpstr>
      <vt:lpstr>'Coordinated Hlth'!HEALTH</vt:lpstr>
      <vt:lpstr>'Corporate Life'!HEALTH</vt:lpstr>
      <vt:lpstr>'Diamond Benefits'!HEALTH</vt:lpstr>
      <vt:lpstr>'EBL Life'!HEALTH</vt:lpstr>
      <vt:lpstr>ELNY!HEALTH</vt:lpstr>
      <vt:lpstr>'Estate Closed Summary'!HEALTH</vt:lpstr>
      <vt:lpstr>'Executive Life'!HEALTH</vt:lpstr>
      <vt:lpstr>'Family Guaranty'!HEALTH</vt:lpstr>
      <vt:lpstr>'Fidelity Bankers'!HEALTH</vt:lpstr>
      <vt:lpstr>'Fidelity Mutual'!HEALTH</vt:lpstr>
      <vt:lpstr>'First Capital'!HEALTH</vt:lpstr>
      <vt:lpstr>'First Natl'!HEALTH</vt:lpstr>
      <vt:lpstr>'First Natl (Thrnr)'!HEALTH</vt:lpstr>
      <vt:lpstr>'Franklin American'!HEALTH</vt:lpstr>
      <vt:lpstr>'Franklin Protective'!HEALTH</vt:lpstr>
      <vt:lpstr>'Freelancers CO-OP'!HEALTH</vt:lpstr>
      <vt:lpstr>Freestone!HEALTH</vt:lpstr>
      <vt:lpstr>'George Washington'!HEALTH</vt:lpstr>
      <vt:lpstr>'Golden State'!HEALTH</vt:lpstr>
      <vt:lpstr>'Guarantee Security'!HEALTH</vt:lpstr>
      <vt:lpstr>HealthyCT!HEALTH</vt:lpstr>
      <vt:lpstr>Imerica!HEALTH</vt:lpstr>
      <vt:lpstr>'Inter-American'!HEALTH</vt:lpstr>
      <vt:lpstr>'International Fin'!HEALTH</vt:lpstr>
      <vt:lpstr>'Investment Life of America'!HEALTH</vt:lpstr>
      <vt:lpstr>'Investors Equity'!HEALTH</vt:lpstr>
      <vt:lpstr>'Kentucky Central'!HEALTH</vt:lpstr>
      <vt:lpstr>'Land of Lincoln'!HEALTH</vt:lpstr>
      <vt:lpstr>Legion!HEALTH</vt:lpstr>
      <vt:lpstr>'Life Health America'!HEALTH</vt:lpstr>
      <vt:lpstr>'Lincoln Memorial'!HEALTH</vt:lpstr>
      <vt:lpstr>'London Pac'!HEALTH</vt:lpstr>
      <vt:lpstr>Lumbermens!HEALTH</vt:lpstr>
      <vt:lpstr>'Medical Savings'!HEALTH</vt:lpstr>
      <vt:lpstr>'Memorial Service'!HEALTH</vt:lpstr>
      <vt:lpstr>Midcontinent!HEALTH</vt:lpstr>
      <vt:lpstr>'Midwest Life'!HEALTH</vt:lpstr>
      <vt:lpstr>'Monarch Life'!HEALTH</vt:lpstr>
      <vt:lpstr>'Mutual Benefit'!HEALTH</vt:lpstr>
      <vt:lpstr>'Mutual Security'!HEALTH</vt:lpstr>
      <vt:lpstr>'National Affiliated'!HEALTH</vt:lpstr>
      <vt:lpstr>'National Heritage'!HEALTH</vt:lpstr>
      <vt:lpstr>'National States'!HEALTH</vt:lpstr>
      <vt:lpstr>'Natl American'!HEALTH</vt:lpstr>
      <vt:lpstr>'New Jersey Life'!HEALTH</vt:lpstr>
      <vt:lpstr>NNIC!HEALTH</vt:lpstr>
      <vt:lpstr>'North Carolina Mutual'!HEALTH</vt:lpstr>
      <vt:lpstr>'Old Colony Life'!HEALTH</vt:lpstr>
      <vt:lpstr>'Old Faithful'!HEALTH</vt:lpstr>
      <vt:lpstr>'Open Summary'!HEALTH</vt:lpstr>
      <vt:lpstr>'Pacific Standard'!HEALTH</vt:lpstr>
      <vt:lpstr>'Pavonia Life'!HEALTH</vt:lpstr>
      <vt:lpstr>'Pen  Treaty'!HEALTH</vt:lpstr>
      <vt:lpstr>'Pre-Liquidation Summary'!HEALTH</vt:lpstr>
      <vt:lpstr>'Red Rock'!HEALTH</vt:lpstr>
      <vt:lpstr>'Released from Oversight Summary'!HEALTH</vt:lpstr>
      <vt:lpstr>Reliance!HEALTH</vt:lpstr>
      <vt:lpstr>SeeChange!HEALTH</vt:lpstr>
      <vt:lpstr>'Senior American'!HEALTH</vt:lpstr>
      <vt:lpstr>Settlers!HEALTH</vt:lpstr>
      <vt:lpstr>Shenandoah!HEALTH</vt:lpstr>
      <vt:lpstr>'Southland National Life'!HEALTH</vt:lpstr>
      <vt:lpstr>'Standard Life IN'!HEALTH</vt:lpstr>
      <vt:lpstr>'States General'!HEALTH</vt:lpstr>
      <vt:lpstr>Statesman!HEALTH</vt:lpstr>
      <vt:lpstr>'Summit National'!HEALTH</vt:lpstr>
      <vt:lpstr>Supreme!HEALTH</vt:lpstr>
      <vt:lpstr>Time!HEALTH</vt:lpstr>
      <vt:lpstr>'Total Summary'!HEALTH</vt:lpstr>
      <vt:lpstr>Underwriters!HEALTH</vt:lpstr>
      <vt:lpstr>Unison!HEALTH</vt:lpstr>
      <vt:lpstr>'United Republic'!HEALTH</vt:lpstr>
      <vt:lpstr>'Universal Health Care'!HEALTH</vt:lpstr>
      <vt:lpstr>'Universal Life'!HEALTH</vt:lpstr>
      <vt:lpstr>Universe!HEALTH</vt:lpstr>
      <vt:lpstr>Villanova!HEALTH</vt:lpstr>
      <vt:lpstr>'AF&amp;L'!HEALTH_CALLED</vt:lpstr>
      <vt:lpstr>'Alabama Life'!HEALTH_CALLED</vt:lpstr>
      <vt:lpstr>'Amer Life Asr'!HEALTH_CALLED</vt:lpstr>
      <vt:lpstr>'Amer Std Life Acc'!HEALTH_CALLED</vt:lpstr>
      <vt:lpstr>'American Chambers'!HEALTH_CALLED</vt:lpstr>
      <vt:lpstr>'American Community'!HEALTH_CALLED</vt:lpstr>
      <vt:lpstr>'American Educators'!HEALTH_CALLED</vt:lpstr>
      <vt:lpstr>'American Integrity'!HEALTH_CALLED</vt:lpstr>
      <vt:lpstr>'American Medical'!HEALTH_CALLED</vt:lpstr>
      <vt:lpstr>'American Network'!HEALTH_CALLED</vt:lpstr>
      <vt:lpstr>AmerWstrn!HEALTH_CALLED</vt:lpstr>
      <vt:lpstr>'AMS Life'!HEALTH_CALLED</vt:lpstr>
      <vt:lpstr>'Andrew Jackson'!HEALTH_CALLED</vt:lpstr>
      <vt:lpstr>'Bankers Commercial'!HEALTH_CALLED</vt:lpstr>
      <vt:lpstr>'Bankers Life'!HEALTH_CALLED</vt:lpstr>
      <vt:lpstr>Benicorp!HEALTH_CALLED</vt:lpstr>
      <vt:lpstr>'Booker T Washington'!HEALTH_CALLED</vt:lpstr>
      <vt:lpstr>Centennial!HEALTH_CALLED</vt:lpstr>
      <vt:lpstr>'CO Bankers'!HEALTH_CALLED</vt:lpstr>
      <vt:lpstr>'Coastal States'!HEALTH_CALLED</vt:lpstr>
      <vt:lpstr>'Colorado Health'!HEALTH_CALLED</vt:lpstr>
      <vt:lpstr>'Compass (dbs Meritus)'!HEALTH_CALLED</vt:lpstr>
      <vt:lpstr>'Confed Life &amp; Annty (CLIAC)'!HEALTH_CALLED</vt:lpstr>
      <vt:lpstr>'Confed Life (CLIC)'!HEALTH_CALLED</vt:lpstr>
      <vt:lpstr>'Consolidated National'!HEALTH_CALLED</vt:lpstr>
      <vt:lpstr>'Consumers Choice'!HEALTH_CALLED</vt:lpstr>
      <vt:lpstr>'Consumers Mutual'!HEALTH_CALLED</vt:lpstr>
      <vt:lpstr>'Consumers United'!HEALTH_CALLED</vt:lpstr>
      <vt:lpstr>CoOportunity!HEALTH_CALLED</vt:lpstr>
      <vt:lpstr>'Coordinated Hlth'!HEALTH_CALLED</vt:lpstr>
      <vt:lpstr>'Corporate Life'!HEALTH_CALLED</vt:lpstr>
      <vt:lpstr>'Diamond Benefits'!HEALTH_CALLED</vt:lpstr>
      <vt:lpstr>'EBL Life'!HEALTH_CALLED</vt:lpstr>
      <vt:lpstr>ELNY!HEALTH_CALLED</vt:lpstr>
      <vt:lpstr>'Executive Life'!HEALTH_CALLED</vt:lpstr>
      <vt:lpstr>'Family Guaranty'!HEALTH_CALLED</vt:lpstr>
      <vt:lpstr>'Fidelity Bankers'!HEALTH_CALLED</vt:lpstr>
      <vt:lpstr>'Fidelity Mutual'!HEALTH_CALLED</vt:lpstr>
      <vt:lpstr>'First Capital'!HEALTH_CALLED</vt:lpstr>
      <vt:lpstr>'First Natl'!HEALTH_CALLED</vt:lpstr>
      <vt:lpstr>'First Natl (Thrnr)'!HEALTH_CALLED</vt:lpstr>
      <vt:lpstr>'Franklin American'!HEALTH_CALLED</vt:lpstr>
      <vt:lpstr>'Franklin Protective'!HEALTH_CALLED</vt:lpstr>
      <vt:lpstr>'Freelancers CO-OP'!HEALTH_CALLED</vt:lpstr>
      <vt:lpstr>Freestone!HEALTH_CALLED</vt:lpstr>
      <vt:lpstr>'George Washington'!HEALTH_CALLED</vt:lpstr>
      <vt:lpstr>'Golden State'!HEALTH_CALLED</vt:lpstr>
      <vt:lpstr>'Guarantee Security'!HEALTH_CALLED</vt:lpstr>
      <vt:lpstr>HealthyCT!HEALTH_CALLED</vt:lpstr>
      <vt:lpstr>Imerica!HEALTH_CALLED</vt:lpstr>
      <vt:lpstr>'Inter-American'!HEALTH_CALLED</vt:lpstr>
      <vt:lpstr>'International Fin'!HEALTH_CALLED</vt:lpstr>
      <vt:lpstr>'Investment Life of America'!HEALTH_CALLED</vt:lpstr>
      <vt:lpstr>'Investors Equity'!HEALTH_CALLED</vt:lpstr>
      <vt:lpstr>'Kentucky Central'!HEALTH_CALLED</vt:lpstr>
      <vt:lpstr>'Land of Lincoln'!HEALTH_CALLED</vt:lpstr>
      <vt:lpstr>Legion!HEALTH_CALLED</vt:lpstr>
      <vt:lpstr>'Life Health America'!HEALTH_CALLED</vt:lpstr>
      <vt:lpstr>'Lincoln Memorial'!HEALTH_CALLED</vt:lpstr>
      <vt:lpstr>'London Pac'!HEALTH_CALLED</vt:lpstr>
      <vt:lpstr>Lumbermens!HEALTH_CALLED</vt:lpstr>
      <vt:lpstr>'Medical Savings'!HEALTH_CALLED</vt:lpstr>
      <vt:lpstr>'Memorial Service'!HEALTH_CALLED</vt:lpstr>
      <vt:lpstr>Midcontinent!HEALTH_CALLED</vt:lpstr>
      <vt:lpstr>'Midwest Life'!HEALTH_CALLED</vt:lpstr>
      <vt:lpstr>'Monarch Life'!HEALTH_CALLED</vt:lpstr>
      <vt:lpstr>'Mutual Benefit'!HEALTH_CALLED</vt:lpstr>
      <vt:lpstr>'Mutual Security'!HEALTH_CALLED</vt:lpstr>
      <vt:lpstr>'National Affiliated'!HEALTH_CALLED</vt:lpstr>
      <vt:lpstr>'National Heritage'!HEALTH_CALLED</vt:lpstr>
      <vt:lpstr>'National States'!HEALTH_CALLED</vt:lpstr>
      <vt:lpstr>'Natl American'!HEALTH_CALLED</vt:lpstr>
      <vt:lpstr>'New Jersey Life'!HEALTH_CALLED</vt:lpstr>
      <vt:lpstr>NNIC!HEALTH_CALLED</vt:lpstr>
      <vt:lpstr>'North Carolina Mutual'!HEALTH_CALLED</vt:lpstr>
      <vt:lpstr>'Old Colony Life'!HEALTH_CALLED</vt:lpstr>
      <vt:lpstr>'Old Faithful'!HEALTH_CALLED</vt:lpstr>
      <vt:lpstr>'Pacific Standard'!HEALTH_CALLED</vt:lpstr>
      <vt:lpstr>'Pavonia Life'!HEALTH_CALLED</vt:lpstr>
      <vt:lpstr>'Pen  Treaty'!HEALTH_CALLED</vt:lpstr>
      <vt:lpstr>'Red Rock'!HEALTH_CALLED</vt:lpstr>
      <vt:lpstr>Reliance!HEALTH_CALLED</vt:lpstr>
      <vt:lpstr>SeeChange!HEALTH_CALLED</vt:lpstr>
      <vt:lpstr>'Senior American'!HEALTH_CALLED</vt:lpstr>
      <vt:lpstr>Settlers!HEALTH_CALLED</vt:lpstr>
      <vt:lpstr>Shenandoah!HEALTH_CALLED</vt:lpstr>
      <vt:lpstr>'Southland National Life'!HEALTH_CALLED</vt:lpstr>
      <vt:lpstr>'Standard Life IN'!HEALTH_CALLED</vt:lpstr>
      <vt:lpstr>'States General'!HEALTH_CALLED</vt:lpstr>
      <vt:lpstr>Statesman!HEALTH_CALLED</vt:lpstr>
      <vt:lpstr>'Summit National'!HEALTH_CALLED</vt:lpstr>
      <vt:lpstr>Supreme!HEALTH_CALLED</vt:lpstr>
      <vt:lpstr>Time!HEALTH_CALLED</vt:lpstr>
      <vt:lpstr>'Total Summary'!HEALTH_CALLED</vt:lpstr>
      <vt:lpstr>Underwriters!HEALTH_CALLED</vt:lpstr>
      <vt:lpstr>Unison!HEALTH_CALLED</vt:lpstr>
      <vt:lpstr>'United Republic'!HEALTH_CALLED</vt:lpstr>
      <vt:lpstr>'Universal Health Care'!HEALTH_CALLED</vt:lpstr>
      <vt:lpstr>'Universal Life'!HEALTH_CALLED</vt:lpstr>
      <vt:lpstr>Universe!HEALTH_CALLED</vt:lpstr>
      <vt:lpstr>Villanova!HEALTH_CALLED</vt:lpstr>
      <vt:lpstr>'AF&amp;L'!HEALTH_REFUNDED</vt:lpstr>
      <vt:lpstr>'Alabama Life'!HEALTH_REFUNDED</vt:lpstr>
      <vt:lpstr>'Amer Life Asr'!HEALTH_REFUNDED</vt:lpstr>
      <vt:lpstr>'Amer Std Life Acc'!HEALTH_REFUNDED</vt:lpstr>
      <vt:lpstr>'American Chambers'!HEALTH_REFUNDED</vt:lpstr>
      <vt:lpstr>'American Community'!HEALTH_REFUNDED</vt:lpstr>
      <vt:lpstr>'American Educators'!HEALTH_REFUNDED</vt:lpstr>
      <vt:lpstr>'American Integrity'!HEALTH_REFUNDED</vt:lpstr>
      <vt:lpstr>'American Medical'!HEALTH_REFUNDED</vt:lpstr>
      <vt:lpstr>'American Network'!HEALTH_REFUNDED</vt:lpstr>
      <vt:lpstr>AmerWstrn!HEALTH_REFUNDED</vt:lpstr>
      <vt:lpstr>'AMS Life'!HEALTH_REFUNDED</vt:lpstr>
      <vt:lpstr>'Andrew Jackson'!HEALTH_REFUNDED</vt:lpstr>
      <vt:lpstr>'Bankers Commercial'!HEALTH_REFUNDED</vt:lpstr>
      <vt:lpstr>'Bankers Life'!HEALTH_REFUNDED</vt:lpstr>
      <vt:lpstr>Benicorp!HEALTH_REFUNDED</vt:lpstr>
      <vt:lpstr>'Booker T Washington'!HEALTH_REFUNDED</vt:lpstr>
      <vt:lpstr>Centennial!HEALTH_REFUNDED</vt:lpstr>
      <vt:lpstr>'CO Bankers'!HEALTH_REFUNDED</vt:lpstr>
      <vt:lpstr>'Coastal States'!HEALTH_REFUNDED</vt:lpstr>
      <vt:lpstr>'Colorado Health'!HEALTH_REFUNDED</vt:lpstr>
      <vt:lpstr>'Compass (dbs Meritus)'!HEALTH_REFUNDED</vt:lpstr>
      <vt:lpstr>'Confed Life &amp; Annty (CLIAC)'!HEALTH_REFUNDED</vt:lpstr>
      <vt:lpstr>'Confed Life (CLIC)'!HEALTH_REFUNDED</vt:lpstr>
      <vt:lpstr>'Consolidated National'!HEALTH_REFUNDED</vt:lpstr>
      <vt:lpstr>'Consumers Choice'!HEALTH_REFUNDED</vt:lpstr>
      <vt:lpstr>'Consumers Mutual'!HEALTH_REFUNDED</vt:lpstr>
      <vt:lpstr>'Consumers United'!HEALTH_REFUNDED</vt:lpstr>
      <vt:lpstr>CoOportunity!HEALTH_REFUNDED</vt:lpstr>
      <vt:lpstr>'Coordinated Hlth'!HEALTH_REFUNDED</vt:lpstr>
      <vt:lpstr>'Corporate Life'!HEALTH_REFUNDED</vt:lpstr>
      <vt:lpstr>'Diamond Benefits'!HEALTH_REFUNDED</vt:lpstr>
      <vt:lpstr>'EBL Life'!HEALTH_REFUNDED</vt:lpstr>
      <vt:lpstr>ELNY!HEALTH_REFUNDED</vt:lpstr>
      <vt:lpstr>'Executive Life'!HEALTH_REFUNDED</vt:lpstr>
      <vt:lpstr>'Family Guaranty'!HEALTH_REFUNDED</vt:lpstr>
      <vt:lpstr>'Fidelity Bankers'!HEALTH_REFUNDED</vt:lpstr>
      <vt:lpstr>'Fidelity Mutual'!HEALTH_REFUNDED</vt:lpstr>
      <vt:lpstr>'First Capital'!HEALTH_REFUNDED</vt:lpstr>
      <vt:lpstr>'First Natl'!HEALTH_REFUNDED</vt:lpstr>
      <vt:lpstr>'First Natl (Thrnr)'!HEALTH_REFUNDED</vt:lpstr>
      <vt:lpstr>'Franklin American'!HEALTH_REFUNDED</vt:lpstr>
      <vt:lpstr>'Franklin Protective'!HEALTH_REFUNDED</vt:lpstr>
      <vt:lpstr>'Freelancers CO-OP'!HEALTH_REFUNDED</vt:lpstr>
      <vt:lpstr>Freestone!HEALTH_REFUNDED</vt:lpstr>
      <vt:lpstr>'George Washington'!HEALTH_REFUNDED</vt:lpstr>
      <vt:lpstr>'Golden State'!HEALTH_REFUNDED</vt:lpstr>
      <vt:lpstr>'Guarantee Security'!HEALTH_REFUNDED</vt:lpstr>
      <vt:lpstr>HealthyCT!HEALTH_REFUNDED</vt:lpstr>
      <vt:lpstr>Imerica!HEALTH_REFUNDED</vt:lpstr>
      <vt:lpstr>'Inter-American'!HEALTH_REFUNDED</vt:lpstr>
      <vt:lpstr>'International Fin'!HEALTH_REFUNDED</vt:lpstr>
      <vt:lpstr>'Investment Life of America'!HEALTH_REFUNDED</vt:lpstr>
      <vt:lpstr>'Investors Equity'!HEALTH_REFUNDED</vt:lpstr>
      <vt:lpstr>'Kentucky Central'!HEALTH_REFUNDED</vt:lpstr>
      <vt:lpstr>'Land of Lincoln'!HEALTH_REFUNDED</vt:lpstr>
      <vt:lpstr>Legion!HEALTH_REFUNDED</vt:lpstr>
      <vt:lpstr>'Life Health America'!HEALTH_REFUNDED</vt:lpstr>
      <vt:lpstr>'Lincoln Memorial'!HEALTH_REFUNDED</vt:lpstr>
      <vt:lpstr>'London Pac'!HEALTH_REFUNDED</vt:lpstr>
      <vt:lpstr>Lumbermens!HEALTH_REFUNDED</vt:lpstr>
      <vt:lpstr>'Medical Savings'!HEALTH_REFUNDED</vt:lpstr>
      <vt:lpstr>'Memorial Service'!HEALTH_REFUNDED</vt:lpstr>
      <vt:lpstr>Midcontinent!HEALTH_REFUNDED</vt:lpstr>
      <vt:lpstr>'Midwest Life'!HEALTH_REFUNDED</vt:lpstr>
      <vt:lpstr>'Monarch Life'!HEALTH_REFUNDED</vt:lpstr>
      <vt:lpstr>'Mutual Benefit'!HEALTH_REFUNDED</vt:lpstr>
      <vt:lpstr>'Mutual Security'!HEALTH_REFUNDED</vt:lpstr>
      <vt:lpstr>'National Affiliated'!HEALTH_REFUNDED</vt:lpstr>
      <vt:lpstr>'National Heritage'!HEALTH_REFUNDED</vt:lpstr>
      <vt:lpstr>'National States'!HEALTH_REFUNDED</vt:lpstr>
      <vt:lpstr>'Natl American'!HEALTH_REFUNDED</vt:lpstr>
      <vt:lpstr>'New Jersey Life'!HEALTH_REFUNDED</vt:lpstr>
      <vt:lpstr>NNIC!HEALTH_REFUNDED</vt:lpstr>
      <vt:lpstr>'North Carolina Mutual'!HEALTH_REFUNDED</vt:lpstr>
      <vt:lpstr>'Old Colony Life'!HEALTH_REFUNDED</vt:lpstr>
      <vt:lpstr>'Old Faithful'!HEALTH_REFUNDED</vt:lpstr>
      <vt:lpstr>'Pacific Standard'!HEALTH_REFUNDED</vt:lpstr>
      <vt:lpstr>'Pavonia Life'!HEALTH_REFUNDED</vt:lpstr>
      <vt:lpstr>'Pen  Treaty'!HEALTH_REFUNDED</vt:lpstr>
      <vt:lpstr>'Red Rock'!HEALTH_REFUNDED</vt:lpstr>
      <vt:lpstr>Reliance!HEALTH_REFUNDED</vt:lpstr>
      <vt:lpstr>SeeChange!HEALTH_REFUNDED</vt:lpstr>
      <vt:lpstr>'Senior American'!HEALTH_REFUNDED</vt:lpstr>
      <vt:lpstr>Settlers!HEALTH_REFUNDED</vt:lpstr>
      <vt:lpstr>Shenandoah!HEALTH_REFUNDED</vt:lpstr>
      <vt:lpstr>'Southland National Life'!HEALTH_REFUNDED</vt:lpstr>
      <vt:lpstr>'Standard Life IN'!HEALTH_REFUNDED</vt:lpstr>
      <vt:lpstr>'States General'!HEALTH_REFUNDED</vt:lpstr>
      <vt:lpstr>Statesman!HEALTH_REFUNDED</vt:lpstr>
      <vt:lpstr>'Summit National'!HEALTH_REFUNDED</vt:lpstr>
      <vt:lpstr>Supreme!HEALTH_REFUNDED</vt:lpstr>
      <vt:lpstr>Time!HEALTH_REFUNDED</vt:lpstr>
      <vt:lpstr>'Total Summary'!HEALTH_REFUNDED</vt:lpstr>
      <vt:lpstr>Underwriters!HEALTH_REFUNDED</vt:lpstr>
      <vt:lpstr>Unison!HEALTH_REFUNDED</vt:lpstr>
      <vt:lpstr>'United Republic'!HEALTH_REFUNDED</vt:lpstr>
      <vt:lpstr>'Universal Health Care'!HEALTH_REFUNDED</vt:lpstr>
      <vt:lpstr>'Universal Life'!HEALTH_REFUNDED</vt:lpstr>
      <vt:lpstr>Universe!HEALTH_REFUNDED</vt:lpstr>
      <vt:lpstr>Villanova!HEALTH_REFUNDED</vt:lpstr>
      <vt:lpstr>'AF&amp;L'!HI_FINANCIAL</vt:lpstr>
      <vt:lpstr>'Alabama Life'!HI_FINANCIAL</vt:lpstr>
      <vt:lpstr>'Amer Life Asr'!HI_FINANCIAL</vt:lpstr>
      <vt:lpstr>'Amer Std Life Acc'!HI_FINANCIAL</vt:lpstr>
      <vt:lpstr>'American Chambers'!HI_FINANCIAL</vt:lpstr>
      <vt:lpstr>'American Community'!HI_FINANCIAL</vt:lpstr>
      <vt:lpstr>'American Educators'!HI_FINANCIAL</vt:lpstr>
      <vt:lpstr>'American Integrity'!HI_FINANCIAL</vt:lpstr>
      <vt:lpstr>'American Medical'!HI_FINANCIAL</vt:lpstr>
      <vt:lpstr>'American Network'!HI_FINANCIAL</vt:lpstr>
      <vt:lpstr>AmerWstrn!HI_FINANCIAL</vt:lpstr>
      <vt:lpstr>'AMS Life'!HI_FINANCIAL</vt:lpstr>
      <vt:lpstr>'Andrew Jackson'!HI_FINANCIAL</vt:lpstr>
      <vt:lpstr>'Bankers Commercial'!HI_FINANCIAL</vt:lpstr>
      <vt:lpstr>'Bankers Life'!HI_FINANCIAL</vt:lpstr>
      <vt:lpstr>Benicorp!HI_FINANCIAL</vt:lpstr>
      <vt:lpstr>'Booker T Washington'!HI_FINANCIAL</vt:lpstr>
      <vt:lpstr>Centennial!HI_FINANCIAL</vt:lpstr>
      <vt:lpstr>'CO Bankers'!HI_FINANCIAL</vt:lpstr>
      <vt:lpstr>'Coastal States'!HI_FINANCIAL</vt:lpstr>
      <vt:lpstr>'Colorado Health'!HI_FINANCIAL</vt:lpstr>
      <vt:lpstr>'Compass (dbs Meritus)'!HI_FINANCIAL</vt:lpstr>
      <vt:lpstr>'Confed Life &amp; Annty (CLIAC)'!HI_FINANCIAL</vt:lpstr>
      <vt:lpstr>'Confed Life (CLIC)'!HI_FINANCIAL</vt:lpstr>
      <vt:lpstr>'Consolidated National'!HI_FINANCIAL</vt:lpstr>
      <vt:lpstr>'Consumers Choice'!HI_FINANCIAL</vt:lpstr>
      <vt:lpstr>'Consumers Mutual'!HI_FINANCIAL</vt:lpstr>
      <vt:lpstr>'Consumers United'!HI_FINANCIAL</vt:lpstr>
      <vt:lpstr>CoOportunity!HI_FINANCIAL</vt:lpstr>
      <vt:lpstr>'Coordinated Hlth'!HI_FINANCIAL</vt:lpstr>
      <vt:lpstr>'Corporate Life'!HI_FINANCIAL</vt:lpstr>
      <vt:lpstr>'Diamond Benefits'!HI_FINANCIAL</vt:lpstr>
      <vt:lpstr>'EBL Life'!HI_FINANCIAL</vt:lpstr>
      <vt:lpstr>ELNY!HI_FINANCIAL</vt:lpstr>
      <vt:lpstr>'Executive Life'!HI_FINANCIAL</vt:lpstr>
      <vt:lpstr>'Family Guaranty'!HI_FINANCIAL</vt:lpstr>
      <vt:lpstr>'Fidelity Bankers'!HI_FINANCIAL</vt:lpstr>
      <vt:lpstr>'Fidelity Mutual'!HI_FINANCIAL</vt:lpstr>
      <vt:lpstr>'First Capital'!HI_FINANCIAL</vt:lpstr>
      <vt:lpstr>'First Natl'!HI_FINANCIAL</vt:lpstr>
      <vt:lpstr>'First Natl (Thrnr)'!HI_FINANCIAL</vt:lpstr>
      <vt:lpstr>'Franklin American'!HI_FINANCIAL</vt:lpstr>
      <vt:lpstr>'Franklin Protective'!HI_FINANCIAL</vt:lpstr>
      <vt:lpstr>'Freelancers CO-OP'!HI_FINANCIAL</vt:lpstr>
      <vt:lpstr>Freestone!HI_FINANCIAL</vt:lpstr>
      <vt:lpstr>'George Washington'!HI_FINANCIAL</vt:lpstr>
      <vt:lpstr>'Golden State'!HI_FINANCIAL</vt:lpstr>
      <vt:lpstr>'Guarantee Security'!HI_FINANCIAL</vt:lpstr>
      <vt:lpstr>HealthyCT!HI_FINANCIAL</vt:lpstr>
      <vt:lpstr>Imerica!HI_FINANCIAL</vt:lpstr>
      <vt:lpstr>'Inter-American'!HI_FINANCIAL</vt:lpstr>
      <vt:lpstr>'International Fin'!HI_FINANCIAL</vt:lpstr>
      <vt:lpstr>'Investment Life of America'!HI_FINANCIAL</vt:lpstr>
      <vt:lpstr>'Investors Equity'!HI_FINANCIAL</vt:lpstr>
      <vt:lpstr>'Kentucky Central'!HI_FINANCIAL</vt:lpstr>
      <vt:lpstr>'Land of Lincoln'!HI_FINANCIAL</vt:lpstr>
      <vt:lpstr>Legion!HI_FINANCIAL</vt:lpstr>
      <vt:lpstr>'Life Health America'!HI_FINANCIAL</vt:lpstr>
      <vt:lpstr>'Lincoln Memorial'!HI_FINANCIAL</vt:lpstr>
      <vt:lpstr>'London Pac'!HI_FINANCIAL</vt:lpstr>
      <vt:lpstr>Lumbermens!HI_FINANCIAL</vt:lpstr>
      <vt:lpstr>'Medical Savings'!HI_FINANCIAL</vt:lpstr>
      <vt:lpstr>'Memorial Service'!HI_FINANCIAL</vt:lpstr>
      <vt:lpstr>Midcontinent!HI_FINANCIAL</vt:lpstr>
      <vt:lpstr>'Midwest Life'!HI_FINANCIAL</vt:lpstr>
      <vt:lpstr>'Monarch Life'!HI_FINANCIAL</vt:lpstr>
      <vt:lpstr>'Mutual Benefit'!HI_FINANCIAL</vt:lpstr>
      <vt:lpstr>'Mutual Security'!HI_FINANCIAL</vt:lpstr>
      <vt:lpstr>'National Affiliated'!HI_FINANCIAL</vt:lpstr>
      <vt:lpstr>'National Heritage'!HI_FINANCIAL</vt:lpstr>
      <vt:lpstr>'National States'!HI_FINANCIAL</vt:lpstr>
      <vt:lpstr>'Natl American'!HI_FINANCIAL</vt:lpstr>
      <vt:lpstr>'New Jersey Life'!HI_FINANCIAL</vt:lpstr>
      <vt:lpstr>NNIC!HI_FINANCIAL</vt:lpstr>
      <vt:lpstr>'North Carolina Mutual'!HI_FINANCIAL</vt:lpstr>
      <vt:lpstr>'Old Colony Life'!HI_FINANCIAL</vt:lpstr>
      <vt:lpstr>'Old Faithful'!HI_FINANCIAL</vt:lpstr>
      <vt:lpstr>'Pacific Standard'!HI_FINANCIAL</vt:lpstr>
      <vt:lpstr>'Pavonia Life'!HI_FINANCIAL</vt:lpstr>
      <vt:lpstr>'Pen  Treaty'!HI_FINANCIAL</vt:lpstr>
      <vt:lpstr>'Red Rock'!HI_FINANCIAL</vt:lpstr>
      <vt:lpstr>Reliance!HI_FINANCIAL</vt:lpstr>
      <vt:lpstr>SeeChange!HI_FINANCIAL</vt:lpstr>
      <vt:lpstr>'Senior American'!HI_FINANCIAL</vt:lpstr>
      <vt:lpstr>Settlers!HI_FINANCIAL</vt:lpstr>
      <vt:lpstr>Shenandoah!HI_FINANCIAL</vt:lpstr>
      <vt:lpstr>'Southland National Life'!HI_FINANCIAL</vt:lpstr>
      <vt:lpstr>'Standard Life IN'!HI_FINANCIAL</vt:lpstr>
      <vt:lpstr>'States General'!HI_FINANCIAL</vt:lpstr>
      <vt:lpstr>Statesman!HI_FINANCIAL</vt:lpstr>
      <vt:lpstr>'Summit National'!HI_FINANCIAL</vt:lpstr>
      <vt:lpstr>Supreme!HI_FINANCIAL</vt:lpstr>
      <vt:lpstr>Time!HI_FINANCIAL</vt:lpstr>
      <vt:lpstr>'Total Summary'!HI_FINANCIAL</vt:lpstr>
      <vt:lpstr>Underwriters!HI_FINANCIAL</vt:lpstr>
      <vt:lpstr>Unison!HI_FINANCIAL</vt:lpstr>
      <vt:lpstr>'United Republic'!HI_FINANCIAL</vt:lpstr>
      <vt:lpstr>'Universal Health Care'!HI_FINANCIAL</vt:lpstr>
      <vt:lpstr>'Universal Life'!HI_FINANCIAL</vt:lpstr>
      <vt:lpstr>Universe!HI_FINANCIAL</vt:lpstr>
      <vt:lpstr>Villanova!HI_FINANCIAL</vt:lpstr>
      <vt:lpstr>'AF&amp;L'!IA_FINANCIAL</vt:lpstr>
      <vt:lpstr>'Alabama Life'!IA_FINANCIAL</vt:lpstr>
      <vt:lpstr>'Amer Life Asr'!IA_FINANCIAL</vt:lpstr>
      <vt:lpstr>'Amer Std Life Acc'!IA_FINANCIAL</vt:lpstr>
      <vt:lpstr>'American Chambers'!IA_FINANCIAL</vt:lpstr>
      <vt:lpstr>'American Community'!IA_FINANCIAL</vt:lpstr>
      <vt:lpstr>'American Educators'!IA_FINANCIAL</vt:lpstr>
      <vt:lpstr>'American Integrity'!IA_FINANCIAL</vt:lpstr>
      <vt:lpstr>'American Medical'!IA_FINANCIAL</vt:lpstr>
      <vt:lpstr>'American Network'!IA_FINANCIAL</vt:lpstr>
      <vt:lpstr>AmerWstrn!IA_FINANCIAL</vt:lpstr>
      <vt:lpstr>'AMS Life'!IA_FINANCIAL</vt:lpstr>
      <vt:lpstr>'Andrew Jackson'!IA_FINANCIAL</vt:lpstr>
      <vt:lpstr>'Bankers Commercial'!IA_FINANCIAL</vt:lpstr>
      <vt:lpstr>'Bankers Life'!IA_FINANCIAL</vt:lpstr>
      <vt:lpstr>Benicorp!IA_FINANCIAL</vt:lpstr>
      <vt:lpstr>'Booker T Washington'!IA_FINANCIAL</vt:lpstr>
      <vt:lpstr>Centennial!IA_FINANCIAL</vt:lpstr>
      <vt:lpstr>'CO Bankers'!IA_FINANCIAL</vt:lpstr>
      <vt:lpstr>'Coastal States'!IA_FINANCIAL</vt:lpstr>
      <vt:lpstr>'Colorado Health'!IA_FINANCIAL</vt:lpstr>
      <vt:lpstr>'Compass (dbs Meritus)'!IA_FINANCIAL</vt:lpstr>
      <vt:lpstr>'Confed Life &amp; Annty (CLIAC)'!IA_FINANCIAL</vt:lpstr>
      <vt:lpstr>'Confed Life (CLIC)'!IA_FINANCIAL</vt:lpstr>
      <vt:lpstr>'Consolidated National'!IA_FINANCIAL</vt:lpstr>
      <vt:lpstr>'Consumers Choice'!IA_FINANCIAL</vt:lpstr>
      <vt:lpstr>'Consumers Mutual'!IA_FINANCIAL</vt:lpstr>
      <vt:lpstr>'Consumers United'!IA_FINANCIAL</vt:lpstr>
      <vt:lpstr>CoOportunity!IA_FINANCIAL</vt:lpstr>
      <vt:lpstr>'Coordinated Hlth'!IA_FINANCIAL</vt:lpstr>
      <vt:lpstr>'Corporate Life'!IA_FINANCIAL</vt:lpstr>
      <vt:lpstr>'Diamond Benefits'!IA_FINANCIAL</vt:lpstr>
      <vt:lpstr>'EBL Life'!IA_FINANCIAL</vt:lpstr>
      <vt:lpstr>ELNY!IA_FINANCIAL</vt:lpstr>
      <vt:lpstr>'Executive Life'!IA_FINANCIAL</vt:lpstr>
      <vt:lpstr>'Family Guaranty'!IA_FINANCIAL</vt:lpstr>
      <vt:lpstr>'Fidelity Bankers'!IA_FINANCIAL</vt:lpstr>
      <vt:lpstr>'Fidelity Mutual'!IA_FINANCIAL</vt:lpstr>
      <vt:lpstr>'First Capital'!IA_FINANCIAL</vt:lpstr>
      <vt:lpstr>'First Natl'!IA_FINANCIAL</vt:lpstr>
      <vt:lpstr>'First Natl (Thrnr)'!IA_FINANCIAL</vt:lpstr>
      <vt:lpstr>'Franklin American'!IA_FINANCIAL</vt:lpstr>
      <vt:lpstr>'Franklin Protective'!IA_FINANCIAL</vt:lpstr>
      <vt:lpstr>'Freelancers CO-OP'!IA_FINANCIAL</vt:lpstr>
      <vt:lpstr>Freestone!IA_FINANCIAL</vt:lpstr>
      <vt:lpstr>'George Washington'!IA_FINANCIAL</vt:lpstr>
      <vt:lpstr>'Golden State'!IA_FINANCIAL</vt:lpstr>
      <vt:lpstr>'Guarantee Security'!IA_FINANCIAL</vt:lpstr>
      <vt:lpstr>HealthyCT!IA_FINANCIAL</vt:lpstr>
      <vt:lpstr>Imerica!IA_FINANCIAL</vt:lpstr>
      <vt:lpstr>'Inter-American'!IA_FINANCIAL</vt:lpstr>
      <vt:lpstr>'International Fin'!IA_FINANCIAL</vt:lpstr>
      <vt:lpstr>'Investment Life of America'!IA_FINANCIAL</vt:lpstr>
      <vt:lpstr>'Investors Equity'!IA_FINANCIAL</vt:lpstr>
      <vt:lpstr>'Kentucky Central'!IA_FINANCIAL</vt:lpstr>
      <vt:lpstr>'Land of Lincoln'!IA_FINANCIAL</vt:lpstr>
      <vt:lpstr>Legion!IA_FINANCIAL</vt:lpstr>
      <vt:lpstr>'Life Health America'!IA_FINANCIAL</vt:lpstr>
      <vt:lpstr>'Lincoln Memorial'!IA_FINANCIAL</vt:lpstr>
      <vt:lpstr>'London Pac'!IA_FINANCIAL</vt:lpstr>
      <vt:lpstr>Lumbermens!IA_FINANCIAL</vt:lpstr>
      <vt:lpstr>'Medical Savings'!IA_FINANCIAL</vt:lpstr>
      <vt:lpstr>'Memorial Service'!IA_FINANCIAL</vt:lpstr>
      <vt:lpstr>Midcontinent!IA_FINANCIAL</vt:lpstr>
      <vt:lpstr>'Midwest Life'!IA_FINANCIAL</vt:lpstr>
      <vt:lpstr>'Monarch Life'!IA_FINANCIAL</vt:lpstr>
      <vt:lpstr>'Mutual Benefit'!IA_FINANCIAL</vt:lpstr>
      <vt:lpstr>'Mutual Security'!IA_FINANCIAL</vt:lpstr>
      <vt:lpstr>'National Affiliated'!IA_FINANCIAL</vt:lpstr>
      <vt:lpstr>'National Heritage'!IA_FINANCIAL</vt:lpstr>
      <vt:lpstr>'National States'!IA_FINANCIAL</vt:lpstr>
      <vt:lpstr>'Natl American'!IA_FINANCIAL</vt:lpstr>
      <vt:lpstr>'New Jersey Life'!IA_FINANCIAL</vt:lpstr>
      <vt:lpstr>NNIC!IA_FINANCIAL</vt:lpstr>
      <vt:lpstr>'North Carolina Mutual'!IA_FINANCIAL</vt:lpstr>
      <vt:lpstr>'Old Colony Life'!IA_FINANCIAL</vt:lpstr>
      <vt:lpstr>'Old Faithful'!IA_FINANCIAL</vt:lpstr>
      <vt:lpstr>'Pacific Standard'!IA_FINANCIAL</vt:lpstr>
      <vt:lpstr>'Pavonia Life'!IA_FINANCIAL</vt:lpstr>
      <vt:lpstr>'Pen  Treaty'!IA_FINANCIAL</vt:lpstr>
      <vt:lpstr>'Red Rock'!IA_FINANCIAL</vt:lpstr>
      <vt:lpstr>Reliance!IA_FINANCIAL</vt:lpstr>
      <vt:lpstr>SeeChange!IA_FINANCIAL</vt:lpstr>
      <vt:lpstr>'Senior American'!IA_FINANCIAL</vt:lpstr>
      <vt:lpstr>Settlers!IA_FINANCIAL</vt:lpstr>
      <vt:lpstr>Shenandoah!IA_FINANCIAL</vt:lpstr>
      <vt:lpstr>'Southland National Life'!IA_FINANCIAL</vt:lpstr>
      <vt:lpstr>'Standard Life IN'!IA_FINANCIAL</vt:lpstr>
      <vt:lpstr>'States General'!IA_FINANCIAL</vt:lpstr>
      <vt:lpstr>Statesman!IA_FINANCIAL</vt:lpstr>
      <vt:lpstr>'Summit National'!IA_FINANCIAL</vt:lpstr>
      <vt:lpstr>Supreme!IA_FINANCIAL</vt:lpstr>
      <vt:lpstr>Time!IA_FINANCIAL</vt:lpstr>
      <vt:lpstr>'Total Summary'!IA_FINANCIAL</vt:lpstr>
      <vt:lpstr>Underwriters!IA_FINANCIAL</vt:lpstr>
      <vt:lpstr>Unison!IA_FINANCIAL</vt:lpstr>
      <vt:lpstr>'United Republic'!IA_FINANCIAL</vt:lpstr>
      <vt:lpstr>'Universal Health Care'!IA_FINANCIAL</vt:lpstr>
      <vt:lpstr>'Universal Life'!IA_FINANCIAL</vt:lpstr>
      <vt:lpstr>Universe!IA_FINANCIAL</vt:lpstr>
      <vt:lpstr>Villanova!IA_FINANCIAL</vt:lpstr>
      <vt:lpstr>'AF&amp;L'!ID_FINANCIAL</vt:lpstr>
      <vt:lpstr>'Alabama Life'!ID_FINANCIAL</vt:lpstr>
      <vt:lpstr>'Amer Life Asr'!ID_FINANCIAL</vt:lpstr>
      <vt:lpstr>'Amer Std Life Acc'!ID_FINANCIAL</vt:lpstr>
      <vt:lpstr>'American Chambers'!ID_FINANCIAL</vt:lpstr>
      <vt:lpstr>'American Community'!ID_FINANCIAL</vt:lpstr>
      <vt:lpstr>'American Educators'!ID_FINANCIAL</vt:lpstr>
      <vt:lpstr>'American Integrity'!ID_FINANCIAL</vt:lpstr>
      <vt:lpstr>'American Medical'!ID_FINANCIAL</vt:lpstr>
      <vt:lpstr>'American Network'!ID_FINANCIAL</vt:lpstr>
      <vt:lpstr>AmerWstrn!ID_FINANCIAL</vt:lpstr>
      <vt:lpstr>'AMS Life'!ID_FINANCIAL</vt:lpstr>
      <vt:lpstr>'Andrew Jackson'!ID_FINANCIAL</vt:lpstr>
      <vt:lpstr>'Bankers Commercial'!ID_FINANCIAL</vt:lpstr>
      <vt:lpstr>'Bankers Life'!ID_FINANCIAL</vt:lpstr>
      <vt:lpstr>Benicorp!ID_FINANCIAL</vt:lpstr>
      <vt:lpstr>'Booker T Washington'!ID_FINANCIAL</vt:lpstr>
      <vt:lpstr>Centennial!ID_FINANCIAL</vt:lpstr>
      <vt:lpstr>'CO Bankers'!ID_FINANCIAL</vt:lpstr>
      <vt:lpstr>'Coastal States'!ID_FINANCIAL</vt:lpstr>
      <vt:lpstr>'Colorado Health'!ID_FINANCIAL</vt:lpstr>
      <vt:lpstr>'Compass (dbs Meritus)'!ID_FINANCIAL</vt:lpstr>
      <vt:lpstr>'Confed Life &amp; Annty (CLIAC)'!ID_FINANCIAL</vt:lpstr>
      <vt:lpstr>'Confed Life (CLIC)'!ID_FINANCIAL</vt:lpstr>
      <vt:lpstr>'Consolidated National'!ID_FINANCIAL</vt:lpstr>
      <vt:lpstr>'Consumers Choice'!ID_FINANCIAL</vt:lpstr>
      <vt:lpstr>'Consumers Mutual'!ID_FINANCIAL</vt:lpstr>
      <vt:lpstr>'Consumers United'!ID_FINANCIAL</vt:lpstr>
      <vt:lpstr>CoOportunity!ID_FINANCIAL</vt:lpstr>
      <vt:lpstr>'Coordinated Hlth'!ID_FINANCIAL</vt:lpstr>
      <vt:lpstr>'Corporate Life'!ID_FINANCIAL</vt:lpstr>
      <vt:lpstr>'Diamond Benefits'!ID_FINANCIAL</vt:lpstr>
      <vt:lpstr>'EBL Life'!ID_FINANCIAL</vt:lpstr>
      <vt:lpstr>ELNY!ID_FINANCIAL</vt:lpstr>
      <vt:lpstr>'Executive Life'!ID_FINANCIAL</vt:lpstr>
      <vt:lpstr>'Family Guaranty'!ID_FINANCIAL</vt:lpstr>
      <vt:lpstr>'Fidelity Bankers'!ID_FINANCIAL</vt:lpstr>
      <vt:lpstr>'Fidelity Mutual'!ID_FINANCIAL</vt:lpstr>
      <vt:lpstr>'First Capital'!ID_FINANCIAL</vt:lpstr>
      <vt:lpstr>'First Natl'!ID_FINANCIAL</vt:lpstr>
      <vt:lpstr>'First Natl (Thrnr)'!ID_FINANCIAL</vt:lpstr>
      <vt:lpstr>'Franklin American'!ID_FINANCIAL</vt:lpstr>
      <vt:lpstr>'Franklin Protective'!ID_FINANCIAL</vt:lpstr>
      <vt:lpstr>'Freelancers CO-OP'!ID_FINANCIAL</vt:lpstr>
      <vt:lpstr>Freestone!ID_FINANCIAL</vt:lpstr>
      <vt:lpstr>'George Washington'!ID_FINANCIAL</vt:lpstr>
      <vt:lpstr>'Golden State'!ID_FINANCIAL</vt:lpstr>
      <vt:lpstr>'Guarantee Security'!ID_FINANCIAL</vt:lpstr>
      <vt:lpstr>HealthyCT!ID_FINANCIAL</vt:lpstr>
      <vt:lpstr>Imerica!ID_FINANCIAL</vt:lpstr>
      <vt:lpstr>'Inter-American'!ID_FINANCIAL</vt:lpstr>
      <vt:lpstr>'International Fin'!ID_FINANCIAL</vt:lpstr>
      <vt:lpstr>'Investment Life of America'!ID_FINANCIAL</vt:lpstr>
      <vt:lpstr>'Investors Equity'!ID_FINANCIAL</vt:lpstr>
      <vt:lpstr>'Kentucky Central'!ID_FINANCIAL</vt:lpstr>
      <vt:lpstr>'Land of Lincoln'!ID_FINANCIAL</vt:lpstr>
      <vt:lpstr>Legion!ID_FINANCIAL</vt:lpstr>
      <vt:lpstr>'Life Health America'!ID_FINANCIAL</vt:lpstr>
      <vt:lpstr>'Lincoln Memorial'!ID_FINANCIAL</vt:lpstr>
      <vt:lpstr>'London Pac'!ID_FINANCIAL</vt:lpstr>
      <vt:lpstr>Lumbermens!ID_FINANCIAL</vt:lpstr>
      <vt:lpstr>'Medical Savings'!ID_FINANCIAL</vt:lpstr>
      <vt:lpstr>'Memorial Service'!ID_FINANCIAL</vt:lpstr>
      <vt:lpstr>Midcontinent!ID_FINANCIAL</vt:lpstr>
      <vt:lpstr>'Midwest Life'!ID_FINANCIAL</vt:lpstr>
      <vt:lpstr>'Monarch Life'!ID_FINANCIAL</vt:lpstr>
      <vt:lpstr>'Mutual Benefit'!ID_FINANCIAL</vt:lpstr>
      <vt:lpstr>'Mutual Security'!ID_FINANCIAL</vt:lpstr>
      <vt:lpstr>'National Affiliated'!ID_FINANCIAL</vt:lpstr>
      <vt:lpstr>'National Heritage'!ID_FINANCIAL</vt:lpstr>
      <vt:lpstr>'National States'!ID_FINANCIAL</vt:lpstr>
      <vt:lpstr>'Natl American'!ID_FINANCIAL</vt:lpstr>
      <vt:lpstr>'New Jersey Life'!ID_FINANCIAL</vt:lpstr>
      <vt:lpstr>NNIC!ID_FINANCIAL</vt:lpstr>
      <vt:lpstr>'North Carolina Mutual'!ID_FINANCIAL</vt:lpstr>
      <vt:lpstr>'Old Colony Life'!ID_FINANCIAL</vt:lpstr>
      <vt:lpstr>'Old Faithful'!ID_FINANCIAL</vt:lpstr>
      <vt:lpstr>'Pacific Standard'!ID_FINANCIAL</vt:lpstr>
      <vt:lpstr>'Pavonia Life'!ID_FINANCIAL</vt:lpstr>
      <vt:lpstr>'Pen  Treaty'!ID_FINANCIAL</vt:lpstr>
      <vt:lpstr>'Red Rock'!ID_FINANCIAL</vt:lpstr>
      <vt:lpstr>Reliance!ID_FINANCIAL</vt:lpstr>
      <vt:lpstr>SeeChange!ID_FINANCIAL</vt:lpstr>
      <vt:lpstr>'Senior American'!ID_FINANCIAL</vt:lpstr>
      <vt:lpstr>Settlers!ID_FINANCIAL</vt:lpstr>
      <vt:lpstr>Shenandoah!ID_FINANCIAL</vt:lpstr>
      <vt:lpstr>'Southland National Life'!ID_FINANCIAL</vt:lpstr>
      <vt:lpstr>'Standard Life IN'!ID_FINANCIAL</vt:lpstr>
      <vt:lpstr>'States General'!ID_FINANCIAL</vt:lpstr>
      <vt:lpstr>Statesman!ID_FINANCIAL</vt:lpstr>
      <vt:lpstr>'Summit National'!ID_FINANCIAL</vt:lpstr>
      <vt:lpstr>Supreme!ID_FINANCIAL</vt:lpstr>
      <vt:lpstr>Time!ID_FINANCIAL</vt:lpstr>
      <vt:lpstr>'Total Summary'!ID_FINANCIAL</vt:lpstr>
      <vt:lpstr>Underwriters!ID_FINANCIAL</vt:lpstr>
      <vt:lpstr>Unison!ID_FINANCIAL</vt:lpstr>
      <vt:lpstr>'United Republic'!ID_FINANCIAL</vt:lpstr>
      <vt:lpstr>'Universal Health Care'!ID_FINANCIAL</vt:lpstr>
      <vt:lpstr>'Universal Life'!ID_FINANCIAL</vt:lpstr>
      <vt:lpstr>Universe!ID_FINANCIAL</vt:lpstr>
      <vt:lpstr>Villanova!ID_FINANCIAL</vt:lpstr>
      <vt:lpstr>'AF&amp;L'!IL_FINANCIAL</vt:lpstr>
      <vt:lpstr>'Alabama Life'!IL_FINANCIAL</vt:lpstr>
      <vt:lpstr>'Amer Life Asr'!IL_FINANCIAL</vt:lpstr>
      <vt:lpstr>'Amer Std Life Acc'!IL_FINANCIAL</vt:lpstr>
      <vt:lpstr>'American Chambers'!IL_FINANCIAL</vt:lpstr>
      <vt:lpstr>'American Community'!IL_FINANCIAL</vt:lpstr>
      <vt:lpstr>'American Educators'!IL_FINANCIAL</vt:lpstr>
      <vt:lpstr>'American Integrity'!IL_FINANCIAL</vt:lpstr>
      <vt:lpstr>'American Medical'!IL_FINANCIAL</vt:lpstr>
      <vt:lpstr>'American Network'!IL_FINANCIAL</vt:lpstr>
      <vt:lpstr>AmerWstrn!IL_FINANCIAL</vt:lpstr>
      <vt:lpstr>'AMS Life'!IL_FINANCIAL</vt:lpstr>
      <vt:lpstr>'Andrew Jackson'!IL_FINANCIAL</vt:lpstr>
      <vt:lpstr>'Bankers Commercial'!IL_FINANCIAL</vt:lpstr>
      <vt:lpstr>'Bankers Life'!IL_FINANCIAL</vt:lpstr>
      <vt:lpstr>Benicorp!IL_FINANCIAL</vt:lpstr>
      <vt:lpstr>'Booker T Washington'!IL_FINANCIAL</vt:lpstr>
      <vt:lpstr>Centennial!IL_FINANCIAL</vt:lpstr>
      <vt:lpstr>'CO Bankers'!IL_FINANCIAL</vt:lpstr>
      <vt:lpstr>'Coastal States'!IL_FINANCIAL</vt:lpstr>
      <vt:lpstr>'Colorado Health'!IL_FINANCIAL</vt:lpstr>
      <vt:lpstr>'Compass (dbs Meritus)'!IL_FINANCIAL</vt:lpstr>
      <vt:lpstr>'Confed Life &amp; Annty (CLIAC)'!IL_FINANCIAL</vt:lpstr>
      <vt:lpstr>'Confed Life (CLIC)'!IL_FINANCIAL</vt:lpstr>
      <vt:lpstr>'Consolidated National'!IL_FINANCIAL</vt:lpstr>
      <vt:lpstr>'Consumers Choice'!IL_FINANCIAL</vt:lpstr>
      <vt:lpstr>'Consumers Mutual'!IL_FINANCIAL</vt:lpstr>
      <vt:lpstr>'Consumers United'!IL_FINANCIAL</vt:lpstr>
      <vt:lpstr>CoOportunity!IL_FINANCIAL</vt:lpstr>
      <vt:lpstr>'Coordinated Hlth'!IL_FINANCIAL</vt:lpstr>
      <vt:lpstr>'Corporate Life'!IL_FINANCIAL</vt:lpstr>
      <vt:lpstr>'Diamond Benefits'!IL_FINANCIAL</vt:lpstr>
      <vt:lpstr>'EBL Life'!IL_FINANCIAL</vt:lpstr>
      <vt:lpstr>ELNY!IL_FINANCIAL</vt:lpstr>
      <vt:lpstr>'Executive Life'!IL_FINANCIAL</vt:lpstr>
      <vt:lpstr>'Family Guaranty'!IL_FINANCIAL</vt:lpstr>
      <vt:lpstr>'Fidelity Bankers'!IL_FINANCIAL</vt:lpstr>
      <vt:lpstr>'Fidelity Mutual'!IL_FINANCIAL</vt:lpstr>
      <vt:lpstr>'First Capital'!IL_FINANCIAL</vt:lpstr>
      <vt:lpstr>'First Natl'!IL_FINANCIAL</vt:lpstr>
      <vt:lpstr>'First Natl (Thrnr)'!IL_FINANCIAL</vt:lpstr>
      <vt:lpstr>'Franklin American'!IL_FINANCIAL</vt:lpstr>
      <vt:lpstr>'Franklin Protective'!IL_FINANCIAL</vt:lpstr>
      <vt:lpstr>'Freelancers CO-OP'!IL_FINANCIAL</vt:lpstr>
      <vt:lpstr>Freestone!IL_FINANCIAL</vt:lpstr>
      <vt:lpstr>'George Washington'!IL_FINANCIAL</vt:lpstr>
      <vt:lpstr>'Golden State'!IL_FINANCIAL</vt:lpstr>
      <vt:lpstr>'Guarantee Security'!IL_FINANCIAL</vt:lpstr>
      <vt:lpstr>HealthyCT!IL_FINANCIAL</vt:lpstr>
      <vt:lpstr>Imerica!IL_FINANCIAL</vt:lpstr>
      <vt:lpstr>'Inter-American'!IL_FINANCIAL</vt:lpstr>
      <vt:lpstr>'International Fin'!IL_FINANCIAL</vt:lpstr>
      <vt:lpstr>'Investment Life of America'!IL_FINANCIAL</vt:lpstr>
      <vt:lpstr>'Investors Equity'!IL_FINANCIAL</vt:lpstr>
      <vt:lpstr>'Kentucky Central'!IL_FINANCIAL</vt:lpstr>
      <vt:lpstr>'Land of Lincoln'!IL_FINANCIAL</vt:lpstr>
      <vt:lpstr>Legion!IL_FINANCIAL</vt:lpstr>
      <vt:lpstr>'Life Health America'!IL_FINANCIAL</vt:lpstr>
      <vt:lpstr>'Lincoln Memorial'!IL_FINANCIAL</vt:lpstr>
      <vt:lpstr>'London Pac'!IL_FINANCIAL</vt:lpstr>
      <vt:lpstr>Lumbermens!IL_FINANCIAL</vt:lpstr>
      <vt:lpstr>'Medical Savings'!IL_FINANCIAL</vt:lpstr>
      <vt:lpstr>'Memorial Service'!IL_FINANCIAL</vt:lpstr>
      <vt:lpstr>Midcontinent!IL_FINANCIAL</vt:lpstr>
      <vt:lpstr>'Midwest Life'!IL_FINANCIAL</vt:lpstr>
      <vt:lpstr>'Monarch Life'!IL_FINANCIAL</vt:lpstr>
      <vt:lpstr>'Mutual Benefit'!IL_FINANCIAL</vt:lpstr>
      <vt:lpstr>'Mutual Security'!IL_FINANCIAL</vt:lpstr>
      <vt:lpstr>'National Affiliated'!IL_FINANCIAL</vt:lpstr>
      <vt:lpstr>'National Heritage'!IL_FINANCIAL</vt:lpstr>
      <vt:lpstr>'National States'!IL_FINANCIAL</vt:lpstr>
      <vt:lpstr>'Natl American'!IL_FINANCIAL</vt:lpstr>
      <vt:lpstr>'New Jersey Life'!IL_FINANCIAL</vt:lpstr>
      <vt:lpstr>NNIC!IL_FINANCIAL</vt:lpstr>
      <vt:lpstr>'North Carolina Mutual'!IL_FINANCIAL</vt:lpstr>
      <vt:lpstr>'Old Colony Life'!IL_FINANCIAL</vt:lpstr>
      <vt:lpstr>'Old Faithful'!IL_FINANCIAL</vt:lpstr>
      <vt:lpstr>'Pacific Standard'!IL_FINANCIAL</vt:lpstr>
      <vt:lpstr>'Pavonia Life'!IL_FINANCIAL</vt:lpstr>
      <vt:lpstr>'Pen  Treaty'!IL_FINANCIAL</vt:lpstr>
      <vt:lpstr>'Red Rock'!IL_FINANCIAL</vt:lpstr>
      <vt:lpstr>Reliance!IL_FINANCIAL</vt:lpstr>
      <vt:lpstr>SeeChange!IL_FINANCIAL</vt:lpstr>
      <vt:lpstr>'Senior American'!IL_FINANCIAL</vt:lpstr>
      <vt:lpstr>Settlers!IL_FINANCIAL</vt:lpstr>
      <vt:lpstr>Shenandoah!IL_FINANCIAL</vt:lpstr>
      <vt:lpstr>'Southland National Life'!IL_FINANCIAL</vt:lpstr>
      <vt:lpstr>'Standard Life IN'!IL_FINANCIAL</vt:lpstr>
      <vt:lpstr>'States General'!IL_FINANCIAL</vt:lpstr>
      <vt:lpstr>Statesman!IL_FINANCIAL</vt:lpstr>
      <vt:lpstr>'Summit National'!IL_FINANCIAL</vt:lpstr>
      <vt:lpstr>Supreme!IL_FINANCIAL</vt:lpstr>
      <vt:lpstr>Time!IL_FINANCIAL</vt:lpstr>
      <vt:lpstr>'Total Summary'!IL_FINANCIAL</vt:lpstr>
      <vt:lpstr>Underwriters!IL_FINANCIAL</vt:lpstr>
      <vt:lpstr>Unison!IL_FINANCIAL</vt:lpstr>
      <vt:lpstr>'United Republic'!IL_FINANCIAL</vt:lpstr>
      <vt:lpstr>'Universal Health Care'!IL_FINANCIAL</vt:lpstr>
      <vt:lpstr>'Universal Life'!IL_FINANCIAL</vt:lpstr>
      <vt:lpstr>Universe!IL_FINANCIAL</vt:lpstr>
      <vt:lpstr>Villanova!IL_FINANCIAL</vt:lpstr>
      <vt:lpstr>'AF&amp;L'!IN_FINANCIAL</vt:lpstr>
      <vt:lpstr>'Alabama Life'!IN_FINANCIAL</vt:lpstr>
      <vt:lpstr>'Amer Life Asr'!IN_FINANCIAL</vt:lpstr>
      <vt:lpstr>'Amer Std Life Acc'!IN_FINANCIAL</vt:lpstr>
      <vt:lpstr>'American Chambers'!IN_FINANCIAL</vt:lpstr>
      <vt:lpstr>'American Community'!IN_FINANCIAL</vt:lpstr>
      <vt:lpstr>'American Educators'!IN_FINANCIAL</vt:lpstr>
      <vt:lpstr>'American Integrity'!IN_FINANCIAL</vt:lpstr>
      <vt:lpstr>'American Medical'!IN_FINANCIAL</vt:lpstr>
      <vt:lpstr>'American Network'!IN_FINANCIAL</vt:lpstr>
      <vt:lpstr>AmerWstrn!IN_FINANCIAL</vt:lpstr>
      <vt:lpstr>'AMS Life'!IN_FINANCIAL</vt:lpstr>
      <vt:lpstr>'Andrew Jackson'!IN_FINANCIAL</vt:lpstr>
      <vt:lpstr>'Bankers Commercial'!IN_FINANCIAL</vt:lpstr>
      <vt:lpstr>'Bankers Life'!IN_FINANCIAL</vt:lpstr>
      <vt:lpstr>Benicorp!IN_FINANCIAL</vt:lpstr>
      <vt:lpstr>'Booker T Washington'!IN_FINANCIAL</vt:lpstr>
      <vt:lpstr>Centennial!IN_FINANCIAL</vt:lpstr>
      <vt:lpstr>'CO Bankers'!IN_FINANCIAL</vt:lpstr>
      <vt:lpstr>'Coastal States'!IN_FINANCIAL</vt:lpstr>
      <vt:lpstr>'Colorado Health'!IN_FINANCIAL</vt:lpstr>
      <vt:lpstr>'Compass (dbs Meritus)'!IN_FINANCIAL</vt:lpstr>
      <vt:lpstr>'Confed Life &amp; Annty (CLIAC)'!IN_FINANCIAL</vt:lpstr>
      <vt:lpstr>'Confed Life (CLIC)'!IN_FINANCIAL</vt:lpstr>
      <vt:lpstr>'Consolidated National'!IN_FINANCIAL</vt:lpstr>
      <vt:lpstr>'Consumers Choice'!IN_FINANCIAL</vt:lpstr>
      <vt:lpstr>'Consumers Mutual'!IN_FINANCIAL</vt:lpstr>
      <vt:lpstr>'Consumers United'!IN_FINANCIAL</vt:lpstr>
      <vt:lpstr>CoOportunity!IN_FINANCIAL</vt:lpstr>
      <vt:lpstr>'Coordinated Hlth'!IN_FINANCIAL</vt:lpstr>
      <vt:lpstr>'Corporate Life'!IN_FINANCIAL</vt:lpstr>
      <vt:lpstr>'Diamond Benefits'!IN_FINANCIAL</vt:lpstr>
      <vt:lpstr>'EBL Life'!IN_FINANCIAL</vt:lpstr>
      <vt:lpstr>ELNY!IN_FINANCIAL</vt:lpstr>
      <vt:lpstr>'Executive Life'!IN_FINANCIAL</vt:lpstr>
      <vt:lpstr>'Family Guaranty'!IN_FINANCIAL</vt:lpstr>
      <vt:lpstr>'Fidelity Bankers'!IN_FINANCIAL</vt:lpstr>
      <vt:lpstr>'Fidelity Mutual'!IN_FINANCIAL</vt:lpstr>
      <vt:lpstr>'First Capital'!IN_FINANCIAL</vt:lpstr>
      <vt:lpstr>'First Natl'!IN_FINANCIAL</vt:lpstr>
      <vt:lpstr>'First Natl (Thrnr)'!IN_FINANCIAL</vt:lpstr>
      <vt:lpstr>'Franklin American'!IN_FINANCIAL</vt:lpstr>
      <vt:lpstr>'Franklin Protective'!IN_FINANCIAL</vt:lpstr>
      <vt:lpstr>'Freelancers CO-OP'!IN_FINANCIAL</vt:lpstr>
      <vt:lpstr>Freestone!IN_FINANCIAL</vt:lpstr>
      <vt:lpstr>'George Washington'!IN_FINANCIAL</vt:lpstr>
      <vt:lpstr>'Golden State'!IN_FINANCIAL</vt:lpstr>
      <vt:lpstr>'Guarantee Security'!IN_FINANCIAL</vt:lpstr>
      <vt:lpstr>HealthyCT!IN_FINANCIAL</vt:lpstr>
      <vt:lpstr>Imerica!IN_FINANCIAL</vt:lpstr>
      <vt:lpstr>'Inter-American'!IN_FINANCIAL</vt:lpstr>
      <vt:lpstr>'International Fin'!IN_FINANCIAL</vt:lpstr>
      <vt:lpstr>'Investment Life of America'!IN_FINANCIAL</vt:lpstr>
      <vt:lpstr>'Investors Equity'!IN_FINANCIAL</vt:lpstr>
      <vt:lpstr>'Kentucky Central'!IN_FINANCIAL</vt:lpstr>
      <vt:lpstr>'Land of Lincoln'!IN_FINANCIAL</vt:lpstr>
      <vt:lpstr>Legion!IN_FINANCIAL</vt:lpstr>
      <vt:lpstr>'Life Health America'!IN_FINANCIAL</vt:lpstr>
      <vt:lpstr>'Lincoln Memorial'!IN_FINANCIAL</vt:lpstr>
      <vt:lpstr>'London Pac'!IN_FINANCIAL</vt:lpstr>
      <vt:lpstr>Lumbermens!IN_FINANCIAL</vt:lpstr>
      <vt:lpstr>'Medical Savings'!IN_FINANCIAL</vt:lpstr>
      <vt:lpstr>'Memorial Service'!IN_FINANCIAL</vt:lpstr>
      <vt:lpstr>Midcontinent!IN_FINANCIAL</vt:lpstr>
      <vt:lpstr>'Midwest Life'!IN_FINANCIAL</vt:lpstr>
      <vt:lpstr>'Monarch Life'!IN_FINANCIAL</vt:lpstr>
      <vt:lpstr>'Mutual Benefit'!IN_FINANCIAL</vt:lpstr>
      <vt:lpstr>'Mutual Security'!IN_FINANCIAL</vt:lpstr>
      <vt:lpstr>'National Affiliated'!IN_FINANCIAL</vt:lpstr>
      <vt:lpstr>'National Heritage'!IN_FINANCIAL</vt:lpstr>
      <vt:lpstr>'National States'!IN_FINANCIAL</vt:lpstr>
      <vt:lpstr>'Natl American'!IN_FINANCIAL</vt:lpstr>
      <vt:lpstr>'New Jersey Life'!IN_FINANCIAL</vt:lpstr>
      <vt:lpstr>NNIC!IN_FINANCIAL</vt:lpstr>
      <vt:lpstr>'North Carolina Mutual'!IN_FINANCIAL</vt:lpstr>
      <vt:lpstr>'Old Colony Life'!IN_FINANCIAL</vt:lpstr>
      <vt:lpstr>'Old Faithful'!IN_FINANCIAL</vt:lpstr>
      <vt:lpstr>'Pacific Standard'!IN_FINANCIAL</vt:lpstr>
      <vt:lpstr>'Pavonia Life'!IN_FINANCIAL</vt:lpstr>
      <vt:lpstr>'Pen  Treaty'!IN_FINANCIAL</vt:lpstr>
      <vt:lpstr>'Red Rock'!IN_FINANCIAL</vt:lpstr>
      <vt:lpstr>Reliance!IN_FINANCIAL</vt:lpstr>
      <vt:lpstr>SeeChange!IN_FINANCIAL</vt:lpstr>
      <vt:lpstr>'Senior American'!IN_FINANCIAL</vt:lpstr>
      <vt:lpstr>Settlers!IN_FINANCIAL</vt:lpstr>
      <vt:lpstr>Shenandoah!IN_FINANCIAL</vt:lpstr>
      <vt:lpstr>'Southland National Life'!IN_FINANCIAL</vt:lpstr>
      <vt:lpstr>'Standard Life IN'!IN_FINANCIAL</vt:lpstr>
      <vt:lpstr>'States General'!IN_FINANCIAL</vt:lpstr>
      <vt:lpstr>Statesman!IN_FINANCIAL</vt:lpstr>
      <vt:lpstr>'Summit National'!IN_FINANCIAL</vt:lpstr>
      <vt:lpstr>Supreme!IN_FINANCIAL</vt:lpstr>
      <vt:lpstr>Time!IN_FINANCIAL</vt:lpstr>
      <vt:lpstr>'Total Summary'!IN_FINANCIAL</vt:lpstr>
      <vt:lpstr>Underwriters!IN_FINANCIAL</vt:lpstr>
      <vt:lpstr>Unison!IN_FINANCIAL</vt:lpstr>
      <vt:lpstr>'United Republic'!IN_FINANCIAL</vt:lpstr>
      <vt:lpstr>'Universal Health Care'!IN_FINANCIAL</vt:lpstr>
      <vt:lpstr>'Universal Life'!IN_FINANCIAL</vt:lpstr>
      <vt:lpstr>Universe!IN_FINANCIAL</vt:lpstr>
      <vt:lpstr>Villanova!IN_FINANCIAL</vt:lpstr>
      <vt:lpstr>'AF&amp;L'!KS_FINANCIAL</vt:lpstr>
      <vt:lpstr>'Alabama Life'!KS_FINANCIAL</vt:lpstr>
      <vt:lpstr>'Amer Life Asr'!KS_FINANCIAL</vt:lpstr>
      <vt:lpstr>'Amer Std Life Acc'!KS_FINANCIAL</vt:lpstr>
      <vt:lpstr>'American Chambers'!KS_FINANCIAL</vt:lpstr>
      <vt:lpstr>'American Community'!KS_FINANCIAL</vt:lpstr>
      <vt:lpstr>'American Educators'!KS_FINANCIAL</vt:lpstr>
      <vt:lpstr>'American Integrity'!KS_FINANCIAL</vt:lpstr>
      <vt:lpstr>'American Medical'!KS_FINANCIAL</vt:lpstr>
      <vt:lpstr>'American Network'!KS_FINANCIAL</vt:lpstr>
      <vt:lpstr>AmerWstrn!KS_FINANCIAL</vt:lpstr>
      <vt:lpstr>'AMS Life'!KS_FINANCIAL</vt:lpstr>
      <vt:lpstr>'Andrew Jackson'!KS_FINANCIAL</vt:lpstr>
      <vt:lpstr>'Bankers Commercial'!KS_FINANCIAL</vt:lpstr>
      <vt:lpstr>'Bankers Life'!KS_FINANCIAL</vt:lpstr>
      <vt:lpstr>Benicorp!KS_FINANCIAL</vt:lpstr>
      <vt:lpstr>'Booker T Washington'!KS_FINANCIAL</vt:lpstr>
      <vt:lpstr>Centennial!KS_FINANCIAL</vt:lpstr>
      <vt:lpstr>'CO Bankers'!KS_FINANCIAL</vt:lpstr>
      <vt:lpstr>'Coastal States'!KS_FINANCIAL</vt:lpstr>
      <vt:lpstr>'Colorado Health'!KS_FINANCIAL</vt:lpstr>
      <vt:lpstr>'Compass (dbs Meritus)'!KS_FINANCIAL</vt:lpstr>
      <vt:lpstr>'Confed Life &amp; Annty (CLIAC)'!KS_FINANCIAL</vt:lpstr>
      <vt:lpstr>'Confed Life (CLIC)'!KS_FINANCIAL</vt:lpstr>
      <vt:lpstr>'Consolidated National'!KS_FINANCIAL</vt:lpstr>
      <vt:lpstr>'Consumers Choice'!KS_FINANCIAL</vt:lpstr>
      <vt:lpstr>'Consumers Mutual'!KS_FINANCIAL</vt:lpstr>
      <vt:lpstr>'Consumers United'!KS_FINANCIAL</vt:lpstr>
      <vt:lpstr>CoOportunity!KS_FINANCIAL</vt:lpstr>
      <vt:lpstr>'Coordinated Hlth'!KS_FINANCIAL</vt:lpstr>
      <vt:lpstr>'Corporate Life'!KS_FINANCIAL</vt:lpstr>
      <vt:lpstr>'Diamond Benefits'!KS_FINANCIAL</vt:lpstr>
      <vt:lpstr>'EBL Life'!KS_FINANCIAL</vt:lpstr>
      <vt:lpstr>ELNY!KS_FINANCIAL</vt:lpstr>
      <vt:lpstr>'Executive Life'!KS_FINANCIAL</vt:lpstr>
      <vt:lpstr>'Family Guaranty'!KS_FINANCIAL</vt:lpstr>
      <vt:lpstr>'Fidelity Bankers'!KS_FINANCIAL</vt:lpstr>
      <vt:lpstr>'Fidelity Mutual'!KS_FINANCIAL</vt:lpstr>
      <vt:lpstr>'First Capital'!KS_FINANCIAL</vt:lpstr>
      <vt:lpstr>'First Natl'!KS_FINANCIAL</vt:lpstr>
      <vt:lpstr>'First Natl (Thrnr)'!KS_FINANCIAL</vt:lpstr>
      <vt:lpstr>'Franklin American'!KS_FINANCIAL</vt:lpstr>
      <vt:lpstr>'Franklin Protective'!KS_FINANCIAL</vt:lpstr>
      <vt:lpstr>'Freelancers CO-OP'!KS_FINANCIAL</vt:lpstr>
      <vt:lpstr>Freestone!KS_FINANCIAL</vt:lpstr>
      <vt:lpstr>'George Washington'!KS_FINANCIAL</vt:lpstr>
      <vt:lpstr>'Golden State'!KS_FINANCIAL</vt:lpstr>
      <vt:lpstr>'Guarantee Security'!KS_FINANCIAL</vt:lpstr>
      <vt:lpstr>HealthyCT!KS_FINANCIAL</vt:lpstr>
      <vt:lpstr>Imerica!KS_FINANCIAL</vt:lpstr>
      <vt:lpstr>'Inter-American'!KS_FINANCIAL</vt:lpstr>
      <vt:lpstr>'International Fin'!KS_FINANCIAL</vt:lpstr>
      <vt:lpstr>'Investment Life of America'!KS_FINANCIAL</vt:lpstr>
      <vt:lpstr>'Investors Equity'!KS_FINANCIAL</vt:lpstr>
      <vt:lpstr>'Kentucky Central'!KS_FINANCIAL</vt:lpstr>
      <vt:lpstr>'Land of Lincoln'!KS_FINANCIAL</vt:lpstr>
      <vt:lpstr>Legion!KS_FINANCIAL</vt:lpstr>
      <vt:lpstr>'Life Health America'!KS_FINANCIAL</vt:lpstr>
      <vt:lpstr>'Lincoln Memorial'!KS_FINANCIAL</vt:lpstr>
      <vt:lpstr>'London Pac'!KS_FINANCIAL</vt:lpstr>
      <vt:lpstr>Lumbermens!KS_FINANCIAL</vt:lpstr>
      <vt:lpstr>'Medical Savings'!KS_FINANCIAL</vt:lpstr>
      <vt:lpstr>'Memorial Service'!KS_FINANCIAL</vt:lpstr>
      <vt:lpstr>Midcontinent!KS_FINANCIAL</vt:lpstr>
      <vt:lpstr>'Midwest Life'!KS_FINANCIAL</vt:lpstr>
      <vt:lpstr>'Monarch Life'!KS_FINANCIAL</vt:lpstr>
      <vt:lpstr>'Mutual Benefit'!KS_FINANCIAL</vt:lpstr>
      <vt:lpstr>'Mutual Security'!KS_FINANCIAL</vt:lpstr>
      <vt:lpstr>'National Affiliated'!KS_FINANCIAL</vt:lpstr>
      <vt:lpstr>'National Heritage'!KS_FINANCIAL</vt:lpstr>
      <vt:lpstr>'National States'!KS_FINANCIAL</vt:lpstr>
      <vt:lpstr>'Natl American'!KS_FINANCIAL</vt:lpstr>
      <vt:lpstr>'New Jersey Life'!KS_FINANCIAL</vt:lpstr>
      <vt:lpstr>NNIC!KS_FINANCIAL</vt:lpstr>
      <vt:lpstr>'North Carolina Mutual'!KS_FINANCIAL</vt:lpstr>
      <vt:lpstr>'Old Colony Life'!KS_FINANCIAL</vt:lpstr>
      <vt:lpstr>'Old Faithful'!KS_FINANCIAL</vt:lpstr>
      <vt:lpstr>'Pacific Standard'!KS_FINANCIAL</vt:lpstr>
      <vt:lpstr>'Pavonia Life'!KS_FINANCIAL</vt:lpstr>
      <vt:lpstr>'Pen  Treaty'!KS_FINANCIAL</vt:lpstr>
      <vt:lpstr>'Red Rock'!KS_FINANCIAL</vt:lpstr>
      <vt:lpstr>Reliance!KS_FINANCIAL</vt:lpstr>
      <vt:lpstr>SeeChange!KS_FINANCIAL</vt:lpstr>
      <vt:lpstr>'Senior American'!KS_FINANCIAL</vt:lpstr>
      <vt:lpstr>Settlers!KS_FINANCIAL</vt:lpstr>
      <vt:lpstr>Shenandoah!KS_FINANCIAL</vt:lpstr>
      <vt:lpstr>'Southland National Life'!KS_FINANCIAL</vt:lpstr>
      <vt:lpstr>'Standard Life IN'!KS_FINANCIAL</vt:lpstr>
      <vt:lpstr>'States General'!KS_FINANCIAL</vt:lpstr>
      <vt:lpstr>Statesman!KS_FINANCIAL</vt:lpstr>
      <vt:lpstr>'Summit National'!KS_FINANCIAL</vt:lpstr>
      <vt:lpstr>Supreme!KS_FINANCIAL</vt:lpstr>
      <vt:lpstr>Time!KS_FINANCIAL</vt:lpstr>
      <vt:lpstr>'Total Summary'!KS_FINANCIAL</vt:lpstr>
      <vt:lpstr>Underwriters!KS_FINANCIAL</vt:lpstr>
      <vt:lpstr>Unison!KS_FINANCIAL</vt:lpstr>
      <vt:lpstr>'United Republic'!KS_FINANCIAL</vt:lpstr>
      <vt:lpstr>'Universal Health Care'!KS_FINANCIAL</vt:lpstr>
      <vt:lpstr>'Universal Life'!KS_FINANCIAL</vt:lpstr>
      <vt:lpstr>Universe!KS_FINANCIAL</vt:lpstr>
      <vt:lpstr>Villanova!KS_FINANCIAL</vt:lpstr>
      <vt:lpstr>'AF&amp;L'!KY_FINANCIAL</vt:lpstr>
      <vt:lpstr>'Alabama Life'!KY_FINANCIAL</vt:lpstr>
      <vt:lpstr>'Amer Life Asr'!KY_FINANCIAL</vt:lpstr>
      <vt:lpstr>'Amer Std Life Acc'!KY_FINANCIAL</vt:lpstr>
      <vt:lpstr>'American Chambers'!KY_FINANCIAL</vt:lpstr>
      <vt:lpstr>'American Community'!KY_FINANCIAL</vt:lpstr>
      <vt:lpstr>'American Educators'!KY_FINANCIAL</vt:lpstr>
      <vt:lpstr>'American Integrity'!KY_FINANCIAL</vt:lpstr>
      <vt:lpstr>'American Medical'!KY_FINANCIAL</vt:lpstr>
      <vt:lpstr>'American Network'!KY_FINANCIAL</vt:lpstr>
      <vt:lpstr>AmerWstrn!KY_FINANCIAL</vt:lpstr>
      <vt:lpstr>'AMS Life'!KY_FINANCIAL</vt:lpstr>
      <vt:lpstr>'Andrew Jackson'!KY_FINANCIAL</vt:lpstr>
      <vt:lpstr>'Bankers Commercial'!KY_FINANCIAL</vt:lpstr>
      <vt:lpstr>'Bankers Life'!KY_FINANCIAL</vt:lpstr>
      <vt:lpstr>Benicorp!KY_FINANCIAL</vt:lpstr>
      <vt:lpstr>'Booker T Washington'!KY_FINANCIAL</vt:lpstr>
      <vt:lpstr>Centennial!KY_FINANCIAL</vt:lpstr>
      <vt:lpstr>'CO Bankers'!KY_FINANCIAL</vt:lpstr>
      <vt:lpstr>'Coastal States'!KY_FINANCIAL</vt:lpstr>
      <vt:lpstr>'Colorado Health'!KY_FINANCIAL</vt:lpstr>
      <vt:lpstr>'Compass (dbs Meritus)'!KY_FINANCIAL</vt:lpstr>
      <vt:lpstr>'Confed Life &amp; Annty (CLIAC)'!KY_FINANCIAL</vt:lpstr>
      <vt:lpstr>'Confed Life (CLIC)'!KY_FINANCIAL</vt:lpstr>
      <vt:lpstr>'Consolidated National'!KY_FINANCIAL</vt:lpstr>
      <vt:lpstr>'Consumers Choice'!KY_FINANCIAL</vt:lpstr>
      <vt:lpstr>'Consumers Mutual'!KY_FINANCIAL</vt:lpstr>
      <vt:lpstr>'Consumers United'!KY_FINANCIAL</vt:lpstr>
      <vt:lpstr>CoOportunity!KY_FINANCIAL</vt:lpstr>
      <vt:lpstr>'Coordinated Hlth'!KY_FINANCIAL</vt:lpstr>
      <vt:lpstr>'Corporate Life'!KY_FINANCIAL</vt:lpstr>
      <vt:lpstr>'Diamond Benefits'!KY_FINANCIAL</vt:lpstr>
      <vt:lpstr>'EBL Life'!KY_FINANCIAL</vt:lpstr>
      <vt:lpstr>ELNY!KY_FINANCIAL</vt:lpstr>
      <vt:lpstr>'Executive Life'!KY_FINANCIAL</vt:lpstr>
      <vt:lpstr>'Family Guaranty'!KY_FINANCIAL</vt:lpstr>
      <vt:lpstr>'Fidelity Bankers'!KY_FINANCIAL</vt:lpstr>
      <vt:lpstr>'Fidelity Mutual'!KY_FINANCIAL</vt:lpstr>
      <vt:lpstr>'First Capital'!KY_FINANCIAL</vt:lpstr>
      <vt:lpstr>'First Natl'!KY_FINANCIAL</vt:lpstr>
      <vt:lpstr>'First Natl (Thrnr)'!KY_FINANCIAL</vt:lpstr>
      <vt:lpstr>'Franklin American'!KY_FINANCIAL</vt:lpstr>
      <vt:lpstr>'Franklin Protective'!KY_FINANCIAL</vt:lpstr>
      <vt:lpstr>'Freelancers CO-OP'!KY_FINANCIAL</vt:lpstr>
      <vt:lpstr>Freestone!KY_FINANCIAL</vt:lpstr>
      <vt:lpstr>'George Washington'!KY_FINANCIAL</vt:lpstr>
      <vt:lpstr>'Golden State'!KY_FINANCIAL</vt:lpstr>
      <vt:lpstr>'Guarantee Security'!KY_FINANCIAL</vt:lpstr>
      <vt:lpstr>HealthyCT!KY_FINANCIAL</vt:lpstr>
      <vt:lpstr>Imerica!KY_FINANCIAL</vt:lpstr>
      <vt:lpstr>'Inter-American'!KY_FINANCIAL</vt:lpstr>
      <vt:lpstr>'International Fin'!KY_FINANCIAL</vt:lpstr>
      <vt:lpstr>'Investment Life of America'!KY_FINANCIAL</vt:lpstr>
      <vt:lpstr>'Investors Equity'!KY_FINANCIAL</vt:lpstr>
      <vt:lpstr>'Kentucky Central'!KY_FINANCIAL</vt:lpstr>
      <vt:lpstr>'Land of Lincoln'!KY_FINANCIAL</vt:lpstr>
      <vt:lpstr>Legion!KY_FINANCIAL</vt:lpstr>
      <vt:lpstr>'Life Health America'!KY_FINANCIAL</vt:lpstr>
      <vt:lpstr>'Lincoln Memorial'!KY_FINANCIAL</vt:lpstr>
      <vt:lpstr>'London Pac'!KY_FINANCIAL</vt:lpstr>
      <vt:lpstr>Lumbermens!KY_FINANCIAL</vt:lpstr>
      <vt:lpstr>'Medical Savings'!KY_FINANCIAL</vt:lpstr>
      <vt:lpstr>'Memorial Service'!KY_FINANCIAL</vt:lpstr>
      <vt:lpstr>Midcontinent!KY_FINANCIAL</vt:lpstr>
      <vt:lpstr>'Midwest Life'!KY_FINANCIAL</vt:lpstr>
      <vt:lpstr>'Monarch Life'!KY_FINANCIAL</vt:lpstr>
      <vt:lpstr>'Mutual Benefit'!KY_FINANCIAL</vt:lpstr>
      <vt:lpstr>'Mutual Security'!KY_FINANCIAL</vt:lpstr>
      <vt:lpstr>'National Affiliated'!KY_FINANCIAL</vt:lpstr>
      <vt:lpstr>'National Heritage'!KY_FINANCIAL</vt:lpstr>
      <vt:lpstr>'National States'!KY_FINANCIAL</vt:lpstr>
      <vt:lpstr>'Natl American'!KY_FINANCIAL</vt:lpstr>
      <vt:lpstr>'New Jersey Life'!KY_FINANCIAL</vt:lpstr>
      <vt:lpstr>NNIC!KY_FINANCIAL</vt:lpstr>
      <vt:lpstr>'North Carolina Mutual'!KY_FINANCIAL</vt:lpstr>
      <vt:lpstr>'Old Colony Life'!KY_FINANCIAL</vt:lpstr>
      <vt:lpstr>'Old Faithful'!KY_FINANCIAL</vt:lpstr>
      <vt:lpstr>'Pacific Standard'!KY_FINANCIAL</vt:lpstr>
      <vt:lpstr>'Pavonia Life'!KY_FINANCIAL</vt:lpstr>
      <vt:lpstr>'Pen  Treaty'!KY_FINANCIAL</vt:lpstr>
      <vt:lpstr>'Red Rock'!KY_FINANCIAL</vt:lpstr>
      <vt:lpstr>Reliance!KY_FINANCIAL</vt:lpstr>
      <vt:lpstr>SeeChange!KY_FINANCIAL</vt:lpstr>
      <vt:lpstr>'Senior American'!KY_FINANCIAL</vt:lpstr>
      <vt:lpstr>Settlers!KY_FINANCIAL</vt:lpstr>
      <vt:lpstr>Shenandoah!KY_FINANCIAL</vt:lpstr>
      <vt:lpstr>'Southland National Life'!KY_FINANCIAL</vt:lpstr>
      <vt:lpstr>'Standard Life IN'!KY_FINANCIAL</vt:lpstr>
      <vt:lpstr>'States General'!KY_FINANCIAL</vt:lpstr>
      <vt:lpstr>Statesman!KY_FINANCIAL</vt:lpstr>
      <vt:lpstr>'Summit National'!KY_FINANCIAL</vt:lpstr>
      <vt:lpstr>Supreme!KY_FINANCIAL</vt:lpstr>
      <vt:lpstr>Time!KY_FINANCIAL</vt:lpstr>
      <vt:lpstr>'Total Summary'!KY_FINANCIAL</vt:lpstr>
      <vt:lpstr>Underwriters!KY_FINANCIAL</vt:lpstr>
      <vt:lpstr>Unison!KY_FINANCIAL</vt:lpstr>
      <vt:lpstr>'United Republic'!KY_FINANCIAL</vt:lpstr>
      <vt:lpstr>'Universal Health Care'!KY_FINANCIAL</vt:lpstr>
      <vt:lpstr>'Universal Life'!KY_FINANCIAL</vt:lpstr>
      <vt:lpstr>Universe!KY_FINANCIAL</vt:lpstr>
      <vt:lpstr>Villanova!KY_FINANCIAL</vt:lpstr>
      <vt:lpstr>'AF&amp;L'!LA_FINANCIAL</vt:lpstr>
      <vt:lpstr>'Alabama Life'!LA_FINANCIAL</vt:lpstr>
      <vt:lpstr>'Amer Life Asr'!LA_FINANCIAL</vt:lpstr>
      <vt:lpstr>'Amer Std Life Acc'!LA_FINANCIAL</vt:lpstr>
      <vt:lpstr>'American Chambers'!LA_FINANCIAL</vt:lpstr>
      <vt:lpstr>'American Community'!LA_FINANCIAL</vt:lpstr>
      <vt:lpstr>'American Educators'!LA_FINANCIAL</vt:lpstr>
      <vt:lpstr>'American Integrity'!LA_FINANCIAL</vt:lpstr>
      <vt:lpstr>'American Medical'!LA_FINANCIAL</vt:lpstr>
      <vt:lpstr>'American Network'!LA_FINANCIAL</vt:lpstr>
      <vt:lpstr>AmerWstrn!LA_FINANCIAL</vt:lpstr>
      <vt:lpstr>'AMS Life'!LA_FINANCIAL</vt:lpstr>
      <vt:lpstr>'Andrew Jackson'!LA_FINANCIAL</vt:lpstr>
      <vt:lpstr>'Bankers Commercial'!LA_FINANCIAL</vt:lpstr>
      <vt:lpstr>'Bankers Life'!LA_FINANCIAL</vt:lpstr>
      <vt:lpstr>Benicorp!LA_FINANCIAL</vt:lpstr>
      <vt:lpstr>'Booker T Washington'!LA_FINANCIAL</vt:lpstr>
      <vt:lpstr>Centennial!LA_FINANCIAL</vt:lpstr>
      <vt:lpstr>'CO Bankers'!LA_FINANCIAL</vt:lpstr>
      <vt:lpstr>'Coastal States'!LA_FINANCIAL</vt:lpstr>
      <vt:lpstr>'Colorado Health'!LA_FINANCIAL</vt:lpstr>
      <vt:lpstr>'Compass (dbs Meritus)'!LA_FINANCIAL</vt:lpstr>
      <vt:lpstr>'Confed Life &amp; Annty (CLIAC)'!LA_FINANCIAL</vt:lpstr>
      <vt:lpstr>'Confed Life (CLIC)'!LA_FINANCIAL</vt:lpstr>
      <vt:lpstr>'Consolidated National'!LA_FINANCIAL</vt:lpstr>
      <vt:lpstr>'Consumers Choice'!LA_FINANCIAL</vt:lpstr>
      <vt:lpstr>'Consumers Mutual'!LA_FINANCIAL</vt:lpstr>
      <vt:lpstr>'Consumers United'!LA_FINANCIAL</vt:lpstr>
      <vt:lpstr>CoOportunity!LA_FINANCIAL</vt:lpstr>
      <vt:lpstr>'Coordinated Hlth'!LA_FINANCIAL</vt:lpstr>
      <vt:lpstr>'Corporate Life'!LA_FINANCIAL</vt:lpstr>
      <vt:lpstr>'Diamond Benefits'!LA_FINANCIAL</vt:lpstr>
      <vt:lpstr>'EBL Life'!LA_FINANCIAL</vt:lpstr>
      <vt:lpstr>ELNY!LA_FINANCIAL</vt:lpstr>
      <vt:lpstr>'Executive Life'!LA_FINANCIAL</vt:lpstr>
      <vt:lpstr>'Family Guaranty'!LA_FINANCIAL</vt:lpstr>
      <vt:lpstr>'Fidelity Bankers'!LA_FINANCIAL</vt:lpstr>
      <vt:lpstr>'Fidelity Mutual'!LA_FINANCIAL</vt:lpstr>
      <vt:lpstr>'First Capital'!LA_FINANCIAL</vt:lpstr>
      <vt:lpstr>'First Natl'!LA_FINANCIAL</vt:lpstr>
      <vt:lpstr>'First Natl (Thrnr)'!LA_FINANCIAL</vt:lpstr>
      <vt:lpstr>'Franklin American'!LA_FINANCIAL</vt:lpstr>
      <vt:lpstr>'Franklin Protective'!LA_FINANCIAL</vt:lpstr>
      <vt:lpstr>'Freelancers CO-OP'!LA_FINANCIAL</vt:lpstr>
      <vt:lpstr>Freestone!LA_FINANCIAL</vt:lpstr>
      <vt:lpstr>'George Washington'!LA_FINANCIAL</vt:lpstr>
      <vt:lpstr>'Golden State'!LA_FINANCIAL</vt:lpstr>
      <vt:lpstr>'Guarantee Security'!LA_FINANCIAL</vt:lpstr>
      <vt:lpstr>HealthyCT!LA_FINANCIAL</vt:lpstr>
      <vt:lpstr>Imerica!LA_FINANCIAL</vt:lpstr>
      <vt:lpstr>'Inter-American'!LA_FINANCIAL</vt:lpstr>
      <vt:lpstr>'International Fin'!LA_FINANCIAL</vt:lpstr>
      <vt:lpstr>'Investment Life of America'!LA_FINANCIAL</vt:lpstr>
      <vt:lpstr>'Investors Equity'!LA_FINANCIAL</vt:lpstr>
      <vt:lpstr>'Kentucky Central'!LA_FINANCIAL</vt:lpstr>
      <vt:lpstr>'Land of Lincoln'!LA_FINANCIAL</vt:lpstr>
      <vt:lpstr>Legion!LA_FINANCIAL</vt:lpstr>
      <vt:lpstr>'Life Health America'!LA_FINANCIAL</vt:lpstr>
      <vt:lpstr>'Lincoln Memorial'!LA_FINANCIAL</vt:lpstr>
      <vt:lpstr>'London Pac'!LA_FINANCIAL</vt:lpstr>
      <vt:lpstr>Lumbermens!LA_FINANCIAL</vt:lpstr>
      <vt:lpstr>'Medical Savings'!LA_FINANCIAL</vt:lpstr>
      <vt:lpstr>'Memorial Service'!LA_FINANCIAL</vt:lpstr>
      <vt:lpstr>Midcontinent!LA_FINANCIAL</vt:lpstr>
      <vt:lpstr>'Midwest Life'!LA_FINANCIAL</vt:lpstr>
      <vt:lpstr>'Monarch Life'!LA_FINANCIAL</vt:lpstr>
      <vt:lpstr>'Mutual Benefit'!LA_FINANCIAL</vt:lpstr>
      <vt:lpstr>'Mutual Security'!LA_FINANCIAL</vt:lpstr>
      <vt:lpstr>'National Affiliated'!LA_FINANCIAL</vt:lpstr>
      <vt:lpstr>'National Heritage'!LA_FINANCIAL</vt:lpstr>
      <vt:lpstr>'National States'!LA_FINANCIAL</vt:lpstr>
      <vt:lpstr>'Natl American'!LA_FINANCIAL</vt:lpstr>
      <vt:lpstr>'New Jersey Life'!LA_FINANCIAL</vt:lpstr>
      <vt:lpstr>NNIC!LA_FINANCIAL</vt:lpstr>
      <vt:lpstr>'North Carolina Mutual'!LA_FINANCIAL</vt:lpstr>
      <vt:lpstr>'Old Colony Life'!LA_FINANCIAL</vt:lpstr>
      <vt:lpstr>'Old Faithful'!LA_FINANCIAL</vt:lpstr>
      <vt:lpstr>'Pacific Standard'!LA_FINANCIAL</vt:lpstr>
      <vt:lpstr>'Pavonia Life'!LA_FINANCIAL</vt:lpstr>
      <vt:lpstr>'Pen  Treaty'!LA_FINANCIAL</vt:lpstr>
      <vt:lpstr>'Red Rock'!LA_FINANCIAL</vt:lpstr>
      <vt:lpstr>Reliance!LA_FINANCIAL</vt:lpstr>
      <vt:lpstr>SeeChange!LA_FINANCIAL</vt:lpstr>
      <vt:lpstr>'Senior American'!LA_FINANCIAL</vt:lpstr>
      <vt:lpstr>Settlers!LA_FINANCIAL</vt:lpstr>
      <vt:lpstr>Shenandoah!LA_FINANCIAL</vt:lpstr>
      <vt:lpstr>'Southland National Life'!LA_FINANCIAL</vt:lpstr>
      <vt:lpstr>'Standard Life IN'!LA_FINANCIAL</vt:lpstr>
      <vt:lpstr>'States General'!LA_FINANCIAL</vt:lpstr>
      <vt:lpstr>Statesman!LA_FINANCIAL</vt:lpstr>
      <vt:lpstr>'Summit National'!LA_FINANCIAL</vt:lpstr>
      <vt:lpstr>Supreme!LA_FINANCIAL</vt:lpstr>
      <vt:lpstr>Time!LA_FINANCIAL</vt:lpstr>
      <vt:lpstr>'Total Summary'!LA_FINANCIAL</vt:lpstr>
      <vt:lpstr>Underwriters!LA_FINANCIAL</vt:lpstr>
      <vt:lpstr>Unison!LA_FINANCIAL</vt:lpstr>
      <vt:lpstr>'United Republic'!LA_FINANCIAL</vt:lpstr>
      <vt:lpstr>'Universal Health Care'!LA_FINANCIAL</vt:lpstr>
      <vt:lpstr>'Universal Life'!LA_FINANCIAL</vt:lpstr>
      <vt:lpstr>Universe!LA_FINANCIAL</vt:lpstr>
      <vt:lpstr>Villanova!LA_FINANCIAL</vt:lpstr>
      <vt:lpstr>'AF&amp;L'!LESS_FINANCIAL</vt:lpstr>
      <vt:lpstr>'Alabama Life'!LESS_FINANCIAL</vt:lpstr>
      <vt:lpstr>'Amer Life Asr'!LESS_FINANCIAL</vt:lpstr>
      <vt:lpstr>'Amer Std Life Acc'!LESS_FINANCIAL</vt:lpstr>
      <vt:lpstr>'American Chambers'!LESS_FINANCIAL</vt:lpstr>
      <vt:lpstr>'American Community'!LESS_FINANCIAL</vt:lpstr>
      <vt:lpstr>'American Educators'!LESS_FINANCIAL</vt:lpstr>
      <vt:lpstr>'American Integrity'!LESS_FINANCIAL</vt:lpstr>
      <vt:lpstr>'American Medical'!LESS_FINANCIAL</vt:lpstr>
      <vt:lpstr>'American Network'!LESS_FINANCIAL</vt:lpstr>
      <vt:lpstr>AmerWstrn!LESS_FINANCIAL</vt:lpstr>
      <vt:lpstr>'AMS Life'!LESS_FINANCIAL</vt:lpstr>
      <vt:lpstr>'Andrew Jackson'!LESS_FINANCIAL</vt:lpstr>
      <vt:lpstr>'Bankers Commercial'!LESS_FINANCIAL</vt:lpstr>
      <vt:lpstr>'Bankers Life'!LESS_FINANCIAL</vt:lpstr>
      <vt:lpstr>Benicorp!LESS_FINANCIAL</vt:lpstr>
      <vt:lpstr>'Booker T Washington'!LESS_FINANCIAL</vt:lpstr>
      <vt:lpstr>Centennial!LESS_FINANCIAL</vt:lpstr>
      <vt:lpstr>'CO Bankers'!LESS_FINANCIAL</vt:lpstr>
      <vt:lpstr>'Coastal States'!LESS_FINANCIAL</vt:lpstr>
      <vt:lpstr>'Colorado Health'!LESS_FINANCIAL</vt:lpstr>
      <vt:lpstr>'Compass (dbs Meritus)'!LESS_FINANCIAL</vt:lpstr>
      <vt:lpstr>'Confed Life &amp; Annty (CLIAC)'!LESS_FINANCIAL</vt:lpstr>
      <vt:lpstr>'Confed Life (CLIC)'!LESS_FINANCIAL</vt:lpstr>
      <vt:lpstr>'Consolidated National'!LESS_FINANCIAL</vt:lpstr>
      <vt:lpstr>'Consumers Choice'!LESS_FINANCIAL</vt:lpstr>
      <vt:lpstr>'Consumers Mutual'!LESS_FINANCIAL</vt:lpstr>
      <vt:lpstr>'Consumers United'!LESS_FINANCIAL</vt:lpstr>
      <vt:lpstr>CoOportunity!LESS_FINANCIAL</vt:lpstr>
      <vt:lpstr>'Coordinated Hlth'!LESS_FINANCIAL</vt:lpstr>
      <vt:lpstr>'Corporate Life'!LESS_FINANCIAL</vt:lpstr>
      <vt:lpstr>'Diamond Benefits'!LESS_FINANCIAL</vt:lpstr>
      <vt:lpstr>'EBL Life'!LESS_FINANCIAL</vt:lpstr>
      <vt:lpstr>ELNY!LESS_FINANCIAL</vt:lpstr>
      <vt:lpstr>'Executive Life'!LESS_FINANCIAL</vt:lpstr>
      <vt:lpstr>'Family Guaranty'!LESS_FINANCIAL</vt:lpstr>
      <vt:lpstr>'Fidelity Bankers'!LESS_FINANCIAL</vt:lpstr>
      <vt:lpstr>'Fidelity Mutual'!LESS_FINANCIAL</vt:lpstr>
      <vt:lpstr>'First Capital'!LESS_FINANCIAL</vt:lpstr>
      <vt:lpstr>'First Natl'!LESS_FINANCIAL</vt:lpstr>
      <vt:lpstr>'First Natl (Thrnr)'!LESS_FINANCIAL</vt:lpstr>
      <vt:lpstr>'Franklin American'!LESS_FINANCIAL</vt:lpstr>
      <vt:lpstr>'Franklin Protective'!LESS_FINANCIAL</vt:lpstr>
      <vt:lpstr>'Freelancers CO-OP'!LESS_FINANCIAL</vt:lpstr>
      <vt:lpstr>Freestone!LESS_FINANCIAL</vt:lpstr>
      <vt:lpstr>'George Washington'!LESS_FINANCIAL</vt:lpstr>
      <vt:lpstr>'Golden State'!LESS_FINANCIAL</vt:lpstr>
      <vt:lpstr>'Guarantee Security'!LESS_FINANCIAL</vt:lpstr>
      <vt:lpstr>HealthyCT!LESS_FINANCIAL</vt:lpstr>
      <vt:lpstr>Imerica!LESS_FINANCIAL</vt:lpstr>
      <vt:lpstr>'Inter-American'!LESS_FINANCIAL</vt:lpstr>
      <vt:lpstr>'International Fin'!LESS_FINANCIAL</vt:lpstr>
      <vt:lpstr>'Investment Life of America'!LESS_FINANCIAL</vt:lpstr>
      <vt:lpstr>'Investors Equity'!LESS_FINANCIAL</vt:lpstr>
      <vt:lpstr>'Kentucky Central'!LESS_FINANCIAL</vt:lpstr>
      <vt:lpstr>'Land of Lincoln'!LESS_FINANCIAL</vt:lpstr>
      <vt:lpstr>Legion!LESS_FINANCIAL</vt:lpstr>
      <vt:lpstr>'Life Health America'!LESS_FINANCIAL</vt:lpstr>
      <vt:lpstr>'Lincoln Memorial'!LESS_FINANCIAL</vt:lpstr>
      <vt:lpstr>'London Pac'!LESS_FINANCIAL</vt:lpstr>
      <vt:lpstr>Lumbermens!LESS_FINANCIAL</vt:lpstr>
      <vt:lpstr>'Medical Savings'!LESS_FINANCIAL</vt:lpstr>
      <vt:lpstr>'Memorial Service'!LESS_FINANCIAL</vt:lpstr>
      <vt:lpstr>Midcontinent!LESS_FINANCIAL</vt:lpstr>
      <vt:lpstr>'Midwest Life'!LESS_FINANCIAL</vt:lpstr>
      <vt:lpstr>'Monarch Life'!LESS_FINANCIAL</vt:lpstr>
      <vt:lpstr>'Mutual Benefit'!LESS_FINANCIAL</vt:lpstr>
      <vt:lpstr>'Mutual Security'!LESS_FINANCIAL</vt:lpstr>
      <vt:lpstr>'National Affiliated'!LESS_FINANCIAL</vt:lpstr>
      <vt:lpstr>'National Heritage'!LESS_FINANCIAL</vt:lpstr>
      <vt:lpstr>'National States'!LESS_FINANCIAL</vt:lpstr>
      <vt:lpstr>'Natl American'!LESS_FINANCIAL</vt:lpstr>
      <vt:lpstr>'New Jersey Life'!LESS_FINANCIAL</vt:lpstr>
      <vt:lpstr>NNIC!LESS_FINANCIAL</vt:lpstr>
      <vt:lpstr>'North Carolina Mutual'!LESS_FINANCIAL</vt:lpstr>
      <vt:lpstr>'Old Colony Life'!LESS_FINANCIAL</vt:lpstr>
      <vt:lpstr>'Old Faithful'!LESS_FINANCIAL</vt:lpstr>
      <vt:lpstr>'Pacific Standard'!LESS_FINANCIAL</vt:lpstr>
      <vt:lpstr>'Pavonia Life'!LESS_FINANCIAL</vt:lpstr>
      <vt:lpstr>'Pen  Treaty'!LESS_FINANCIAL</vt:lpstr>
      <vt:lpstr>'Red Rock'!LESS_FINANCIAL</vt:lpstr>
      <vt:lpstr>Reliance!LESS_FINANCIAL</vt:lpstr>
      <vt:lpstr>SeeChange!LESS_FINANCIAL</vt:lpstr>
      <vt:lpstr>'Senior American'!LESS_FINANCIAL</vt:lpstr>
      <vt:lpstr>Settlers!LESS_FINANCIAL</vt:lpstr>
      <vt:lpstr>Shenandoah!LESS_FINANCIAL</vt:lpstr>
      <vt:lpstr>'Southland National Life'!LESS_FINANCIAL</vt:lpstr>
      <vt:lpstr>'Standard Life IN'!LESS_FINANCIAL</vt:lpstr>
      <vt:lpstr>'States General'!LESS_FINANCIAL</vt:lpstr>
      <vt:lpstr>Statesman!LESS_FINANCIAL</vt:lpstr>
      <vt:lpstr>'Summit National'!LESS_FINANCIAL</vt:lpstr>
      <vt:lpstr>Supreme!LESS_FINANCIAL</vt:lpstr>
      <vt:lpstr>Time!LESS_FINANCIAL</vt:lpstr>
      <vt:lpstr>Underwriters!LESS_FINANCIAL</vt:lpstr>
      <vt:lpstr>Unison!LESS_FINANCIAL</vt:lpstr>
      <vt:lpstr>'United Republic'!LESS_FINANCIAL</vt:lpstr>
      <vt:lpstr>'Universal Health Care'!LESS_FINANCIAL</vt:lpstr>
      <vt:lpstr>'Universal Life'!LESS_FINANCIAL</vt:lpstr>
      <vt:lpstr>Universe!LESS_FINANCIAL</vt:lpstr>
      <vt:lpstr>Villanova!LESS_FINANCIAL</vt:lpstr>
      <vt:lpstr>'AF&amp;L'!LIFE</vt:lpstr>
      <vt:lpstr>'Alabama Life'!LIFE</vt:lpstr>
      <vt:lpstr>'Amer Life Asr'!LIFE</vt:lpstr>
      <vt:lpstr>'Amer Std Life Acc'!LIFE</vt:lpstr>
      <vt:lpstr>'American Chambers'!LIFE</vt:lpstr>
      <vt:lpstr>'American Community'!LIFE</vt:lpstr>
      <vt:lpstr>'American Educators'!LIFE</vt:lpstr>
      <vt:lpstr>'American Integrity'!LIFE</vt:lpstr>
      <vt:lpstr>'American Medical'!LIFE</vt:lpstr>
      <vt:lpstr>'American Network'!LIFE</vt:lpstr>
      <vt:lpstr>AmerWstrn!LIFE</vt:lpstr>
      <vt:lpstr>'AMS Life'!LIFE</vt:lpstr>
      <vt:lpstr>'Andrew Jackson'!LIFE</vt:lpstr>
      <vt:lpstr>'Bankers Commercial'!LIFE</vt:lpstr>
      <vt:lpstr>'Bankers Life'!LIFE</vt:lpstr>
      <vt:lpstr>Benicorp!LIFE</vt:lpstr>
      <vt:lpstr>'Booker T Washington'!LIFE</vt:lpstr>
      <vt:lpstr>Centennial!LIFE</vt:lpstr>
      <vt:lpstr>'Closed Summary'!LIFE</vt:lpstr>
      <vt:lpstr>'CO Bankers'!LIFE</vt:lpstr>
      <vt:lpstr>'Coastal States'!LIFE</vt:lpstr>
      <vt:lpstr>'Colorado Health'!LIFE</vt:lpstr>
      <vt:lpstr>'Compass (dbs Meritus)'!LIFE</vt:lpstr>
      <vt:lpstr>'Confed Life &amp; Annty (CLIAC)'!LIFE</vt:lpstr>
      <vt:lpstr>'Confed Life (CLIC)'!LIFE</vt:lpstr>
      <vt:lpstr>'Consolidated National'!LIFE</vt:lpstr>
      <vt:lpstr>'Consumers Choice'!LIFE</vt:lpstr>
      <vt:lpstr>'Consumers Mutual'!LIFE</vt:lpstr>
      <vt:lpstr>'Consumers United'!LIFE</vt:lpstr>
      <vt:lpstr>CoOportunity!LIFE</vt:lpstr>
      <vt:lpstr>'Coordinated Hlth'!LIFE</vt:lpstr>
      <vt:lpstr>'Corporate Life'!LIFE</vt:lpstr>
      <vt:lpstr>'Diamond Benefits'!LIFE</vt:lpstr>
      <vt:lpstr>'EBL Life'!LIFE</vt:lpstr>
      <vt:lpstr>ELNY!LIFE</vt:lpstr>
      <vt:lpstr>'Estate Closed Summary'!LIFE</vt:lpstr>
      <vt:lpstr>'Executive Life'!LIFE</vt:lpstr>
      <vt:lpstr>'Family Guaranty'!LIFE</vt:lpstr>
      <vt:lpstr>'Fidelity Bankers'!LIFE</vt:lpstr>
      <vt:lpstr>'Fidelity Mutual'!LIFE</vt:lpstr>
      <vt:lpstr>'First Capital'!LIFE</vt:lpstr>
      <vt:lpstr>'First Natl'!LIFE</vt:lpstr>
      <vt:lpstr>'First Natl (Thrnr)'!LIFE</vt:lpstr>
      <vt:lpstr>'Franklin American'!LIFE</vt:lpstr>
      <vt:lpstr>'Franklin Protective'!LIFE</vt:lpstr>
      <vt:lpstr>'Freelancers CO-OP'!LIFE</vt:lpstr>
      <vt:lpstr>Freestone!LIFE</vt:lpstr>
      <vt:lpstr>'George Washington'!LIFE</vt:lpstr>
      <vt:lpstr>'Golden State'!LIFE</vt:lpstr>
      <vt:lpstr>'Guarantee Security'!LIFE</vt:lpstr>
      <vt:lpstr>HealthyCT!LIFE</vt:lpstr>
      <vt:lpstr>Imerica!LIFE</vt:lpstr>
      <vt:lpstr>'Inter-American'!LIFE</vt:lpstr>
      <vt:lpstr>'International Fin'!LIFE</vt:lpstr>
      <vt:lpstr>'Investment Life of America'!LIFE</vt:lpstr>
      <vt:lpstr>'Investors Equity'!LIFE</vt:lpstr>
      <vt:lpstr>'Kentucky Central'!LIFE</vt:lpstr>
      <vt:lpstr>'Land of Lincoln'!LIFE</vt:lpstr>
      <vt:lpstr>Legion!LIFE</vt:lpstr>
      <vt:lpstr>'Life Health America'!LIFE</vt:lpstr>
      <vt:lpstr>'Lincoln Memorial'!LIFE</vt:lpstr>
      <vt:lpstr>'London Pac'!LIFE</vt:lpstr>
      <vt:lpstr>Lumbermens!LIFE</vt:lpstr>
      <vt:lpstr>'Medical Savings'!LIFE</vt:lpstr>
      <vt:lpstr>'Memorial Service'!LIFE</vt:lpstr>
      <vt:lpstr>Midcontinent!LIFE</vt:lpstr>
      <vt:lpstr>'Midwest Life'!LIFE</vt:lpstr>
      <vt:lpstr>'Monarch Life'!LIFE</vt:lpstr>
      <vt:lpstr>'Mutual Benefit'!LIFE</vt:lpstr>
      <vt:lpstr>'Mutual Security'!LIFE</vt:lpstr>
      <vt:lpstr>'National Affiliated'!LIFE</vt:lpstr>
      <vt:lpstr>'National Heritage'!LIFE</vt:lpstr>
      <vt:lpstr>'National States'!LIFE</vt:lpstr>
      <vt:lpstr>'Natl American'!LIFE</vt:lpstr>
      <vt:lpstr>'New Jersey Life'!LIFE</vt:lpstr>
      <vt:lpstr>NNIC!LIFE</vt:lpstr>
      <vt:lpstr>'North Carolina Mutual'!LIFE</vt:lpstr>
      <vt:lpstr>'Old Colony Life'!LIFE</vt:lpstr>
      <vt:lpstr>'Old Faithful'!LIFE</vt:lpstr>
      <vt:lpstr>'Open Summary'!LIFE</vt:lpstr>
      <vt:lpstr>'Pacific Standard'!LIFE</vt:lpstr>
      <vt:lpstr>'Pavonia Life'!LIFE</vt:lpstr>
      <vt:lpstr>'Pen  Treaty'!LIFE</vt:lpstr>
      <vt:lpstr>'Pre-Liquidation Summary'!LIFE</vt:lpstr>
      <vt:lpstr>'Red Rock'!LIFE</vt:lpstr>
      <vt:lpstr>'Released from Oversight Summary'!LIFE</vt:lpstr>
      <vt:lpstr>Reliance!LIFE</vt:lpstr>
      <vt:lpstr>SeeChange!LIFE</vt:lpstr>
      <vt:lpstr>'Senior American'!LIFE</vt:lpstr>
      <vt:lpstr>Settlers!LIFE</vt:lpstr>
      <vt:lpstr>Shenandoah!LIFE</vt:lpstr>
      <vt:lpstr>'Southland National Life'!LIFE</vt:lpstr>
      <vt:lpstr>'Standard Life IN'!LIFE</vt:lpstr>
      <vt:lpstr>'States General'!LIFE</vt:lpstr>
      <vt:lpstr>Statesman!LIFE</vt:lpstr>
      <vt:lpstr>'Summit National'!LIFE</vt:lpstr>
      <vt:lpstr>Supreme!LIFE</vt:lpstr>
      <vt:lpstr>Time!LIFE</vt:lpstr>
      <vt:lpstr>'Total Summary'!LIFE</vt:lpstr>
      <vt:lpstr>Underwriters!LIFE</vt:lpstr>
      <vt:lpstr>Unison!LIFE</vt:lpstr>
      <vt:lpstr>'United Republic'!LIFE</vt:lpstr>
      <vt:lpstr>'Universal Health Care'!LIFE</vt:lpstr>
      <vt:lpstr>'Universal Life'!LIFE</vt:lpstr>
      <vt:lpstr>Universe!LIFE</vt:lpstr>
      <vt:lpstr>Villanova!LIFE</vt:lpstr>
      <vt:lpstr>'AF&amp;L'!LIFE_CALLED</vt:lpstr>
      <vt:lpstr>'Alabama Life'!LIFE_CALLED</vt:lpstr>
      <vt:lpstr>'Amer Life Asr'!LIFE_CALLED</vt:lpstr>
      <vt:lpstr>'Amer Std Life Acc'!LIFE_CALLED</vt:lpstr>
      <vt:lpstr>'American Chambers'!LIFE_CALLED</vt:lpstr>
      <vt:lpstr>'American Community'!LIFE_CALLED</vt:lpstr>
      <vt:lpstr>'American Educators'!LIFE_CALLED</vt:lpstr>
      <vt:lpstr>'American Integrity'!LIFE_CALLED</vt:lpstr>
      <vt:lpstr>'American Medical'!LIFE_CALLED</vt:lpstr>
      <vt:lpstr>'American Network'!LIFE_CALLED</vt:lpstr>
      <vt:lpstr>AmerWstrn!LIFE_CALLED</vt:lpstr>
      <vt:lpstr>'AMS Life'!LIFE_CALLED</vt:lpstr>
      <vt:lpstr>'Andrew Jackson'!LIFE_CALLED</vt:lpstr>
      <vt:lpstr>'Bankers Commercial'!LIFE_CALLED</vt:lpstr>
      <vt:lpstr>'Bankers Life'!LIFE_CALLED</vt:lpstr>
      <vt:lpstr>Benicorp!LIFE_CALLED</vt:lpstr>
      <vt:lpstr>'Booker T Washington'!LIFE_CALLED</vt:lpstr>
      <vt:lpstr>Centennial!LIFE_CALLED</vt:lpstr>
      <vt:lpstr>'CO Bankers'!LIFE_CALLED</vt:lpstr>
      <vt:lpstr>'Coastal States'!LIFE_CALLED</vt:lpstr>
      <vt:lpstr>'Colorado Health'!LIFE_CALLED</vt:lpstr>
      <vt:lpstr>'Compass (dbs Meritus)'!LIFE_CALLED</vt:lpstr>
      <vt:lpstr>'Confed Life &amp; Annty (CLIAC)'!LIFE_CALLED</vt:lpstr>
      <vt:lpstr>'Confed Life (CLIC)'!LIFE_CALLED</vt:lpstr>
      <vt:lpstr>'Consolidated National'!LIFE_CALLED</vt:lpstr>
      <vt:lpstr>'Consumers Choice'!LIFE_CALLED</vt:lpstr>
      <vt:lpstr>'Consumers Mutual'!LIFE_CALLED</vt:lpstr>
      <vt:lpstr>'Consumers United'!LIFE_CALLED</vt:lpstr>
      <vt:lpstr>CoOportunity!LIFE_CALLED</vt:lpstr>
      <vt:lpstr>'Coordinated Hlth'!LIFE_CALLED</vt:lpstr>
      <vt:lpstr>'Corporate Life'!LIFE_CALLED</vt:lpstr>
      <vt:lpstr>'Diamond Benefits'!LIFE_CALLED</vt:lpstr>
      <vt:lpstr>'EBL Life'!LIFE_CALLED</vt:lpstr>
      <vt:lpstr>ELNY!LIFE_CALLED</vt:lpstr>
      <vt:lpstr>'Executive Life'!LIFE_CALLED</vt:lpstr>
      <vt:lpstr>'Family Guaranty'!LIFE_CALLED</vt:lpstr>
      <vt:lpstr>'Fidelity Bankers'!LIFE_CALLED</vt:lpstr>
      <vt:lpstr>'Fidelity Mutual'!LIFE_CALLED</vt:lpstr>
      <vt:lpstr>'First Capital'!LIFE_CALLED</vt:lpstr>
      <vt:lpstr>'First Natl'!LIFE_CALLED</vt:lpstr>
      <vt:lpstr>'First Natl (Thrnr)'!LIFE_CALLED</vt:lpstr>
      <vt:lpstr>'Franklin American'!LIFE_CALLED</vt:lpstr>
      <vt:lpstr>'Franklin Protective'!LIFE_CALLED</vt:lpstr>
      <vt:lpstr>'Freelancers CO-OP'!LIFE_CALLED</vt:lpstr>
      <vt:lpstr>Freestone!LIFE_CALLED</vt:lpstr>
      <vt:lpstr>'George Washington'!LIFE_CALLED</vt:lpstr>
      <vt:lpstr>'Golden State'!LIFE_CALLED</vt:lpstr>
      <vt:lpstr>'Guarantee Security'!LIFE_CALLED</vt:lpstr>
      <vt:lpstr>HealthyCT!LIFE_CALLED</vt:lpstr>
      <vt:lpstr>Imerica!LIFE_CALLED</vt:lpstr>
      <vt:lpstr>'Inter-American'!LIFE_CALLED</vt:lpstr>
      <vt:lpstr>'International Fin'!LIFE_CALLED</vt:lpstr>
      <vt:lpstr>'Investment Life of America'!LIFE_CALLED</vt:lpstr>
      <vt:lpstr>'Investors Equity'!LIFE_CALLED</vt:lpstr>
      <vt:lpstr>'Kentucky Central'!LIFE_CALLED</vt:lpstr>
      <vt:lpstr>'Land of Lincoln'!LIFE_CALLED</vt:lpstr>
      <vt:lpstr>Legion!LIFE_CALLED</vt:lpstr>
      <vt:lpstr>'Life Health America'!LIFE_CALLED</vt:lpstr>
      <vt:lpstr>'Lincoln Memorial'!LIFE_CALLED</vt:lpstr>
      <vt:lpstr>'London Pac'!LIFE_CALLED</vt:lpstr>
      <vt:lpstr>Lumbermens!LIFE_CALLED</vt:lpstr>
      <vt:lpstr>'Medical Savings'!LIFE_CALLED</vt:lpstr>
      <vt:lpstr>'Memorial Service'!LIFE_CALLED</vt:lpstr>
      <vt:lpstr>Midcontinent!LIFE_CALLED</vt:lpstr>
      <vt:lpstr>'Midwest Life'!LIFE_CALLED</vt:lpstr>
      <vt:lpstr>'Monarch Life'!LIFE_CALLED</vt:lpstr>
      <vt:lpstr>'Mutual Benefit'!LIFE_CALLED</vt:lpstr>
      <vt:lpstr>'Mutual Security'!LIFE_CALLED</vt:lpstr>
      <vt:lpstr>'National Affiliated'!LIFE_CALLED</vt:lpstr>
      <vt:lpstr>'National Heritage'!LIFE_CALLED</vt:lpstr>
      <vt:lpstr>'National States'!LIFE_CALLED</vt:lpstr>
      <vt:lpstr>'Natl American'!LIFE_CALLED</vt:lpstr>
      <vt:lpstr>'New Jersey Life'!LIFE_CALLED</vt:lpstr>
      <vt:lpstr>NNIC!LIFE_CALLED</vt:lpstr>
      <vt:lpstr>'North Carolina Mutual'!LIFE_CALLED</vt:lpstr>
      <vt:lpstr>'Old Colony Life'!LIFE_CALLED</vt:lpstr>
      <vt:lpstr>'Old Faithful'!LIFE_CALLED</vt:lpstr>
      <vt:lpstr>'Pacific Standard'!LIFE_CALLED</vt:lpstr>
      <vt:lpstr>'Pavonia Life'!LIFE_CALLED</vt:lpstr>
      <vt:lpstr>'Pen  Treaty'!LIFE_CALLED</vt:lpstr>
      <vt:lpstr>'Red Rock'!LIFE_CALLED</vt:lpstr>
      <vt:lpstr>Reliance!LIFE_CALLED</vt:lpstr>
      <vt:lpstr>SeeChange!LIFE_CALLED</vt:lpstr>
      <vt:lpstr>'Senior American'!LIFE_CALLED</vt:lpstr>
      <vt:lpstr>Settlers!LIFE_CALLED</vt:lpstr>
      <vt:lpstr>Shenandoah!LIFE_CALLED</vt:lpstr>
      <vt:lpstr>'Southland National Life'!LIFE_CALLED</vt:lpstr>
      <vt:lpstr>'Standard Life IN'!LIFE_CALLED</vt:lpstr>
      <vt:lpstr>'States General'!LIFE_CALLED</vt:lpstr>
      <vt:lpstr>Statesman!LIFE_CALLED</vt:lpstr>
      <vt:lpstr>'Summit National'!LIFE_CALLED</vt:lpstr>
      <vt:lpstr>Supreme!LIFE_CALLED</vt:lpstr>
      <vt:lpstr>Time!LIFE_CALLED</vt:lpstr>
      <vt:lpstr>'Total Summary'!LIFE_CALLED</vt:lpstr>
      <vt:lpstr>Underwriters!LIFE_CALLED</vt:lpstr>
      <vt:lpstr>Unison!LIFE_CALLED</vt:lpstr>
      <vt:lpstr>'United Republic'!LIFE_CALLED</vt:lpstr>
      <vt:lpstr>'Universal Health Care'!LIFE_CALLED</vt:lpstr>
      <vt:lpstr>'Universal Life'!LIFE_CALLED</vt:lpstr>
      <vt:lpstr>Universe!LIFE_CALLED</vt:lpstr>
      <vt:lpstr>Villanova!LIFE_CALLED</vt:lpstr>
      <vt:lpstr>'AF&amp;L'!LIFE_REFUNDED</vt:lpstr>
      <vt:lpstr>'Alabama Life'!LIFE_REFUNDED</vt:lpstr>
      <vt:lpstr>'Amer Life Asr'!LIFE_REFUNDED</vt:lpstr>
      <vt:lpstr>'Amer Std Life Acc'!LIFE_REFUNDED</vt:lpstr>
      <vt:lpstr>'American Chambers'!LIFE_REFUNDED</vt:lpstr>
      <vt:lpstr>'American Community'!LIFE_REFUNDED</vt:lpstr>
      <vt:lpstr>'American Educators'!LIFE_REFUNDED</vt:lpstr>
      <vt:lpstr>'American Integrity'!LIFE_REFUNDED</vt:lpstr>
      <vt:lpstr>'American Medical'!LIFE_REFUNDED</vt:lpstr>
      <vt:lpstr>'American Network'!LIFE_REFUNDED</vt:lpstr>
      <vt:lpstr>AmerWstrn!LIFE_REFUNDED</vt:lpstr>
      <vt:lpstr>'AMS Life'!LIFE_REFUNDED</vt:lpstr>
      <vt:lpstr>'Andrew Jackson'!LIFE_REFUNDED</vt:lpstr>
      <vt:lpstr>'Bankers Commercial'!LIFE_REFUNDED</vt:lpstr>
      <vt:lpstr>'Bankers Life'!LIFE_REFUNDED</vt:lpstr>
      <vt:lpstr>Benicorp!LIFE_REFUNDED</vt:lpstr>
      <vt:lpstr>'Booker T Washington'!LIFE_REFUNDED</vt:lpstr>
      <vt:lpstr>Centennial!LIFE_REFUNDED</vt:lpstr>
      <vt:lpstr>'CO Bankers'!LIFE_REFUNDED</vt:lpstr>
      <vt:lpstr>'Coastal States'!LIFE_REFUNDED</vt:lpstr>
      <vt:lpstr>'Colorado Health'!LIFE_REFUNDED</vt:lpstr>
      <vt:lpstr>'Compass (dbs Meritus)'!LIFE_REFUNDED</vt:lpstr>
      <vt:lpstr>'Confed Life &amp; Annty (CLIAC)'!LIFE_REFUNDED</vt:lpstr>
      <vt:lpstr>'Confed Life (CLIC)'!LIFE_REFUNDED</vt:lpstr>
      <vt:lpstr>'Consolidated National'!LIFE_REFUNDED</vt:lpstr>
      <vt:lpstr>'Consumers Choice'!LIFE_REFUNDED</vt:lpstr>
      <vt:lpstr>'Consumers Mutual'!LIFE_REFUNDED</vt:lpstr>
      <vt:lpstr>'Consumers United'!LIFE_REFUNDED</vt:lpstr>
      <vt:lpstr>CoOportunity!LIFE_REFUNDED</vt:lpstr>
      <vt:lpstr>'Coordinated Hlth'!LIFE_REFUNDED</vt:lpstr>
      <vt:lpstr>'Corporate Life'!LIFE_REFUNDED</vt:lpstr>
      <vt:lpstr>'Diamond Benefits'!LIFE_REFUNDED</vt:lpstr>
      <vt:lpstr>'EBL Life'!LIFE_REFUNDED</vt:lpstr>
      <vt:lpstr>ELNY!LIFE_REFUNDED</vt:lpstr>
      <vt:lpstr>'Executive Life'!LIFE_REFUNDED</vt:lpstr>
      <vt:lpstr>'Family Guaranty'!LIFE_REFUNDED</vt:lpstr>
      <vt:lpstr>'Fidelity Bankers'!LIFE_REFUNDED</vt:lpstr>
      <vt:lpstr>'Fidelity Mutual'!LIFE_REFUNDED</vt:lpstr>
      <vt:lpstr>'First Capital'!LIFE_REFUNDED</vt:lpstr>
      <vt:lpstr>'First Natl'!LIFE_REFUNDED</vt:lpstr>
      <vt:lpstr>'First Natl (Thrnr)'!LIFE_REFUNDED</vt:lpstr>
      <vt:lpstr>'Franklin American'!LIFE_REFUNDED</vt:lpstr>
      <vt:lpstr>'Franklin Protective'!LIFE_REFUNDED</vt:lpstr>
      <vt:lpstr>'Freelancers CO-OP'!LIFE_REFUNDED</vt:lpstr>
      <vt:lpstr>Freestone!LIFE_REFUNDED</vt:lpstr>
      <vt:lpstr>'George Washington'!LIFE_REFUNDED</vt:lpstr>
      <vt:lpstr>'Golden State'!LIFE_REFUNDED</vt:lpstr>
      <vt:lpstr>'Guarantee Security'!LIFE_REFUNDED</vt:lpstr>
      <vt:lpstr>HealthyCT!LIFE_REFUNDED</vt:lpstr>
      <vt:lpstr>Imerica!LIFE_REFUNDED</vt:lpstr>
      <vt:lpstr>'Inter-American'!LIFE_REFUNDED</vt:lpstr>
      <vt:lpstr>'International Fin'!LIFE_REFUNDED</vt:lpstr>
      <vt:lpstr>'Investment Life of America'!LIFE_REFUNDED</vt:lpstr>
      <vt:lpstr>'Investors Equity'!LIFE_REFUNDED</vt:lpstr>
      <vt:lpstr>'Kentucky Central'!LIFE_REFUNDED</vt:lpstr>
      <vt:lpstr>'Land of Lincoln'!LIFE_REFUNDED</vt:lpstr>
      <vt:lpstr>Legion!LIFE_REFUNDED</vt:lpstr>
      <vt:lpstr>'Life Health America'!LIFE_REFUNDED</vt:lpstr>
      <vt:lpstr>'Lincoln Memorial'!LIFE_REFUNDED</vt:lpstr>
      <vt:lpstr>'London Pac'!LIFE_REFUNDED</vt:lpstr>
      <vt:lpstr>Lumbermens!LIFE_REFUNDED</vt:lpstr>
      <vt:lpstr>'Medical Savings'!LIFE_REFUNDED</vt:lpstr>
      <vt:lpstr>'Memorial Service'!LIFE_REFUNDED</vt:lpstr>
      <vt:lpstr>Midcontinent!LIFE_REFUNDED</vt:lpstr>
      <vt:lpstr>'Midwest Life'!LIFE_REFUNDED</vt:lpstr>
      <vt:lpstr>'Monarch Life'!LIFE_REFUNDED</vt:lpstr>
      <vt:lpstr>'Mutual Benefit'!LIFE_REFUNDED</vt:lpstr>
      <vt:lpstr>'Mutual Security'!LIFE_REFUNDED</vt:lpstr>
      <vt:lpstr>'National Affiliated'!LIFE_REFUNDED</vt:lpstr>
      <vt:lpstr>'National Heritage'!LIFE_REFUNDED</vt:lpstr>
      <vt:lpstr>'National States'!LIFE_REFUNDED</vt:lpstr>
      <vt:lpstr>'Natl American'!LIFE_REFUNDED</vt:lpstr>
      <vt:lpstr>'New Jersey Life'!LIFE_REFUNDED</vt:lpstr>
      <vt:lpstr>NNIC!LIFE_REFUNDED</vt:lpstr>
      <vt:lpstr>'North Carolina Mutual'!LIFE_REFUNDED</vt:lpstr>
      <vt:lpstr>'Old Colony Life'!LIFE_REFUNDED</vt:lpstr>
      <vt:lpstr>'Old Faithful'!LIFE_REFUNDED</vt:lpstr>
      <vt:lpstr>'Pacific Standard'!LIFE_REFUNDED</vt:lpstr>
      <vt:lpstr>'Pavonia Life'!LIFE_REFUNDED</vt:lpstr>
      <vt:lpstr>'Pen  Treaty'!LIFE_REFUNDED</vt:lpstr>
      <vt:lpstr>'Red Rock'!LIFE_REFUNDED</vt:lpstr>
      <vt:lpstr>Reliance!LIFE_REFUNDED</vt:lpstr>
      <vt:lpstr>SeeChange!LIFE_REFUNDED</vt:lpstr>
      <vt:lpstr>'Senior American'!LIFE_REFUNDED</vt:lpstr>
      <vt:lpstr>Settlers!LIFE_REFUNDED</vt:lpstr>
      <vt:lpstr>Shenandoah!LIFE_REFUNDED</vt:lpstr>
      <vt:lpstr>'Southland National Life'!LIFE_REFUNDED</vt:lpstr>
      <vt:lpstr>'Standard Life IN'!LIFE_REFUNDED</vt:lpstr>
      <vt:lpstr>'States General'!LIFE_REFUNDED</vt:lpstr>
      <vt:lpstr>Statesman!LIFE_REFUNDED</vt:lpstr>
      <vt:lpstr>'Summit National'!LIFE_REFUNDED</vt:lpstr>
      <vt:lpstr>Supreme!LIFE_REFUNDED</vt:lpstr>
      <vt:lpstr>Time!LIFE_REFUNDED</vt:lpstr>
      <vt:lpstr>'Total Summary'!LIFE_REFUNDED</vt:lpstr>
      <vt:lpstr>Underwriters!LIFE_REFUNDED</vt:lpstr>
      <vt:lpstr>Unison!LIFE_REFUNDED</vt:lpstr>
      <vt:lpstr>'United Republic'!LIFE_REFUNDED</vt:lpstr>
      <vt:lpstr>'Universal Health Care'!LIFE_REFUNDED</vt:lpstr>
      <vt:lpstr>'Universal Life'!LIFE_REFUNDED</vt:lpstr>
      <vt:lpstr>Universe!LIFE_REFUNDED</vt:lpstr>
      <vt:lpstr>Villanova!LIFE_REFUNDED</vt:lpstr>
      <vt:lpstr>'AF&amp;L'!LTC</vt:lpstr>
      <vt:lpstr>'Alabama Life'!LTC</vt:lpstr>
      <vt:lpstr>'Amer Life Asr'!LTC</vt:lpstr>
      <vt:lpstr>'Amer Std Life Acc'!LTC</vt:lpstr>
      <vt:lpstr>'American Chambers'!LTC</vt:lpstr>
      <vt:lpstr>'American Community'!LTC</vt:lpstr>
      <vt:lpstr>'American Educators'!LTC</vt:lpstr>
      <vt:lpstr>'American Integrity'!LTC</vt:lpstr>
      <vt:lpstr>'American Medical'!LTC</vt:lpstr>
      <vt:lpstr>'American Network'!LTC</vt:lpstr>
      <vt:lpstr>AmerWstrn!LTC</vt:lpstr>
      <vt:lpstr>'AMS Life'!LTC</vt:lpstr>
      <vt:lpstr>'Andrew Jackson'!LTC</vt:lpstr>
      <vt:lpstr>'Bankers Commercial'!LTC</vt:lpstr>
      <vt:lpstr>'Bankers Life'!LTC</vt:lpstr>
      <vt:lpstr>Benicorp!LTC</vt:lpstr>
      <vt:lpstr>'Booker T Washington'!LTC</vt:lpstr>
      <vt:lpstr>Centennial!LTC</vt:lpstr>
      <vt:lpstr>'Closed Summary'!LTC</vt:lpstr>
      <vt:lpstr>'CO Bankers'!LTC</vt:lpstr>
      <vt:lpstr>'Coastal States'!LTC</vt:lpstr>
      <vt:lpstr>'Colorado Health'!LTC</vt:lpstr>
      <vt:lpstr>'Compass (dbs Meritus)'!LTC</vt:lpstr>
      <vt:lpstr>'Confed Life &amp; Annty (CLIAC)'!LTC</vt:lpstr>
      <vt:lpstr>'Confed Life (CLIC)'!LTC</vt:lpstr>
      <vt:lpstr>'Consolidated National'!LTC</vt:lpstr>
      <vt:lpstr>'Consumers Choice'!LTC</vt:lpstr>
      <vt:lpstr>'Consumers Mutual'!LTC</vt:lpstr>
      <vt:lpstr>'Consumers United'!LTC</vt:lpstr>
      <vt:lpstr>CoOportunity!LTC</vt:lpstr>
      <vt:lpstr>'Coordinated Hlth'!LTC</vt:lpstr>
      <vt:lpstr>'Corporate Life'!LTC</vt:lpstr>
      <vt:lpstr>'Diamond Benefits'!LTC</vt:lpstr>
      <vt:lpstr>'EBL Life'!LTC</vt:lpstr>
      <vt:lpstr>ELNY!LTC</vt:lpstr>
      <vt:lpstr>'Estate Closed Summary'!LTC</vt:lpstr>
      <vt:lpstr>'Executive Life'!LTC</vt:lpstr>
      <vt:lpstr>'Family Guaranty'!LTC</vt:lpstr>
      <vt:lpstr>'Fidelity Bankers'!LTC</vt:lpstr>
      <vt:lpstr>'Fidelity Mutual'!LTC</vt:lpstr>
      <vt:lpstr>'First Capital'!LTC</vt:lpstr>
      <vt:lpstr>'First Natl'!LTC</vt:lpstr>
      <vt:lpstr>'First Natl (Thrnr)'!LTC</vt:lpstr>
      <vt:lpstr>'Franklin American'!LTC</vt:lpstr>
      <vt:lpstr>'Franklin Protective'!LTC</vt:lpstr>
      <vt:lpstr>'Freelancers CO-OP'!LTC</vt:lpstr>
      <vt:lpstr>Freestone!LTC</vt:lpstr>
      <vt:lpstr>'George Washington'!LTC</vt:lpstr>
      <vt:lpstr>'Golden State'!LTC</vt:lpstr>
      <vt:lpstr>'Guarantee Security'!LTC</vt:lpstr>
      <vt:lpstr>HealthyCT!LTC</vt:lpstr>
      <vt:lpstr>Imerica!LTC</vt:lpstr>
      <vt:lpstr>'Inter-American'!LTC</vt:lpstr>
      <vt:lpstr>'International Fin'!LTC</vt:lpstr>
      <vt:lpstr>'Investment Life of America'!LTC</vt:lpstr>
      <vt:lpstr>'Investors Equity'!LTC</vt:lpstr>
      <vt:lpstr>'Kentucky Central'!LTC</vt:lpstr>
      <vt:lpstr>'Land of Lincoln'!LTC</vt:lpstr>
      <vt:lpstr>Legion!LTC</vt:lpstr>
      <vt:lpstr>'Life Health America'!LTC</vt:lpstr>
      <vt:lpstr>'Lincoln Memorial'!LTC</vt:lpstr>
      <vt:lpstr>'London Pac'!LTC</vt:lpstr>
      <vt:lpstr>Lumbermens!LTC</vt:lpstr>
      <vt:lpstr>'Medical Savings'!LTC</vt:lpstr>
      <vt:lpstr>'Memorial Service'!LTC</vt:lpstr>
      <vt:lpstr>Midcontinent!LTC</vt:lpstr>
      <vt:lpstr>'Midwest Life'!LTC</vt:lpstr>
      <vt:lpstr>'Monarch Life'!LTC</vt:lpstr>
      <vt:lpstr>'Mutual Benefit'!LTC</vt:lpstr>
      <vt:lpstr>'Mutual Security'!LTC</vt:lpstr>
      <vt:lpstr>'National Affiliated'!LTC</vt:lpstr>
      <vt:lpstr>'National Heritage'!LTC</vt:lpstr>
      <vt:lpstr>'National States'!LTC</vt:lpstr>
      <vt:lpstr>'Natl American'!LTC</vt:lpstr>
      <vt:lpstr>'New Jersey Life'!LTC</vt:lpstr>
      <vt:lpstr>NNIC!LTC</vt:lpstr>
      <vt:lpstr>'North Carolina Mutual'!LTC</vt:lpstr>
      <vt:lpstr>'Old Colony Life'!LTC</vt:lpstr>
      <vt:lpstr>'Old Faithful'!LTC</vt:lpstr>
      <vt:lpstr>'Open Summary'!LTC</vt:lpstr>
      <vt:lpstr>'Pacific Standard'!LTC</vt:lpstr>
      <vt:lpstr>'Pavonia Life'!LTC</vt:lpstr>
      <vt:lpstr>'Pen  Treaty'!LTC</vt:lpstr>
      <vt:lpstr>'Pre-Liquidation Summary'!LTC</vt:lpstr>
      <vt:lpstr>'Red Rock'!LTC</vt:lpstr>
      <vt:lpstr>'Released from Oversight Summary'!LTC</vt:lpstr>
      <vt:lpstr>Reliance!LTC</vt:lpstr>
      <vt:lpstr>SeeChange!LTC</vt:lpstr>
      <vt:lpstr>'Senior American'!LTC</vt:lpstr>
      <vt:lpstr>Settlers!LTC</vt:lpstr>
      <vt:lpstr>Shenandoah!LTC</vt:lpstr>
      <vt:lpstr>'Southland National Life'!LTC</vt:lpstr>
      <vt:lpstr>'Standard Life IN'!LTC</vt:lpstr>
      <vt:lpstr>'States General'!LTC</vt:lpstr>
      <vt:lpstr>Statesman!LTC</vt:lpstr>
      <vt:lpstr>'Summit National'!LTC</vt:lpstr>
      <vt:lpstr>Supreme!LTC</vt:lpstr>
      <vt:lpstr>Time!LTC</vt:lpstr>
      <vt:lpstr>'Total Summary'!LTC</vt:lpstr>
      <vt:lpstr>Underwriters!LTC</vt:lpstr>
      <vt:lpstr>Unison!LTC</vt:lpstr>
      <vt:lpstr>'United Republic'!LTC</vt:lpstr>
      <vt:lpstr>'Universal Health Care'!LTC</vt:lpstr>
      <vt:lpstr>'Universal Life'!LTC</vt:lpstr>
      <vt:lpstr>Universe!LTC</vt:lpstr>
      <vt:lpstr>Villanova!LTC</vt:lpstr>
      <vt:lpstr>'AF&amp;L'!MA_FINANCIAL</vt:lpstr>
      <vt:lpstr>'Alabama Life'!MA_FINANCIAL</vt:lpstr>
      <vt:lpstr>'Amer Life Asr'!MA_FINANCIAL</vt:lpstr>
      <vt:lpstr>'Amer Std Life Acc'!MA_FINANCIAL</vt:lpstr>
      <vt:lpstr>'American Chambers'!MA_FINANCIAL</vt:lpstr>
      <vt:lpstr>'American Community'!MA_FINANCIAL</vt:lpstr>
      <vt:lpstr>'American Educators'!MA_FINANCIAL</vt:lpstr>
      <vt:lpstr>'American Integrity'!MA_FINANCIAL</vt:lpstr>
      <vt:lpstr>'American Medical'!MA_FINANCIAL</vt:lpstr>
      <vt:lpstr>'American Network'!MA_FINANCIAL</vt:lpstr>
      <vt:lpstr>AmerWstrn!MA_FINANCIAL</vt:lpstr>
      <vt:lpstr>'AMS Life'!MA_FINANCIAL</vt:lpstr>
      <vt:lpstr>'Andrew Jackson'!MA_FINANCIAL</vt:lpstr>
      <vt:lpstr>'Bankers Commercial'!MA_FINANCIAL</vt:lpstr>
      <vt:lpstr>'Bankers Life'!MA_FINANCIAL</vt:lpstr>
      <vt:lpstr>Benicorp!MA_FINANCIAL</vt:lpstr>
      <vt:lpstr>'Booker T Washington'!MA_FINANCIAL</vt:lpstr>
      <vt:lpstr>Centennial!MA_FINANCIAL</vt:lpstr>
      <vt:lpstr>'CO Bankers'!MA_FINANCIAL</vt:lpstr>
      <vt:lpstr>'Coastal States'!MA_FINANCIAL</vt:lpstr>
      <vt:lpstr>'Colorado Health'!MA_FINANCIAL</vt:lpstr>
      <vt:lpstr>'Compass (dbs Meritus)'!MA_FINANCIAL</vt:lpstr>
      <vt:lpstr>'Confed Life &amp; Annty (CLIAC)'!MA_FINANCIAL</vt:lpstr>
      <vt:lpstr>'Confed Life (CLIC)'!MA_FINANCIAL</vt:lpstr>
      <vt:lpstr>'Consolidated National'!MA_FINANCIAL</vt:lpstr>
      <vt:lpstr>'Consumers Choice'!MA_FINANCIAL</vt:lpstr>
      <vt:lpstr>'Consumers Mutual'!MA_FINANCIAL</vt:lpstr>
      <vt:lpstr>'Consumers United'!MA_FINANCIAL</vt:lpstr>
      <vt:lpstr>CoOportunity!MA_FINANCIAL</vt:lpstr>
      <vt:lpstr>'Coordinated Hlth'!MA_FINANCIAL</vt:lpstr>
      <vt:lpstr>'Corporate Life'!MA_FINANCIAL</vt:lpstr>
      <vt:lpstr>'Diamond Benefits'!MA_FINANCIAL</vt:lpstr>
      <vt:lpstr>'EBL Life'!MA_FINANCIAL</vt:lpstr>
      <vt:lpstr>ELNY!MA_FINANCIAL</vt:lpstr>
      <vt:lpstr>'Executive Life'!MA_FINANCIAL</vt:lpstr>
      <vt:lpstr>'Family Guaranty'!MA_FINANCIAL</vt:lpstr>
      <vt:lpstr>'Fidelity Bankers'!MA_FINANCIAL</vt:lpstr>
      <vt:lpstr>'Fidelity Mutual'!MA_FINANCIAL</vt:lpstr>
      <vt:lpstr>'First Capital'!MA_FINANCIAL</vt:lpstr>
      <vt:lpstr>'First Natl'!MA_FINANCIAL</vt:lpstr>
      <vt:lpstr>'First Natl (Thrnr)'!MA_FINANCIAL</vt:lpstr>
      <vt:lpstr>'Franklin American'!MA_FINANCIAL</vt:lpstr>
      <vt:lpstr>'Franklin Protective'!MA_FINANCIAL</vt:lpstr>
      <vt:lpstr>'Freelancers CO-OP'!MA_FINANCIAL</vt:lpstr>
      <vt:lpstr>Freestone!MA_FINANCIAL</vt:lpstr>
      <vt:lpstr>'George Washington'!MA_FINANCIAL</vt:lpstr>
      <vt:lpstr>'Golden State'!MA_FINANCIAL</vt:lpstr>
      <vt:lpstr>'Guarantee Security'!MA_FINANCIAL</vt:lpstr>
      <vt:lpstr>HealthyCT!MA_FINANCIAL</vt:lpstr>
      <vt:lpstr>Imerica!MA_FINANCIAL</vt:lpstr>
      <vt:lpstr>'Inter-American'!MA_FINANCIAL</vt:lpstr>
      <vt:lpstr>'International Fin'!MA_FINANCIAL</vt:lpstr>
      <vt:lpstr>'Investment Life of America'!MA_FINANCIAL</vt:lpstr>
      <vt:lpstr>'Investors Equity'!MA_FINANCIAL</vt:lpstr>
      <vt:lpstr>'Kentucky Central'!MA_FINANCIAL</vt:lpstr>
      <vt:lpstr>'Land of Lincoln'!MA_FINANCIAL</vt:lpstr>
      <vt:lpstr>Legion!MA_FINANCIAL</vt:lpstr>
      <vt:lpstr>'Life Health America'!MA_FINANCIAL</vt:lpstr>
      <vt:lpstr>'Lincoln Memorial'!MA_FINANCIAL</vt:lpstr>
      <vt:lpstr>'London Pac'!MA_FINANCIAL</vt:lpstr>
      <vt:lpstr>Lumbermens!MA_FINANCIAL</vt:lpstr>
      <vt:lpstr>'Medical Savings'!MA_FINANCIAL</vt:lpstr>
      <vt:lpstr>'Memorial Service'!MA_FINANCIAL</vt:lpstr>
      <vt:lpstr>Midcontinent!MA_FINANCIAL</vt:lpstr>
      <vt:lpstr>'Midwest Life'!MA_FINANCIAL</vt:lpstr>
      <vt:lpstr>'Monarch Life'!MA_FINANCIAL</vt:lpstr>
      <vt:lpstr>'Mutual Benefit'!MA_FINANCIAL</vt:lpstr>
      <vt:lpstr>'Mutual Security'!MA_FINANCIAL</vt:lpstr>
      <vt:lpstr>'National Affiliated'!MA_FINANCIAL</vt:lpstr>
      <vt:lpstr>'National Heritage'!MA_FINANCIAL</vt:lpstr>
      <vt:lpstr>'National States'!MA_FINANCIAL</vt:lpstr>
      <vt:lpstr>'Natl American'!MA_FINANCIAL</vt:lpstr>
      <vt:lpstr>'New Jersey Life'!MA_FINANCIAL</vt:lpstr>
      <vt:lpstr>NNIC!MA_FINANCIAL</vt:lpstr>
      <vt:lpstr>'North Carolina Mutual'!MA_FINANCIAL</vt:lpstr>
      <vt:lpstr>'Old Colony Life'!MA_FINANCIAL</vt:lpstr>
      <vt:lpstr>'Old Faithful'!MA_FINANCIAL</vt:lpstr>
      <vt:lpstr>'Pacific Standard'!MA_FINANCIAL</vt:lpstr>
      <vt:lpstr>'Pavonia Life'!MA_FINANCIAL</vt:lpstr>
      <vt:lpstr>'Pen  Treaty'!MA_FINANCIAL</vt:lpstr>
      <vt:lpstr>'Red Rock'!MA_FINANCIAL</vt:lpstr>
      <vt:lpstr>Reliance!MA_FINANCIAL</vt:lpstr>
      <vt:lpstr>SeeChange!MA_FINANCIAL</vt:lpstr>
      <vt:lpstr>'Senior American'!MA_FINANCIAL</vt:lpstr>
      <vt:lpstr>Settlers!MA_FINANCIAL</vt:lpstr>
      <vt:lpstr>Shenandoah!MA_FINANCIAL</vt:lpstr>
      <vt:lpstr>'Southland National Life'!MA_FINANCIAL</vt:lpstr>
      <vt:lpstr>'Standard Life IN'!MA_FINANCIAL</vt:lpstr>
      <vt:lpstr>'States General'!MA_FINANCIAL</vt:lpstr>
      <vt:lpstr>Statesman!MA_FINANCIAL</vt:lpstr>
      <vt:lpstr>'Summit National'!MA_FINANCIAL</vt:lpstr>
      <vt:lpstr>Supreme!MA_FINANCIAL</vt:lpstr>
      <vt:lpstr>Time!MA_FINANCIAL</vt:lpstr>
      <vt:lpstr>'Total Summary'!MA_FINANCIAL</vt:lpstr>
      <vt:lpstr>Underwriters!MA_FINANCIAL</vt:lpstr>
      <vt:lpstr>Unison!MA_FINANCIAL</vt:lpstr>
      <vt:lpstr>'United Republic'!MA_FINANCIAL</vt:lpstr>
      <vt:lpstr>'Universal Health Care'!MA_FINANCIAL</vt:lpstr>
      <vt:lpstr>'Universal Life'!MA_FINANCIAL</vt:lpstr>
      <vt:lpstr>Universe!MA_FINANCIAL</vt:lpstr>
      <vt:lpstr>Villanova!MA_FINANCIAL</vt:lpstr>
      <vt:lpstr>'AF&amp;L'!MD_FINANCIAL</vt:lpstr>
      <vt:lpstr>'Alabama Life'!MD_FINANCIAL</vt:lpstr>
      <vt:lpstr>'Amer Life Asr'!MD_FINANCIAL</vt:lpstr>
      <vt:lpstr>'Amer Std Life Acc'!MD_FINANCIAL</vt:lpstr>
      <vt:lpstr>'American Chambers'!MD_FINANCIAL</vt:lpstr>
      <vt:lpstr>'American Community'!MD_FINANCIAL</vt:lpstr>
      <vt:lpstr>'American Educators'!MD_FINANCIAL</vt:lpstr>
      <vt:lpstr>'American Integrity'!MD_FINANCIAL</vt:lpstr>
      <vt:lpstr>'American Medical'!MD_FINANCIAL</vt:lpstr>
      <vt:lpstr>'American Network'!MD_FINANCIAL</vt:lpstr>
      <vt:lpstr>AmerWstrn!MD_FINANCIAL</vt:lpstr>
      <vt:lpstr>'AMS Life'!MD_FINANCIAL</vt:lpstr>
      <vt:lpstr>'Andrew Jackson'!MD_FINANCIAL</vt:lpstr>
      <vt:lpstr>'Bankers Commercial'!MD_FINANCIAL</vt:lpstr>
      <vt:lpstr>'Bankers Life'!MD_FINANCIAL</vt:lpstr>
      <vt:lpstr>Benicorp!MD_FINANCIAL</vt:lpstr>
      <vt:lpstr>'Booker T Washington'!MD_FINANCIAL</vt:lpstr>
      <vt:lpstr>Centennial!MD_FINANCIAL</vt:lpstr>
      <vt:lpstr>'CO Bankers'!MD_FINANCIAL</vt:lpstr>
      <vt:lpstr>'Coastal States'!MD_FINANCIAL</vt:lpstr>
      <vt:lpstr>'Colorado Health'!MD_FINANCIAL</vt:lpstr>
      <vt:lpstr>'Compass (dbs Meritus)'!MD_FINANCIAL</vt:lpstr>
      <vt:lpstr>'Confed Life &amp; Annty (CLIAC)'!MD_FINANCIAL</vt:lpstr>
      <vt:lpstr>'Confed Life (CLIC)'!MD_FINANCIAL</vt:lpstr>
      <vt:lpstr>'Consolidated National'!MD_FINANCIAL</vt:lpstr>
      <vt:lpstr>'Consumers Choice'!MD_FINANCIAL</vt:lpstr>
      <vt:lpstr>'Consumers Mutual'!MD_FINANCIAL</vt:lpstr>
      <vt:lpstr>'Consumers United'!MD_FINANCIAL</vt:lpstr>
      <vt:lpstr>CoOportunity!MD_FINANCIAL</vt:lpstr>
      <vt:lpstr>'Coordinated Hlth'!MD_FINANCIAL</vt:lpstr>
      <vt:lpstr>'Corporate Life'!MD_FINANCIAL</vt:lpstr>
      <vt:lpstr>'Diamond Benefits'!MD_FINANCIAL</vt:lpstr>
      <vt:lpstr>'EBL Life'!MD_FINANCIAL</vt:lpstr>
      <vt:lpstr>ELNY!MD_FINANCIAL</vt:lpstr>
      <vt:lpstr>'Executive Life'!MD_FINANCIAL</vt:lpstr>
      <vt:lpstr>'Family Guaranty'!MD_FINANCIAL</vt:lpstr>
      <vt:lpstr>'Fidelity Bankers'!MD_FINANCIAL</vt:lpstr>
      <vt:lpstr>'Fidelity Mutual'!MD_FINANCIAL</vt:lpstr>
      <vt:lpstr>'First Capital'!MD_FINANCIAL</vt:lpstr>
      <vt:lpstr>'First Natl'!MD_FINANCIAL</vt:lpstr>
      <vt:lpstr>'First Natl (Thrnr)'!MD_FINANCIAL</vt:lpstr>
      <vt:lpstr>'Franklin American'!MD_FINANCIAL</vt:lpstr>
      <vt:lpstr>'Franklin Protective'!MD_FINANCIAL</vt:lpstr>
      <vt:lpstr>'Freelancers CO-OP'!MD_FINANCIAL</vt:lpstr>
      <vt:lpstr>Freestone!MD_FINANCIAL</vt:lpstr>
      <vt:lpstr>'George Washington'!MD_FINANCIAL</vt:lpstr>
      <vt:lpstr>'Golden State'!MD_FINANCIAL</vt:lpstr>
      <vt:lpstr>'Guarantee Security'!MD_FINANCIAL</vt:lpstr>
      <vt:lpstr>HealthyCT!MD_FINANCIAL</vt:lpstr>
      <vt:lpstr>Imerica!MD_FINANCIAL</vt:lpstr>
      <vt:lpstr>'Inter-American'!MD_FINANCIAL</vt:lpstr>
      <vt:lpstr>'International Fin'!MD_FINANCIAL</vt:lpstr>
      <vt:lpstr>'Investment Life of America'!MD_FINANCIAL</vt:lpstr>
      <vt:lpstr>'Investors Equity'!MD_FINANCIAL</vt:lpstr>
      <vt:lpstr>'Kentucky Central'!MD_FINANCIAL</vt:lpstr>
      <vt:lpstr>'Land of Lincoln'!MD_FINANCIAL</vt:lpstr>
      <vt:lpstr>Legion!MD_FINANCIAL</vt:lpstr>
      <vt:lpstr>'Life Health America'!MD_FINANCIAL</vt:lpstr>
      <vt:lpstr>'Lincoln Memorial'!MD_FINANCIAL</vt:lpstr>
      <vt:lpstr>'London Pac'!MD_FINANCIAL</vt:lpstr>
      <vt:lpstr>Lumbermens!MD_FINANCIAL</vt:lpstr>
      <vt:lpstr>'Medical Savings'!MD_FINANCIAL</vt:lpstr>
      <vt:lpstr>'Memorial Service'!MD_FINANCIAL</vt:lpstr>
      <vt:lpstr>Midcontinent!MD_FINANCIAL</vt:lpstr>
      <vt:lpstr>'Midwest Life'!MD_FINANCIAL</vt:lpstr>
      <vt:lpstr>'Monarch Life'!MD_FINANCIAL</vt:lpstr>
      <vt:lpstr>'Mutual Benefit'!MD_FINANCIAL</vt:lpstr>
      <vt:lpstr>'Mutual Security'!MD_FINANCIAL</vt:lpstr>
      <vt:lpstr>'National Affiliated'!MD_FINANCIAL</vt:lpstr>
      <vt:lpstr>'National Heritage'!MD_FINANCIAL</vt:lpstr>
      <vt:lpstr>'National States'!MD_FINANCIAL</vt:lpstr>
      <vt:lpstr>'Natl American'!MD_FINANCIAL</vt:lpstr>
      <vt:lpstr>'New Jersey Life'!MD_FINANCIAL</vt:lpstr>
      <vt:lpstr>NNIC!MD_FINANCIAL</vt:lpstr>
      <vt:lpstr>'North Carolina Mutual'!MD_FINANCIAL</vt:lpstr>
      <vt:lpstr>'Old Colony Life'!MD_FINANCIAL</vt:lpstr>
      <vt:lpstr>'Old Faithful'!MD_FINANCIAL</vt:lpstr>
      <vt:lpstr>'Pacific Standard'!MD_FINANCIAL</vt:lpstr>
      <vt:lpstr>'Pavonia Life'!MD_FINANCIAL</vt:lpstr>
      <vt:lpstr>'Pen  Treaty'!MD_FINANCIAL</vt:lpstr>
      <vt:lpstr>'Red Rock'!MD_FINANCIAL</vt:lpstr>
      <vt:lpstr>Reliance!MD_FINANCIAL</vt:lpstr>
      <vt:lpstr>SeeChange!MD_FINANCIAL</vt:lpstr>
      <vt:lpstr>'Senior American'!MD_FINANCIAL</vt:lpstr>
      <vt:lpstr>Settlers!MD_FINANCIAL</vt:lpstr>
      <vt:lpstr>Shenandoah!MD_FINANCIAL</vt:lpstr>
      <vt:lpstr>'Southland National Life'!MD_FINANCIAL</vt:lpstr>
      <vt:lpstr>'Standard Life IN'!MD_FINANCIAL</vt:lpstr>
      <vt:lpstr>'States General'!MD_FINANCIAL</vt:lpstr>
      <vt:lpstr>Statesman!MD_FINANCIAL</vt:lpstr>
      <vt:lpstr>'Summit National'!MD_FINANCIAL</vt:lpstr>
      <vt:lpstr>Supreme!MD_FINANCIAL</vt:lpstr>
      <vt:lpstr>Time!MD_FINANCIAL</vt:lpstr>
      <vt:lpstr>'Total Summary'!MD_FINANCIAL</vt:lpstr>
      <vt:lpstr>Underwriters!MD_FINANCIAL</vt:lpstr>
      <vt:lpstr>Unison!MD_FINANCIAL</vt:lpstr>
      <vt:lpstr>'United Republic'!MD_FINANCIAL</vt:lpstr>
      <vt:lpstr>'Universal Health Care'!MD_FINANCIAL</vt:lpstr>
      <vt:lpstr>'Universal Life'!MD_FINANCIAL</vt:lpstr>
      <vt:lpstr>Universe!MD_FINANCIAL</vt:lpstr>
      <vt:lpstr>Villanova!MD_FINANCIAL</vt:lpstr>
      <vt:lpstr>'AF&amp;L'!ME_FINANCIAL</vt:lpstr>
      <vt:lpstr>'Alabama Life'!ME_FINANCIAL</vt:lpstr>
      <vt:lpstr>'Amer Life Asr'!ME_FINANCIAL</vt:lpstr>
      <vt:lpstr>'Amer Std Life Acc'!ME_FINANCIAL</vt:lpstr>
      <vt:lpstr>'American Chambers'!ME_FINANCIAL</vt:lpstr>
      <vt:lpstr>'American Community'!ME_FINANCIAL</vt:lpstr>
      <vt:lpstr>'American Educators'!ME_FINANCIAL</vt:lpstr>
      <vt:lpstr>'American Integrity'!ME_FINANCIAL</vt:lpstr>
      <vt:lpstr>'American Medical'!ME_FINANCIAL</vt:lpstr>
      <vt:lpstr>'American Network'!ME_FINANCIAL</vt:lpstr>
      <vt:lpstr>AmerWstrn!ME_FINANCIAL</vt:lpstr>
      <vt:lpstr>'AMS Life'!ME_FINANCIAL</vt:lpstr>
      <vt:lpstr>'Andrew Jackson'!ME_FINANCIAL</vt:lpstr>
      <vt:lpstr>'Bankers Commercial'!ME_FINANCIAL</vt:lpstr>
      <vt:lpstr>'Bankers Life'!ME_FINANCIAL</vt:lpstr>
      <vt:lpstr>Benicorp!ME_FINANCIAL</vt:lpstr>
      <vt:lpstr>'Booker T Washington'!ME_FINANCIAL</vt:lpstr>
      <vt:lpstr>Centennial!ME_FINANCIAL</vt:lpstr>
      <vt:lpstr>'CO Bankers'!ME_FINANCIAL</vt:lpstr>
      <vt:lpstr>'Coastal States'!ME_FINANCIAL</vt:lpstr>
      <vt:lpstr>'Colorado Health'!ME_FINANCIAL</vt:lpstr>
      <vt:lpstr>'Compass (dbs Meritus)'!ME_FINANCIAL</vt:lpstr>
      <vt:lpstr>'Confed Life &amp; Annty (CLIAC)'!ME_FINANCIAL</vt:lpstr>
      <vt:lpstr>'Confed Life (CLIC)'!ME_FINANCIAL</vt:lpstr>
      <vt:lpstr>'Consolidated National'!ME_FINANCIAL</vt:lpstr>
      <vt:lpstr>'Consumers Choice'!ME_FINANCIAL</vt:lpstr>
      <vt:lpstr>'Consumers Mutual'!ME_FINANCIAL</vt:lpstr>
      <vt:lpstr>'Consumers United'!ME_FINANCIAL</vt:lpstr>
      <vt:lpstr>CoOportunity!ME_FINANCIAL</vt:lpstr>
      <vt:lpstr>'Coordinated Hlth'!ME_FINANCIAL</vt:lpstr>
      <vt:lpstr>'Corporate Life'!ME_FINANCIAL</vt:lpstr>
      <vt:lpstr>'Diamond Benefits'!ME_FINANCIAL</vt:lpstr>
      <vt:lpstr>'EBL Life'!ME_FINANCIAL</vt:lpstr>
      <vt:lpstr>ELNY!ME_FINANCIAL</vt:lpstr>
      <vt:lpstr>'Executive Life'!ME_FINANCIAL</vt:lpstr>
      <vt:lpstr>'Family Guaranty'!ME_FINANCIAL</vt:lpstr>
      <vt:lpstr>'Fidelity Bankers'!ME_FINANCIAL</vt:lpstr>
      <vt:lpstr>'Fidelity Mutual'!ME_FINANCIAL</vt:lpstr>
      <vt:lpstr>'First Capital'!ME_FINANCIAL</vt:lpstr>
      <vt:lpstr>'First Natl'!ME_FINANCIAL</vt:lpstr>
      <vt:lpstr>'First Natl (Thrnr)'!ME_FINANCIAL</vt:lpstr>
      <vt:lpstr>'Franklin American'!ME_FINANCIAL</vt:lpstr>
      <vt:lpstr>'Franklin Protective'!ME_FINANCIAL</vt:lpstr>
      <vt:lpstr>'Freelancers CO-OP'!ME_FINANCIAL</vt:lpstr>
      <vt:lpstr>Freestone!ME_FINANCIAL</vt:lpstr>
      <vt:lpstr>'George Washington'!ME_FINANCIAL</vt:lpstr>
      <vt:lpstr>'Golden State'!ME_FINANCIAL</vt:lpstr>
      <vt:lpstr>'Guarantee Security'!ME_FINANCIAL</vt:lpstr>
      <vt:lpstr>HealthyCT!ME_FINANCIAL</vt:lpstr>
      <vt:lpstr>Imerica!ME_FINANCIAL</vt:lpstr>
      <vt:lpstr>'Inter-American'!ME_FINANCIAL</vt:lpstr>
      <vt:lpstr>'International Fin'!ME_FINANCIAL</vt:lpstr>
      <vt:lpstr>'Investment Life of America'!ME_FINANCIAL</vt:lpstr>
      <vt:lpstr>'Investors Equity'!ME_FINANCIAL</vt:lpstr>
      <vt:lpstr>'Kentucky Central'!ME_FINANCIAL</vt:lpstr>
      <vt:lpstr>'Land of Lincoln'!ME_FINANCIAL</vt:lpstr>
      <vt:lpstr>Legion!ME_FINANCIAL</vt:lpstr>
      <vt:lpstr>'Life Health America'!ME_FINANCIAL</vt:lpstr>
      <vt:lpstr>'Lincoln Memorial'!ME_FINANCIAL</vt:lpstr>
      <vt:lpstr>'London Pac'!ME_FINANCIAL</vt:lpstr>
      <vt:lpstr>Lumbermens!ME_FINANCIAL</vt:lpstr>
      <vt:lpstr>'Medical Savings'!ME_FINANCIAL</vt:lpstr>
      <vt:lpstr>'Memorial Service'!ME_FINANCIAL</vt:lpstr>
      <vt:lpstr>Midcontinent!ME_FINANCIAL</vt:lpstr>
      <vt:lpstr>'Midwest Life'!ME_FINANCIAL</vt:lpstr>
      <vt:lpstr>'Monarch Life'!ME_FINANCIAL</vt:lpstr>
      <vt:lpstr>'Mutual Benefit'!ME_FINANCIAL</vt:lpstr>
      <vt:lpstr>'Mutual Security'!ME_FINANCIAL</vt:lpstr>
      <vt:lpstr>'National Affiliated'!ME_FINANCIAL</vt:lpstr>
      <vt:lpstr>'National Heritage'!ME_FINANCIAL</vt:lpstr>
      <vt:lpstr>'National States'!ME_FINANCIAL</vt:lpstr>
      <vt:lpstr>'Natl American'!ME_FINANCIAL</vt:lpstr>
      <vt:lpstr>'New Jersey Life'!ME_FINANCIAL</vt:lpstr>
      <vt:lpstr>NNIC!ME_FINANCIAL</vt:lpstr>
      <vt:lpstr>'North Carolina Mutual'!ME_FINANCIAL</vt:lpstr>
      <vt:lpstr>'Old Colony Life'!ME_FINANCIAL</vt:lpstr>
      <vt:lpstr>'Old Faithful'!ME_FINANCIAL</vt:lpstr>
      <vt:lpstr>'Pacific Standard'!ME_FINANCIAL</vt:lpstr>
      <vt:lpstr>'Pavonia Life'!ME_FINANCIAL</vt:lpstr>
      <vt:lpstr>'Pen  Treaty'!ME_FINANCIAL</vt:lpstr>
      <vt:lpstr>'Red Rock'!ME_FINANCIAL</vt:lpstr>
      <vt:lpstr>Reliance!ME_FINANCIAL</vt:lpstr>
      <vt:lpstr>SeeChange!ME_FINANCIAL</vt:lpstr>
      <vt:lpstr>'Senior American'!ME_FINANCIAL</vt:lpstr>
      <vt:lpstr>Settlers!ME_FINANCIAL</vt:lpstr>
      <vt:lpstr>Shenandoah!ME_FINANCIAL</vt:lpstr>
      <vt:lpstr>'Southland National Life'!ME_FINANCIAL</vt:lpstr>
      <vt:lpstr>'Standard Life IN'!ME_FINANCIAL</vt:lpstr>
      <vt:lpstr>'States General'!ME_FINANCIAL</vt:lpstr>
      <vt:lpstr>Statesman!ME_FINANCIAL</vt:lpstr>
      <vt:lpstr>'Summit National'!ME_FINANCIAL</vt:lpstr>
      <vt:lpstr>Supreme!ME_FINANCIAL</vt:lpstr>
      <vt:lpstr>Time!ME_FINANCIAL</vt:lpstr>
      <vt:lpstr>'Total Summary'!ME_FINANCIAL</vt:lpstr>
      <vt:lpstr>Underwriters!ME_FINANCIAL</vt:lpstr>
      <vt:lpstr>Unison!ME_FINANCIAL</vt:lpstr>
      <vt:lpstr>'United Republic'!ME_FINANCIAL</vt:lpstr>
      <vt:lpstr>'Universal Health Care'!ME_FINANCIAL</vt:lpstr>
      <vt:lpstr>'Universal Life'!ME_FINANCIAL</vt:lpstr>
      <vt:lpstr>Universe!ME_FINANCIAL</vt:lpstr>
      <vt:lpstr>Villanova!ME_FINANCIAL</vt:lpstr>
      <vt:lpstr>'AF&amp;L'!MI_FINANCIAL</vt:lpstr>
      <vt:lpstr>'Alabama Life'!MI_FINANCIAL</vt:lpstr>
      <vt:lpstr>'Amer Life Asr'!MI_FINANCIAL</vt:lpstr>
      <vt:lpstr>'Amer Std Life Acc'!MI_FINANCIAL</vt:lpstr>
      <vt:lpstr>'American Chambers'!MI_FINANCIAL</vt:lpstr>
      <vt:lpstr>'American Community'!MI_FINANCIAL</vt:lpstr>
      <vt:lpstr>'American Educators'!MI_FINANCIAL</vt:lpstr>
      <vt:lpstr>'American Integrity'!MI_FINANCIAL</vt:lpstr>
      <vt:lpstr>'American Medical'!MI_FINANCIAL</vt:lpstr>
      <vt:lpstr>'American Network'!MI_FINANCIAL</vt:lpstr>
      <vt:lpstr>AmerWstrn!MI_FINANCIAL</vt:lpstr>
      <vt:lpstr>'AMS Life'!MI_FINANCIAL</vt:lpstr>
      <vt:lpstr>'Andrew Jackson'!MI_FINANCIAL</vt:lpstr>
      <vt:lpstr>'Bankers Commercial'!MI_FINANCIAL</vt:lpstr>
      <vt:lpstr>'Bankers Life'!MI_FINANCIAL</vt:lpstr>
      <vt:lpstr>Benicorp!MI_FINANCIAL</vt:lpstr>
      <vt:lpstr>'Booker T Washington'!MI_FINANCIAL</vt:lpstr>
      <vt:lpstr>Centennial!MI_FINANCIAL</vt:lpstr>
      <vt:lpstr>'CO Bankers'!MI_FINANCIAL</vt:lpstr>
      <vt:lpstr>'Coastal States'!MI_FINANCIAL</vt:lpstr>
      <vt:lpstr>'Colorado Health'!MI_FINANCIAL</vt:lpstr>
      <vt:lpstr>'Compass (dbs Meritus)'!MI_FINANCIAL</vt:lpstr>
      <vt:lpstr>'Confed Life &amp; Annty (CLIAC)'!MI_FINANCIAL</vt:lpstr>
      <vt:lpstr>'Confed Life (CLIC)'!MI_FINANCIAL</vt:lpstr>
      <vt:lpstr>'Consolidated National'!MI_FINANCIAL</vt:lpstr>
      <vt:lpstr>'Consumers Choice'!MI_FINANCIAL</vt:lpstr>
      <vt:lpstr>'Consumers Mutual'!MI_FINANCIAL</vt:lpstr>
      <vt:lpstr>'Consumers United'!MI_FINANCIAL</vt:lpstr>
      <vt:lpstr>CoOportunity!MI_FINANCIAL</vt:lpstr>
      <vt:lpstr>'Coordinated Hlth'!MI_FINANCIAL</vt:lpstr>
      <vt:lpstr>'Corporate Life'!MI_FINANCIAL</vt:lpstr>
      <vt:lpstr>'Diamond Benefits'!MI_FINANCIAL</vt:lpstr>
      <vt:lpstr>'EBL Life'!MI_FINANCIAL</vt:lpstr>
      <vt:lpstr>ELNY!MI_FINANCIAL</vt:lpstr>
      <vt:lpstr>'Executive Life'!MI_FINANCIAL</vt:lpstr>
      <vt:lpstr>'Family Guaranty'!MI_FINANCIAL</vt:lpstr>
      <vt:lpstr>'Fidelity Bankers'!MI_FINANCIAL</vt:lpstr>
      <vt:lpstr>'Fidelity Mutual'!MI_FINANCIAL</vt:lpstr>
      <vt:lpstr>'First Capital'!MI_FINANCIAL</vt:lpstr>
      <vt:lpstr>'First Natl'!MI_FINANCIAL</vt:lpstr>
      <vt:lpstr>'First Natl (Thrnr)'!MI_FINANCIAL</vt:lpstr>
      <vt:lpstr>'Franklin American'!MI_FINANCIAL</vt:lpstr>
      <vt:lpstr>'Franklin Protective'!MI_FINANCIAL</vt:lpstr>
      <vt:lpstr>'Freelancers CO-OP'!MI_FINANCIAL</vt:lpstr>
      <vt:lpstr>Freestone!MI_FINANCIAL</vt:lpstr>
      <vt:lpstr>'George Washington'!MI_FINANCIAL</vt:lpstr>
      <vt:lpstr>'Golden State'!MI_FINANCIAL</vt:lpstr>
      <vt:lpstr>'Guarantee Security'!MI_FINANCIAL</vt:lpstr>
      <vt:lpstr>HealthyCT!MI_FINANCIAL</vt:lpstr>
      <vt:lpstr>Imerica!MI_FINANCIAL</vt:lpstr>
      <vt:lpstr>'Inter-American'!MI_FINANCIAL</vt:lpstr>
      <vt:lpstr>'International Fin'!MI_FINANCIAL</vt:lpstr>
      <vt:lpstr>'Investment Life of America'!MI_FINANCIAL</vt:lpstr>
      <vt:lpstr>'Investors Equity'!MI_FINANCIAL</vt:lpstr>
      <vt:lpstr>'Kentucky Central'!MI_FINANCIAL</vt:lpstr>
      <vt:lpstr>'Land of Lincoln'!MI_FINANCIAL</vt:lpstr>
      <vt:lpstr>Legion!MI_FINANCIAL</vt:lpstr>
      <vt:lpstr>'Life Health America'!MI_FINANCIAL</vt:lpstr>
      <vt:lpstr>'Lincoln Memorial'!MI_FINANCIAL</vt:lpstr>
      <vt:lpstr>'London Pac'!MI_FINANCIAL</vt:lpstr>
      <vt:lpstr>Lumbermens!MI_FINANCIAL</vt:lpstr>
      <vt:lpstr>'Medical Savings'!MI_FINANCIAL</vt:lpstr>
      <vt:lpstr>'Memorial Service'!MI_FINANCIAL</vt:lpstr>
      <vt:lpstr>Midcontinent!MI_FINANCIAL</vt:lpstr>
      <vt:lpstr>'Midwest Life'!MI_FINANCIAL</vt:lpstr>
      <vt:lpstr>'Monarch Life'!MI_FINANCIAL</vt:lpstr>
      <vt:lpstr>'Mutual Benefit'!MI_FINANCIAL</vt:lpstr>
      <vt:lpstr>'Mutual Security'!MI_FINANCIAL</vt:lpstr>
      <vt:lpstr>'National Affiliated'!MI_FINANCIAL</vt:lpstr>
      <vt:lpstr>'National Heritage'!MI_FINANCIAL</vt:lpstr>
      <vt:lpstr>'National States'!MI_FINANCIAL</vt:lpstr>
      <vt:lpstr>'Natl American'!MI_FINANCIAL</vt:lpstr>
      <vt:lpstr>'New Jersey Life'!MI_FINANCIAL</vt:lpstr>
      <vt:lpstr>NNIC!MI_FINANCIAL</vt:lpstr>
      <vt:lpstr>'North Carolina Mutual'!MI_FINANCIAL</vt:lpstr>
      <vt:lpstr>'Old Colony Life'!MI_FINANCIAL</vt:lpstr>
      <vt:lpstr>'Old Faithful'!MI_FINANCIAL</vt:lpstr>
      <vt:lpstr>'Pacific Standard'!MI_FINANCIAL</vt:lpstr>
      <vt:lpstr>'Pavonia Life'!MI_FINANCIAL</vt:lpstr>
      <vt:lpstr>'Pen  Treaty'!MI_FINANCIAL</vt:lpstr>
      <vt:lpstr>'Red Rock'!MI_FINANCIAL</vt:lpstr>
      <vt:lpstr>Reliance!MI_FINANCIAL</vt:lpstr>
      <vt:lpstr>SeeChange!MI_FINANCIAL</vt:lpstr>
      <vt:lpstr>'Senior American'!MI_FINANCIAL</vt:lpstr>
      <vt:lpstr>Settlers!MI_FINANCIAL</vt:lpstr>
      <vt:lpstr>Shenandoah!MI_FINANCIAL</vt:lpstr>
      <vt:lpstr>'Southland National Life'!MI_FINANCIAL</vt:lpstr>
      <vt:lpstr>'Standard Life IN'!MI_FINANCIAL</vt:lpstr>
      <vt:lpstr>'States General'!MI_FINANCIAL</vt:lpstr>
      <vt:lpstr>Statesman!MI_FINANCIAL</vt:lpstr>
      <vt:lpstr>'Summit National'!MI_FINANCIAL</vt:lpstr>
      <vt:lpstr>Supreme!MI_FINANCIAL</vt:lpstr>
      <vt:lpstr>Time!MI_FINANCIAL</vt:lpstr>
      <vt:lpstr>'Total Summary'!MI_FINANCIAL</vt:lpstr>
      <vt:lpstr>Underwriters!MI_FINANCIAL</vt:lpstr>
      <vt:lpstr>Unison!MI_FINANCIAL</vt:lpstr>
      <vt:lpstr>'United Republic'!MI_FINANCIAL</vt:lpstr>
      <vt:lpstr>'Universal Health Care'!MI_FINANCIAL</vt:lpstr>
      <vt:lpstr>'Universal Life'!MI_FINANCIAL</vt:lpstr>
      <vt:lpstr>Universe!MI_FINANCIAL</vt:lpstr>
      <vt:lpstr>Villanova!MI_FINANCIAL</vt:lpstr>
      <vt:lpstr>'AF&amp;L'!MN_FINANCIAL</vt:lpstr>
      <vt:lpstr>'Alabama Life'!MN_FINANCIAL</vt:lpstr>
      <vt:lpstr>'Amer Life Asr'!MN_FINANCIAL</vt:lpstr>
      <vt:lpstr>'Amer Std Life Acc'!MN_FINANCIAL</vt:lpstr>
      <vt:lpstr>'American Chambers'!MN_FINANCIAL</vt:lpstr>
      <vt:lpstr>'American Community'!MN_FINANCIAL</vt:lpstr>
      <vt:lpstr>'American Educators'!MN_FINANCIAL</vt:lpstr>
      <vt:lpstr>'American Integrity'!MN_FINANCIAL</vt:lpstr>
      <vt:lpstr>'American Medical'!MN_FINANCIAL</vt:lpstr>
      <vt:lpstr>'American Network'!MN_FINANCIAL</vt:lpstr>
      <vt:lpstr>AmerWstrn!MN_FINANCIAL</vt:lpstr>
      <vt:lpstr>'AMS Life'!MN_FINANCIAL</vt:lpstr>
      <vt:lpstr>'Andrew Jackson'!MN_FINANCIAL</vt:lpstr>
      <vt:lpstr>'Bankers Commercial'!MN_FINANCIAL</vt:lpstr>
      <vt:lpstr>'Bankers Life'!MN_FINANCIAL</vt:lpstr>
      <vt:lpstr>Benicorp!MN_FINANCIAL</vt:lpstr>
      <vt:lpstr>'Booker T Washington'!MN_FINANCIAL</vt:lpstr>
      <vt:lpstr>Centennial!MN_FINANCIAL</vt:lpstr>
      <vt:lpstr>'CO Bankers'!MN_FINANCIAL</vt:lpstr>
      <vt:lpstr>'Coastal States'!MN_FINANCIAL</vt:lpstr>
      <vt:lpstr>'Colorado Health'!MN_FINANCIAL</vt:lpstr>
      <vt:lpstr>'Compass (dbs Meritus)'!MN_FINANCIAL</vt:lpstr>
      <vt:lpstr>'Confed Life &amp; Annty (CLIAC)'!MN_FINANCIAL</vt:lpstr>
      <vt:lpstr>'Confed Life (CLIC)'!MN_FINANCIAL</vt:lpstr>
      <vt:lpstr>'Consolidated National'!MN_FINANCIAL</vt:lpstr>
      <vt:lpstr>'Consumers Choice'!MN_FINANCIAL</vt:lpstr>
      <vt:lpstr>'Consumers Mutual'!MN_FINANCIAL</vt:lpstr>
      <vt:lpstr>'Consumers United'!MN_FINANCIAL</vt:lpstr>
      <vt:lpstr>CoOportunity!MN_FINANCIAL</vt:lpstr>
      <vt:lpstr>'Coordinated Hlth'!MN_FINANCIAL</vt:lpstr>
      <vt:lpstr>'Corporate Life'!MN_FINANCIAL</vt:lpstr>
      <vt:lpstr>'Diamond Benefits'!MN_FINANCIAL</vt:lpstr>
      <vt:lpstr>'EBL Life'!MN_FINANCIAL</vt:lpstr>
      <vt:lpstr>ELNY!MN_FINANCIAL</vt:lpstr>
      <vt:lpstr>'Executive Life'!MN_FINANCIAL</vt:lpstr>
      <vt:lpstr>'Family Guaranty'!MN_FINANCIAL</vt:lpstr>
      <vt:lpstr>'Fidelity Bankers'!MN_FINANCIAL</vt:lpstr>
      <vt:lpstr>'Fidelity Mutual'!MN_FINANCIAL</vt:lpstr>
      <vt:lpstr>'First Capital'!MN_FINANCIAL</vt:lpstr>
      <vt:lpstr>'First Natl'!MN_FINANCIAL</vt:lpstr>
      <vt:lpstr>'First Natl (Thrnr)'!MN_FINANCIAL</vt:lpstr>
      <vt:lpstr>'Franklin American'!MN_FINANCIAL</vt:lpstr>
      <vt:lpstr>'Franklin Protective'!MN_FINANCIAL</vt:lpstr>
      <vt:lpstr>'Freelancers CO-OP'!MN_FINANCIAL</vt:lpstr>
      <vt:lpstr>Freestone!MN_FINANCIAL</vt:lpstr>
      <vt:lpstr>'George Washington'!MN_FINANCIAL</vt:lpstr>
      <vt:lpstr>'Golden State'!MN_FINANCIAL</vt:lpstr>
      <vt:lpstr>'Guarantee Security'!MN_FINANCIAL</vt:lpstr>
      <vt:lpstr>HealthyCT!MN_FINANCIAL</vt:lpstr>
      <vt:lpstr>Imerica!MN_FINANCIAL</vt:lpstr>
      <vt:lpstr>'Inter-American'!MN_FINANCIAL</vt:lpstr>
      <vt:lpstr>'International Fin'!MN_FINANCIAL</vt:lpstr>
      <vt:lpstr>'Investment Life of America'!MN_FINANCIAL</vt:lpstr>
      <vt:lpstr>'Investors Equity'!MN_FINANCIAL</vt:lpstr>
      <vt:lpstr>'Kentucky Central'!MN_FINANCIAL</vt:lpstr>
      <vt:lpstr>'Land of Lincoln'!MN_FINANCIAL</vt:lpstr>
      <vt:lpstr>Legion!MN_FINANCIAL</vt:lpstr>
      <vt:lpstr>'Life Health America'!MN_FINANCIAL</vt:lpstr>
      <vt:lpstr>'Lincoln Memorial'!MN_FINANCIAL</vt:lpstr>
      <vt:lpstr>'London Pac'!MN_FINANCIAL</vt:lpstr>
      <vt:lpstr>Lumbermens!MN_FINANCIAL</vt:lpstr>
      <vt:lpstr>'Medical Savings'!MN_FINANCIAL</vt:lpstr>
      <vt:lpstr>'Memorial Service'!MN_FINANCIAL</vt:lpstr>
      <vt:lpstr>Midcontinent!MN_FINANCIAL</vt:lpstr>
      <vt:lpstr>'Midwest Life'!MN_FINANCIAL</vt:lpstr>
      <vt:lpstr>'Monarch Life'!MN_FINANCIAL</vt:lpstr>
      <vt:lpstr>'Mutual Benefit'!MN_FINANCIAL</vt:lpstr>
      <vt:lpstr>'Mutual Security'!MN_FINANCIAL</vt:lpstr>
      <vt:lpstr>'National Affiliated'!MN_FINANCIAL</vt:lpstr>
      <vt:lpstr>'National Heritage'!MN_FINANCIAL</vt:lpstr>
      <vt:lpstr>'National States'!MN_FINANCIAL</vt:lpstr>
      <vt:lpstr>'Natl American'!MN_FINANCIAL</vt:lpstr>
      <vt:lpstr>'New Jersey Life'!MN_FINANCIAL</vt:lpstr>
      <vt:lpstr>NNIC!MN_FINANCIAL</vt:lpstr>
      <vt:lpstr>'North Carolina Mutual'!MN_FINANCIAL</vt:lpstr>
      <vt:lpstr>'Old Colony Life'!MN_FINANCIAL</vt:lpstr>
      <vt:lpstr>'Old Faithful'!MN_FINANCIAL</vt:lpstr>
      <vt:lpstr>'Pacific Standard'!MN_FINANCIAL</vt:lpstr>
      <vt:lpstr>'Pavonia Life'!MN_FINANCIAL</vt:lpstr>
      <vt:lpstr>'Pen  Treaty'!MN_FINANCIAL</vt:lpstr>
      <vt:lpstr>'Red Rock'!MN_FINANCIAL</vt:lpstr>
      <vt:lpstr>Reliance!MN_FINANCIAL</vt:lpstr>
      <vt:lpstr>SeeChange!MN_FINANCIAL</vt:lpstr>
      <vt:lpstr>'Senior American'!MN_FINANCIAL</vt:lpstr>
      <vt:lpstr>Settlers!MN_FINANCIAL</vt:lpstr>
      <vt:lpstr>Shenandoah!MN_FINANCIAL</vt:lpstr>
      <vt:lpstr>'Southland National Life'!MN_FINANCIAL</vt:lpstr>
      <vt:lpstr>'Standard Life IN'!MN_FINANCIAL</vt:lpstr>
      <vt:lpstr>'States General'!MN_FINANCIAL</vt:lpstr>
      <vt:lpstr>Statesman!MN_FINANCIAL</vt:lpstr>
      <vt:lpstr>'Summit National'!MN_FINANCIAL</vt:lpstr>
      <vt:lpstr>Supreme!MN_FINANCIAL</vt:lpstr>
      <vt:lpstr>Time!MN_FINANCIAL</vt:lpstr>
      <vt:lpstr>'Total Summary'!MN_FINANCIAL</vt:lpstr>
      <vt:lpstr>Underwriters!MN_FINANCIAL</vt:lpstr>
      <vt:lpstr>Unison!MN_FINANCIAL</vt:lpstr>
      <vt:lpstr>'United Republic'!MN_FINANCIAL</vt:lpstr>
      <vt:lpstr>'Universal Health Care'!MN_FINANCIAL</vt:lpstr>
      <vt:lpstr>'Universal Life'!MN_FINANCIAL</vt:lpstr>
      <vt:lpstr>Universe!MN_FINANCIAL</vt:lpstr>
      <vt:lpstr>Villanova!MN_FINANCIAL</vt:lpstr>
      <vt:lpstr>'AF&amp;L'!MO_FINANCIAL</vt:lpstr>
      <vt:lpstr>'Alabama Life'!MO_FINANCIAL</vt:lpstr>
      <vt:lpstr>'Amer Life Asr'!MO_FINANCIAL</vt:lpstr>
      <vt:lpstr>'Amer Std Life Acc'!MO_FINANCIAL</vt:lpstr>
      <vt:lpstr>'American Chambers'!MO_FINANCIAL</vt:lpstr>
      <vt:lpstr>'American Community'!MO_FINANCIAL</vt:lpstr>
      <vt:lpstr>'American Educators'!MO_FINANCIAL</vt:lpstr>
      <vt:lpstr>'American Integrity'!MO_FINANCIAL</vt:lpstr>
      <vt:lpstr>'American Medical'!MO_FINANCIAL</vt:lpstr>
      <vt:lpstr>'American Network'!MO_FINANCIAL</vt:lpstr>
      <vt:lpstr>AmerWstrn!MO_FINANCIAL</vt:lpstr>
      <vt:lpstr>'AMS Life'!MO_FINANCIAL</vt:lpstr>
      <vt:lpstr>'Andrew Jackson'!MO_FINANCIAL</vt:lpstr>
      <vt:lpstr>'Bankers Commercial'!MO_FINANCIAL</vt:lpstr>
      <vt:lpstr>'Bankers Life'!MO_FINANCIAL</vt:lpstr>
      <vt:lpstr>Benicorp!MO_FINANCIAL</vt:lpstr>
      <vt:lpstr>'Booker T Washington'!MO_FINANCIAL</vt:lpstr>
      <vt:lpstr>Centennial!MO_FINANCIAL</vt:lpstr>
      <vt:lpstr>'CO Bankers'!MO_FINANCIAL</vt:lpstr>
      <vt:lpstr>'Coastal States'!MO_FINANCIAL</vt:lpstr>
      <vt:lpstr>'Colorado Health'!MO_FINANCIAL</vt:lpstr>
      <vt:lpstr>'Compass (dbs Meritus)'!MO_FINANCIAL</vt:lpstr>
      <vt:lpstr>'Confed Life &amp; Annty (CLIAC)'!MO_FINANCIAL</vt:lpstr>
      <vt:lpstr>'Confed Life (CLIC)'!MO_FINANCIAL</vt:lpstr>
      <vt:lpstr>'Consolidated National'!MO_FINANCIAL</vt:lpstr>
      <vt:lpstr>'Consumers Choice'!MO_FINANCIAL</vt:lpstr>
      <vt:lpstr>'Consumers Mutual'!MO_FINANCIAL</vt:lpstr>
      <vt:lpstr>'Consumers United'!MO_FINANCIAL</vt:lpstr>
      <vt:lpstr>CoOportunity!MO_FINANCIAL</vt:lpstr>
      <vt:lpstr>'Coordinated Hlth'!MO_FINANCIAL</vt:lpstr>
      <vt:lpstr>'Corporate Life'!MO_FINANCIAL</vt:lpstr>
      <vt:lpstr>'Diamond Benefits'!MO_FINANCIAL</vt:lpstr>
      <vt:lpstr>'EBL Life'!MO_FINANCIAL</vt:lpstr>
      <vt:lpstr>ELNY!MO_FINANCIAL</vt:lpstr>
      <vt:lpstr>'Executive Life'!MO_FINANCIAL</vt:lpstr>
      <vt:lpstr>'Family Guaranty'!MO_FINANCIAL</vt:lpstr>
      <vt:lpstr>'Fidelity Bankers'!MO_FINANCIAL</vt:lpstr>
      <vt:lpstr>'Fidelity Mutual'!MO_FINANCIAL</vt:lpstr>
      <vt:lpstr>'First Capital'!MO_FINANCIAL</vt:lpstr>
      <vt:lpstr>'First Natl'!MO_FINANCIAL</vt:lpstr>
      <vt:lpstr>'First Natl (Thrnr)'!MO_FINANCIAL</vt:lpstr>
      <vt:lpstr>'Franklin American'!MO_FINANCIAL</vt:lpstr>
      <vt:lpstr>'Franklin Protective'!MO_FINANCIAL</vt:lpstr>
      <vt:lpstr>'Freelancers CO-OP'!MO_FINANCIAL</vt:lpstr>
      <vt:lpstr>Freestone!MO_FINANCIAL</vt:lpstr>
      <vt:lpstr>'George Washington'!MO_FINANCIAL</vt:lpstr>
      <vt:lpstr>'Golden State'!MO_FINANCIAL</vt:lpstr>
      <vt:lpstr>'Guarantee Security'!MO_FINANCIAL</vt:lpstr>
      <vt:lpstr>HealthyCT!MO_FINANCIAL</vt:lpstr>
      <vt:lpstr>Imerica!MO_FINANCIAL</vt:lpstr>
      <vt:lpstr>'Inter-American'!MO_FINANCIAL</vt:lpstr>
      <vt:lpstr>'International Fin'!MO_FINANCIAL</vt:lpstr>
      <vt:lpstr>'Investment Life of America'!MO_FINANCIAL</vt:lpstr>
      <vt:lpstr>'Investors Equity'!MO_FINANCIAL</vt:lpstr>
      <vt:lpstr>'Kentucky Central'!MO_FINANCIAL</vt:lpstr>
      <vt:lpstr>'Land of Lincoln'!MO_FINANCIAL</vt:lpstr>
      <vt:lpstr>Legion!MO_FINANCIAL</vt:lpstr>
      <vt:lpstr>'Life Health America'!MO_FINANCIAL</vt:lpstr>
      <vt:lpstr>'Lincoln Memorial'!MO_FINANCIAL</vt:lpstr>
      <vt:lpstr>'London Pac'!MO_FINANCIAL</vt:lpstr>
      <vt:lpstr>Lumbermens!MO_FINANCIAL</vt:lpstr>
      <vt:lpstr>'Medical Savings'!MO_FINANCIAL</vt:lpstr>
      <vt:lpstr>'Memorial Service'!MO_FINANCIAL</vt:lpstr>
      <vt:lpstr>Midcontinent!MO_FINANCIAL</vt:lpstr>
      <vt:lpstr>'Midwest Life'!MO_FINANCIAL</vt:lpstr>
      <vt:lpstr>'Monarch Life'!MO_FINANCIAL</vt:lpstr>
      <vt:lpstr>'Mutual Benefit'!MO_FINANCIAL</vt:lpstr>
      <vt:lpstr>'Mutual Security'!MO_FINANCIAL</vt:lpstr>
      <vt:lpstr>'National Affiliated'!MO_FINANCIAL</vt:lpstr>
      <vt:lpstr>'National Heritage'!MO_FINANCIAL</vt:lpstr>
      <vt:lpstr>'National States'!MO_FINANCIAL</vt:lpstr>
      <vt:lpstr>'Natl American'!MO_FINANCIAL</vt:lpstr>
      <vt:lpstr>'New Jersey Life'!MO_FINANCIAL</vt:lpstr>
      <vt:lpstr>NNIC!MO_FINANCIAL</vt:lpstr>
      <vt:lpstr>'North Carolina Mutual'!MO_FINANCIAL</vt:lpstr>
      <vt:lpstr>'Old Colony Life'!MO_FINANCIAL</vt:lpstr>
      <vt:lpstr>'Old Faithful'!MO_FINANCIAL</vt:lpstr>
      <vt:lpstr>'Pacific Standard'!MO_FINANCIAL</vt:lpstr>
      <vt:lpstr>'Pavonia Life'!MO_FINANCIAL</vt:lpstr>
      <vt:lpstr>'Pen  Treaty'!MO_FINANCIAL</vt:lpstr>
      <vt:lpstr>'Red Rock'!MO_FINANCIAL</vt:lpstr>
      <vt:lpstr>Reliance!MO_FINANCIAL</vt:lpstr>
      <vt:lpstr>SeeChange!MO_FINANCIAL</vt:lpstr>
      <vt:lpstr>'Senior American'!MO_FINANCIAL</vt:lpstr>
      <vt:lpstr>Settlers!MO_FINANCIAL</vt:lpstr>
      <vt:lpstr>Shenandoah!MO_FINANCIAL</vt:lpstr>
      <vt:lpstr>'Southland National Life'!MO_FINANCIAL</vt:lpstr>
      <vt:lpstr>'Standard Life IN'!MO_FINANCIAL</vt:lpstr>
      <vt:lpstr>'States General'!MO_FINANCIAL</vt:lpstr>
      <vt:lpstr>Statesman!MO_FINANCIAL</vt:lpstr>
      <vt:lpstr>'Summit National'!MO_FINANCIAL</vt:lpstr>
      <vt:lpstr>Supreme!MO_FINANCIAL</vt:lpstr>
      <vt:lpstr>Time!MO_FINANCIAL</vt:lpstr>
      <vt:lpstr>'Total Summary'!MO_FINANCIAL</vt:lpstr>
      <vt:lpstr>Underwriters!MO_FINANCIAL</vt:lpstr>
      <vt:lpstr>Unison!MO_FINANCIAL</vt:lpstr>
      <vt:lpstr>'United Republic'!MO_FINANCIAL</vt:lpstr>
      <vt:lpstr>'Universal Health Care'!MO_FINANCIAL</vt:lpstr>
      <vt:lpstr>'Universal Life'!MO_FINANCIAL</vt:lpstr>
      <vt:lpstr>Universe!MO_FINANCIAL</vt:lpstr>
      <vt:lpstr>Villanova!MO_FINANCIAL</vt:lpstr>
      <vt:lpstr>'AF&amp;L'!MS_FINANCIAL</vt:lpstr>
      <vt:lpstr>'Alabama Life'!MS_FINANCIAL</vt:lpstr>
      <vt:lpstr>'Amer Life Asr'!MS_FINANCIAL</vt:lpstr>
      <vt:lpstr>'Amer Std Life Acc'!MS_FINANCIAL</vt:lpstr>
      <vt:lpstr>'American Chambers'!MS_FINANCIAL</vt:lpstr>
      <vt:lpstr>'American Community'!MS_FINANCIAL</vt:lpstr>
      <vt:lpstr>'American Educators'!MS_FINANCIAL</vt:lpstr>
      <vt:lpstr>'American Integrity'!MS_FINANCIAL</vt:lpstr>
      <vt:lpstr>'American Medical'!MS_FINANCIAL</vt:lpstr>
      <vt:lpstr>'American Network'!MS_FINANCIAL</vt:lpstr>
      <vt:lpstr>AmerWstrn!MS_FINANCIAL</vt:lpstr>
      <vt:lpstr>'AMS Life'!MS_FINANCIAL</vt:lpstr>
      <vt:lpstr>'Andrew Jackson'!MS_FINANCIAL</vt:lpstr>
      <vt:lpstr>'Bankers Commercial'!MS_FINANCIAL</vt:lpstr>
      <vt:lpstr>'Bankers Life'!MS_FINANCIAL</vt:lpstr>
      <vt:lpstr>Benicorp!MS_FINANCIAL</vt:lpstr>
      <vt:lpstr>'Booker T Washington'!MS_FINANCIAL</vt:lpstr>
      <vt:lpstr>Centennial!MS_FINANCIAL</vt:lpstr>
      <vt:lpstr>'CO Bankers'!MS_FINANCIAL</vt:lpstr>
      <vt:lpstr>'Coastal States'!MS_FINANCIAL</vt:lpstr>
      <vt:lpstr>'Colorado Health'!MS_FINANCIAL</vt:lpstr>
      <vt:lpstr>'Compass (dbs Meritus)'!MS_FINANCIAL</vt:lpstr>
      <vt:lpstr>'Confed Life &amp; Annty (CLIAC)'!MS_FINANCIAL</vt:lpstr>
      <vt:lpstr>'Confed Life (CLIC)'!MS_FINANCIAL</vt:lpstr>
      <vt:lpstr>'Consolidated National'!MS_FINANCIAL</vt:lpstr>
      <vt:lpstr>'Consumers Choice'!MS_FINANCIAL</vt:lpstr>
      <vt:lpstr>'Consumers Mutual'!MS_FINANCIAL</vt:lpstr>
      <vt:lpstr>'Consumers United'!MS_FINANCIAL</vt:lpstr>
      <vt:lpstr>CoOportunity!MS_FINANCIAL</vt:lpstr>
      <vt:lpstr>'Coordinated Hlth'!MS_FINANCIAL</vt:lpstr>
      <vt:lpstr>'Corporate Life'!MS_FINANCIAL</vt:lpstr>
      <vt:lpstr>'Diamond Benefits'!MS_FINANCIAL</vt:lpstr>
      <vt:lpstr>'EBL Life'!MS_FINANCIAL</vt:lpstr>
      <vt:lpstr>ELNY!MS_FINANCIAL</vt:lpstr>
      <vt:lpstr>'Executive Life'!MS_FINANCIAL</vt:lpstr>
      <vt:lpstr>'Family Guaranty'!MS_FINANCIAL</vt:lpstr>
      <vt:lpstr>'Fidelity Bankers'!MS_FINANCIAL</vt:lpstr>
      <vt:lpstr>'Fidelity Mutual'!MS_FINANCIAL</vt:lpstr>
      <vt:lpstr>'First Capital'!MS_FINANCIAL</vt:lpstr>
      <vt:lpstr>'First Natl'!MS_FINANCIAL</vt:lpstr>
      <vt:lpstr>'First Natl (Thrnr)'!MS_FINANCIAL</vt:lpstr>
      <vt:lpstr>'Franklin American'!MS_FINANCIAL</vt:lpstr>
      <vt:lpstr>'Franklin Protective'!MS_FINANCIAL</vt:lpstr>
      <vt:lpstr>'Freelancers CO-OP'!MS_FINANCIAL</vt:lpstr>
      <vt:lpstr>Freestone!MS_FINANCIAL</vt:lpstr>
      <vt:lpstr>'George Washington'!MS_FINANCIAL</vt:lpstr>
      <vt:lpstr>'Golden State'!MS_FINANCIAL</vt:lpstr>
      <vt:lpstr>'Guarantee Security'!MS_FINANCIAL</vt:lpstr>
      <vt:lpstr>HealthyCT!MS_FINANCIAL</vt:lpstr>
      <vt:lpstr>Imerica!MS_FINANCIAL</vt:lpstr>
      <vt:lpstr>'Inter-American'!MS_FINANCIAL</vt:lpstr>
      <vt:lpstr>'International Fin'!MS_FINANCIAL</vt:lpstr>
      <vt:lpstr>'Investment Life of America'!MS_FINANCIAL</vt:lpstr>
      <vt:lpstr>'Investors Equity'!MS_FINANCIAL</vt:lpstr>
      <vt:lpstr>'Kentucky Central'!MS_FINANCIAL</vt:lpstr>
      <vt:lpstr>'Land of Lincoln'!MS_FINANCIAL</vt:lpstr>
      <vt:lpstr>Legion!MS_FINANCIAL</vt:lpstr>
      <vt:lpstr>'Life Health America'!MS_FINANCIAL</vt:lpstr>
      <vt:lpstr>'Lincoln Memorial'!MS_FINANCIAL</vt:lpstr>
      <vt:lpstr>'London Pac'!MS_FINANCIAL</vt:lpstr>
      <vt:lpstr>Lumbermens!MS_FINANCIAL</vt:lpstr>
      <vt:lpstr>'Medical Savings'!MS_FINANCIAL</vt:lpstr>
      <vt:lpstr>'Memorial Service'!MS_FINANCIAL</vt:lpstr>
      <vt:lpstr>Midcontinent!MS_FINANCIAL</vt:lpstr>
      <vt:lpstr>'Midwest Life'!MS_FINANCIAL</vt:lpstr>
      <vt:lpstr>'Monarch Life'!MS_FINANCIAL</vt:lpstr>
      <vt:lpstr>'Mutual Benefit'!MS_FINANCIAL</vt:lpstr>
      <vt:lpstr>'Mutual Security'!MS_FINANCIAL</vt:lpstr>
      <vt:lpstr>'National Affiliated'!MS_FINANCIAL</vt:lpstr>
      <vt:lpstr>'National Heritage'!MS_FINANCIAL</vt:lpstr>
      <vt:lpstr>'National States'!MS_FINANCIAL</vt:lpstr>
      <vt:lpstr>'Natl American'!MS_FINANCIAL</vt:lpstr>
      <vt:lpstr>'New Jersey Life'!MS_FINANCIAL</vt:lpstr>
      <vt:lpstr>NNIC!MS_FINANCIAL</vt:lpstr>
      <vt:lpstr>'North Carolina Mutual'!MS_FINANCIAL</vt:lpstr>
      <vt:lpstr>'Old Colony Life'!MS_FINANCIAL</vt:lpstr>
      <vt:lpstr>'Old Faithful'!MS_FINANCIAL</vt:lpstr>
      <vt:lpstr>'Pacific Standard'!MS_FINANCIAL</vt:lpstr>
      <vt:lpstr>'Pavonia Life'!MS_FINANCIAL</vt:lpstr>
      <vt:lpstr>'Pen  Treaty'!MS_FINANCIAL</vt:lpstr>
      <vt:lpstr>'Red Rock'!MS_FINANCIAL</vt:lpstr>
      <vt:lpstr>Reliance!MS_FINANCIAL</vt:lpstr>
      <vt:lpstr>SeeChange!MS_FINANCIAL</vt:lpstr>
      <vt:lpstr>'Senior American'!MS_FINANCIAL</vt:lpstr>
      <vt:lpstr>Settlers!MS_FINANCIAL</vt:lpstr>
      <vt:lpstr>Shenandoah!MS_FINANCIAL</vt:lpstr>
      <vt:lpstr>'Southland National Life'!MS_FINANCIAL</vt:lpstr>
      <vt:lpstr>'Standard Life IN'!MS_FINANCIAL</vt:lpstr>
      <vt:lpstr>'States General'!MS_FINANCIAL</vt:lpstr>
      <vt:lpstr>Statesman!MS_FINANCIAL</vt:lpstr>
      <vt:lpstr>'Summit National'!MS_FINANCIAL</vt:lpstr>
      <vt:lpstr>Supreme!MS_FINANCIAL</vt:lpstr>
      <vt:lpstr>Time!MS_FINANCIAL</vt:lpstr>
      <vt:lpstr>'Total Summary'!MS_FINANCIAL</vt:lpstr>
      <vt:lpstr>Underwriters!MS_FINANCIAL</vt:lpstr>
      <vt:lpstr>Unison!MS_FINANCIAL</vt:lpstr>
      <vt:lpstr>'United Republic'!MS_FINANCIAL</vt:lpstr>
      <vt:lpstr>'Universal Health Care'!MS_FINANCIAL</vt:lpstr>
      <vt:lpstr>'Universal Life'!MS_FINANCIAL</vt:lpstr>
      <vt:lpstr>Universe!MS_FINANCIAL</vt:lpstr>
      <vt:lpstr>Villanova!MS_FINANCIAL</vt:lpstr>
      <vt:lpstr>'AF&amp;L'!MT_FINANCIAL</vt:lpstr>
      <vt:lpstr>'Alabama Life'!MT_FINANCIAL</vt:lpstr>
      <vt:lpstr>'Amer Life Asr'!MT_FINANCIAL</vt:lpstr>
      <vt:lpstr>'Amer Std Life Acc'!MT_FINANCIAL</vt:lpstr>
      <vt:lpstr>'American Chambers'!MT_FINANCIAL</vt:lpstr>
      <vt:lpstr>'American Community'!MT_FINANCIAL</vt:lpstr>
      <vt:lpstr>'American Educators'!MT_FINANCIAL</vt:lpstr>
      <vt:lpstr>'American Integrity'!MT_FINANCIAL</vt:lpstr>
      <vt:lpstr>'American Medical'!MT_FINANCIAL</vt:lpstr>
      <vt:lpstr>'American Network'!MT_FINANCIAL</vt:lpstr>
      <vt:lpstr>AmerWstrn!MT_FINANCIAL</vt:lpstr>
      <vt:lpstr>'AMS Life'!MT_FINANCIAL</vt:lpstr>
      <vt:lpstr>'Andrew Jackson'!MT_FINANCIAL</vt:lpstr>
      <vt:lpstr>'Bankers Commercial'!MT_FINANCIAL</vt:lpstr>
      <vt:lpstr>'Bankers Life'!MT_FINANCIAL</vt:lpstr>
      <vt:lpstr>Benicorp!MT_FINANCIAL</vt:lpstr>
      <vt:lpstr>'Booker T Washington'!MT_FINANCIAL</vt:lpstr>
      <vt:lpstr>Centennial!MT_FINANCIAL</vt:lpstr>
      <vt:lpstr>'CO Bankers'!MT_FINANCIAL</vt:lpstr>
      <vt:lpstr>'Coastal States'!MT_FINANCIAL</vt:lpstr>
      <vt:lpstr>'Colorado Health'!MT_FINANCIAL</vt:lpstr>
      <vt:lpstr>'Compass (dbs Meritus)'!MT_FINANCIAL</vt:lpstr>
      <vt:lpstr>'Confed Life &amp; Annty (CLIAC)'!MT_FINANCIAL</vt:lpstr>
      <vt:lpstr>'Confed Life (CLIC)'!MT_FINANCIAL</vt:lpstr>
      <vt:lpstr>'Consolidated National'!MT_FINANCIAL</vt:lpstr>
      <vt:lpstr>'Consumers Choice'!MT_FINANCIAL</vt:lpstr>
      <vt:lpstr>'Consumers Mutual'!MT_FINANCIAL</vt:lpstr>
      <vt:lpstr>'Consumers United'!MT_FINANCIAL</vt:lpstr>
      <vt:lpstr>CoOportunity!MT_FINANCIAL</vt:lpstr>
      <vt:lpstr>'Coordinated Hlth'!MT_FINANCIAL</vt:lpstr>
      <vt:lpstr>'Corporate Life'!MT_FINANCIAL</vt:lpstr>
      <vt:lpstr>'Diamond Benefits'!MT_FINANCIAL</vt:lpstr>
      <vt:lpstr>'EBL Life'!MT_FINANCIAL</vt:lpstr>
      <vt:lpstr>ELNY!MT_FINANCIAL</vt:lpstr>
      <vt:lpstr>'Executive Life'!MT_FINANCIAL</vt:lpstr>
      <vt:lpstr>'Family Guaranty'!MT_FINANCIAL</vt:lpstr>
      <vt:lpstr>'Fidelity Bankers'!MT_FINANCIAL</vt:lpstr>
      <vt:lpstr>'Fidelity Mutual'!MT_FINANCIAL</vt:lpstr>
      <vt:lpstr>'First Capital'!MT_FINANCIAL</vt:lpstr>
      <vt:lpstr>'First Natl'!MT_FINANCIAL</vt:lpstr>
      <vt:lpstr>'First Natl (Thrnr)'!MT_FINANCIAL</vt:lpstr>
      <vt:lpstr>'Franklin American'!MT_FINANCIAL</vt:lpstr>
      <vt:lpstr>'Franklin Protective'!MT_FINANCIAL</vt:lpstr>
      <vt:lpstr>'Freelancers CO-OP'!MT_FINANCIAL</vt:lpstr>
      <vt:lpstr>Freestone!MT_FINANCIAL</vt:lpstr>
      <vt:lpstr>'George Washington'!MT_FINANCIAL</vt:lpstr>
      <vt:lpstr>'Golden State'!MT_FINANCIAL</vt:lpstr>
      <vt:lpstr>'Guarantee Security'!MT_FINANCIAL</vt:lpstr>
      <vt:lpstr>HealthyCT!MT_FINANCIAL</vt:lpstr>
      <vt:lpstr>Imerica!MT_FINANCIAL</vt:lpstr>
      <vt:lpstr>'Inter-American'!MT_FINANCIAL</vt:lpstr>
      <vt:lpstr>'International Fin'!MT_FINANCIAL</vt:lpstr>
      <vt:lpstr>'Investment Life of America'!MT_FINANCIAL</vt:lpstr>
      <vt:lpstr>'Investors Equity'!MT_FINANCIAL</vt:lpstr>
      <vt:lpstr>'Kentucky Central'!MT_FINANCIAL</vt:lpstr>
      <vt:lpstr>'Land of Lincoln'!MT_FINANCIAL</vt:lpstr>
      <vt:lpstr>Legion!MT_FINANCIAL</vt:lpstr>
      <vt:lpstr>'Life Health America'!MT_FINANCIAL</vt:lpstr>
      <vt:lpstr>'Lincoln Memorial'!MT_FINANCIAL</vt:lpstr>
      <vt:lpstr>'London Pac'!MT_FINANCIAL</vt:lpstr>
      <vt:lpstr>Lumbermens!MT_FINANCIAL</vt:lpstr>
      <vt:lpstr>'Medical Savings'!MT_FINANCIAL</vt:lpstr>
      <vt:lpstr>'Memorial Service'!MT_FINANCIAL</vt:lpstr>
      <vt:lpstr>Midcontinent!MT_FINANCIAL</vt:lpstr>
      <vt:lpstr>'Midwest Life'!MT_FINANCIAL</vt:lpstr>
      <vt:lpstr>'Monarch Life'!MT_FINANCIAL</vt:lpstr>
      <vt:lpstr>'Mutual Benefit'!MT_FINANCIAL</vt:lpstr>
      <vt:lpstr>'Mutual Security'!MT_FINANCIAL</vt:lpstr>
      <vt:lpstr>'National Affiliated'!MT_FINANCIAL</vt:lpstr>
      <vt:lpstr>'National Heritage'!MT_FINANCIAL</vt:lpstr>
      <vt:lpstr>'National States'!MT_FINANCIAL</vt:lpstr>
      <vt:lpstr>'Natl American'!MT_FINANCIAL</vt:lpstr>
      <vt:lpstr>'New Jersey Life'!MT_FINANCIAL</vt:lpstr>
      <vt:lpstr>NNIC!MT_FINANCIAL</vt:lpstr>
      <vt:lpstr>'North Carolina Mutual'!MT_FINANCIAL</vt:lpstr>
      <vt:lpstr>'Old Colony Life'!MT_FINANCIAL</vt:lpstr>
      <vt:lpstr>'Old Faithful'!MT_FINANCIAL</vt:lpstr>
      <vt:lpstr>'Pacific Standard'!MT_FINANCIAL</vt:lpstr>
      <vt:lpstr>'Pavonia Life'!MT_FINANCIAL</vt:lpstr>
      <vt:lpstr>'Pen  Treaty'!MT_FINANCIAL</vt:lpstr>
      <vt:lpstr>'Red Rock'!MT_FINANCIAL</vt:lpstr>
      <vt:lpstr>Reliance!MT_FINANCIAL</vt:lpstr>
      <vt:lpstr>SeeChange!MT_FINANCIAL</vt:lpstr>
      <vt:lpstr>'Senior American'!MT_FINANCIAL</vt:lpstr>
      <vt:lpstr>Settlers!MT_FINANCIAL</vt:lpstr>
      <vt:lpstr>Shenandoah!MT_FINANCIAL</vt:lpstr>
      <vt:lpstr>'Southland National Life'!MT_FINANCIAL</vt:lpstr>
      <vt:lpstr>'Standard Life IN'!MT_FINANCIAL</vt:lpstr>
      <vt:lpstr>'States General'!MT_FINANCIAL</vt:lpstr>
      <vt:lpstr>Statesman!MT_FINANCIAL</vt:lpstr>
      <vt:lpstr>'Summit National'!MT_FINANCIAL</vt:lpstr>
      <vt:lpstr>Supreme!MT_FINANCIAL</vt:lpstr>
      <vt:lpstr>Time!MT_FINANCIAL</vt:lpstr>
      <vt:lpstr>'Total Summary'!MT_FINANCIAL</vt:lpstr>
      <vt:lpstr>Underwriters!MT_FINANCIAL</vt:lpstr>
      <vt:lpstr>Unison!MT_FINANCIAL</vt:lpstr>
      <vt:lpstr>'United Republic'!MT_FINANCIAL</vt:lpstr>
      <vt:lpstr>'Universal Health Care'!MT_FINANCIAL</vt:lpstr>
      <vt:lpstr>'Universal Life'!MT_FINANCIAL</vt:lpstr>
      <vt:lpstr>Universe!MT_FINANCIAL</vt:lpstr>
      <vt:lpstr>Villanova!MT_FINANCIAL</vt:lpstr>
      <vt:lpstr>'AF&amp;L'!NC_FINANCIAL</vt:lpstr>
      <vt:lpstr>'Alabama Life'!NC_FINANCIAL</vt:lpstr>
      <vt:lpstr>'Amer Life Asr'!NC_FINANCIAL</vt:lpstr>
      <vt:lpstr>'Amer Std Life Acc'!NC_FINANCIAL</vt:lpstr>
      <vt:lpstr>'American Chambers'!NC_FINANCIAL</vt:lpstr>
      <vt:lpstr>'American Community'!NC_FINANCIAL</vt:lpstr>
      <vt:lpstr>'American Educators'!NC_FINANCIAL</vt:lpstr>
      <vt:lpstr>'American Integrity'!NC_FINANCIAL</vt:lpstr>
      <vt:lpstr>'American Medical'!NC_FINANCIAL</vt:lpstr>
      <vt:lpstr>'American Network'!NC_FINANCIAL</vt:lpstr>
      <vt:lpstr>AmerWstrn!NC_FINANCIAL</vt:lpstr>
      <vt:lpstr>'AMS Life'!NC_FINANCIAL</vt:lpstr>
      <vt:lpstr>'Andrew Jackson'!NC_FINANCIAL</vt:lpstr>
      <vt:lpstr>'Bankers Commercial'!NC_FINANCIAL</vt:lpstr>
      <vt:lpstr>'Bankers Life'!NC_FINANCIAL</vt:lpstr>
      <vt:lpstr>Benicorp!NC_FINANCIAL</vt:lpstr>
      <vt:lpstr>'Booker T Washington'!NC_FINANCIAL</vt:lpstr>
      <vt:lpstr>Centennial!NC_FINANCIAL</vt:lpstr>
      <vt:lpstr>'CO Bankers'!NC_FINANCIAL</vt:lpstr>
      <vt:lpstr>'Coastal States'!NC_FINANCIAL</vt:lpstr>
      <vt:lpstr>'Colorado Health'!NC_FINANCIAL</vt:lpstr>
      <vt:lpstr>'Compass (dbs Meritus)'!NC_FINANCIAL</vt:lpstr>
      <vt:lpstr>'Confed Life &amp; Annty (CLIAC)'!NC_FINANCIAL</vt:lpstr>
      <vt:lpstr>'Confed Life (CLIC)'!NC_FINANCIAL</vt:lpstr>
      <vt:lpstr>'Consolidated National'!NC_FINANCIAL</vt:lpstr>
      <vt:lpstr>'Consumers Choice'!NC_FINANCIAL</vt:lpstr>
      <vt:lpstr>'Consumers Mutual'!NC_FINANCIAL</vt:lpstr>
      <vt:lpstr>'Consumers United'!NC_FINANCIAL</vt:lpstr>
      <vt:lpstr>CoOportunity!NC_FINANCIAL</vt:lpstr>
      <vt:lpstr>'Coordinated Hlth'!NC_FINANCIAL</vt:lpstr>
      <vt:lpstr>'Corporate Life'!NC_FINANCIAL</vt:lpstr>
      <vt:lpstr>'Diamond Benefits'!NC_FINANCIAL</vt:lpstr>
      <vt:lpstr>'EBL Life'!NC_FINANCIAL</vt:lpstr>
      <vt:lpstr>ELNY!NC_FINANCIAL</vt:lpstr>
      <vt:lpstr>'Executive Life'!NC_FINANCIAL</vt:lpstr>
      <vt:lpstr>'Family Guaranty'!NC_FINANCIAL</vt:lpstr>
      <vt:lpstr>'Fidelity Bankers'!NC_FINANCIAL</vt:lpstr>
      <vt:lpstr>'Fidelity Mutual'!NC_FINANCIAL</vt:lpstr>
      <vt:lpstr>'First Capital'!NC_FINANCIAL</vt:lpstr>
      <vt:lpstr>'First Natl'!NC_FINANCIAL</vt:lpstr>
      <vt:lpstr>'First Natl (Thrnr)'!NC_FINANCIAL</vt:lpstr>
      <vt:lpstr>'Franklin American'!NC_FINANCIAL</vt:lpstr>
      <vt:lpstr>'Franklin Protective'!NC_FINANCIAL</vt:lpstr>
      <vt:lpstr>'Freelancers CO-OP'!NC_FINANCIAL</vt:lpstr>
      <vt:lpstr>Freestone!NC_FINANCIAL</vt:lpstr>
      <vt:lpstr>'George Washington'!NC_FINANCIAL</vt:lpstr>
      <vt:lpstr>'Golden State'!NC_FINANCIAL</vt:lpstr>
      <vt:lpstr>'Guarantee Security'!NC_FINANCIAL</vt:lpstr>
      <vt:lpstr>HealthyCT!NC_FINANCIAL</vt:lpstr>
      <vt:lpstr>Imerica!NC_FINANCIAL</vt:lpstr>
      <vt:lpstr>'Inter-American'!NC_FINANCIAL</vt:lpstr>
      <vt:lpstr>'International Fin'!NC_FINANCIAL</vt:lpstr>
      <vt:lpstr>'Investment Life of America'!NC_FINANCIAL</vt:lpstr>
      <vt:lpstr>'Investors Equity'!NC_FINANCIAL</vt:lpstr>
      <vt:lpstr>'Kentucky Central'!NC_FINANCIAL</vt:lpstr>
      <vt:lpstr>'Land of Lincoln'!NC_FINANCIAL</vt:lpstr>
      <vt:lpstr>Legion!NC_FINANCIAL</vt:lpstr>
      <vt:lpstr>'Life Health America'!NC_FINANCIAL</vt:lpstr>
      <vt:lpstr>'Lincoln Memorial'!NC_FINANCIAL</vt:lpstr>
      <vt:lpstr>'London Pac'!NC_FINANCIAL</vt:lpstr>
      <vt:lpstr>Lumbermens!NC_FINANCIAL</vt:lpstr>
      <vt:lpstr>'Medical Savings'!NC_FINANCIAL</vt:lpstr>
      <vt:lpstr>'Memorial Service'!NC_FINANCIAL</vt:lpstr>
      <vt:lpstr>Midcontinent!NC_FINANCIAL</vt:lpstr>
      <vt:lpstr>'Midwest Life'!NC_FINANCIAL</vt:lpstr>
      <vt:lpstr>'Monarch Life'!NC_FINANCIAL</vt:lpstr>
      <vt:lpstr>'Mutual Benefit'!NC_FINANCIAL</vt:lpstr>
      <vt:lpstr>'Mutual Security'!NC_FINANCIAL</vt:lpstr>
      <vt:lpstr>'National Affiliated'!NC_FINANCIAL</vt:lpstr>
      <vt:lpstr>'National Heritage'!NC_FINANCIAL</vt:lpstr>
      <vt:lpstr>'National States'!NC_FINANCIAL</vt:lpstr>
      <vt:lpstr>'Natl American'!NC_FINANCIAL</vt:lpstr>
      <vt:lpstr>'New Jersey Life'!NC_FINANCIAL</vt:lpstr>
      <vt:lpstr>NNIC!NC_FINANCIAL</vt:lpstr>
      <vt:lpstr>'North Carolina Mutual'!NC_FINANCIAL</vt:lpstr>
      <vt:lpstr>'Old Colony Life'!NC_FINANCIAL</vt:lpstr>
      <vt:lpstr>'Old Faithful'!NC_FINANCIAL</vt:lpstr>
      <vt:lpstr>'Pacific Standard'!NC_FINANCIAL</vt:lpstr>
      <vt:lpstr>'Pavonia Life'!NC_FINANCIAL</vt:lpstr>
      <vt:lpstr>'Pen  Treaty'!NC_FINANCIAL</vt:lpstr>
      <vt:lpstr>'Red Rock'!NC_FINANCIAL</vt:lpstr>
      <vt:lpstr>Reliance!NC_FINANCIAL</vt:lpstr>
      <vt:lpstr>SeeChange!NC_FINANCIAL</vt:lpstr>
      <vt:lpstr>'Senior American'!NC_FINANCIAL</vt:lpstr>
      <vt:lpstr>Settlers!NC_FINANCIAL</vt:lpstr>
      <vt:lpstr>Shenandoah!NC_FINANCIAL</vt:lpstr>
      <vt:lpstr>'Southland National Life'!NC_FINANCIAL</vt:lpstr>
      <vt:lpstr>'Standard Life IN'!NC_FINANCIAL</vt:lpstr>
      <vt:lpstr>'States General'!NC_FINANCIAL</vt:lpstr>
      <vt:lpstr>Statesman!NC_FINANCIAL</vt:lpstr>
      <vt:lpstr>'Summit National'!NC_FINANCIAL</vt:lpstr>
      <vt:lpstr>Supreme!NC_FINANCIAL</vt:lpstr>
      <vt:lpstr>Time!NC_FINANCIAL</vt:lpstr>
      <vt:lpstr>'Total Summary'!NC_FINANCIAL</vt:lpstr>
      <vt:lpstr>Underwriters!NC_FINANCIAL</vt:lpstr>
      <vt:lpstr>Unison!NC_FINANCIAL</vt:lpstr>
      <vt:lpstr>'United Republic'!NC_FINANCIAL</vt:lpstr>
      <vt:lpstr>'Universal Health Care'!NC_FINANCIAL</vt:lpstr>
      <vt:lpstr>'Universal Life'!NC_FINANCIAL</vt:lpstr>
      <vt:lpstr>Universe!NC_FINANCIAL</vt:lpstr>
      <vt:lpstr>Villanova!NC_FINANCIAL</vt:lpstr>
      <vt:lpstr>'AF&amp;L'!ND_FINANCIAL</vt:lpstr>
      <vt:lpstr>'Alabama Life'!ND_FINANCIAL</vt:lpstr>
      <vt:lpstr>'Amer Life Asr'!ND_FINANCIAL</vt:lpstr>
      <vt:lpstr>'Amer Std Life Acc'!ND_FINANCIAL</vt:lpstr>
      <vt:lpstr>'American Chambers'!ND_FINANCIAL</vt:lpstr>
      <vt:lpstr>'American Community'!ND_FINANCIAL</vt:lpstr>
      <vt:lpstr>'American Educators'!ND_FINANCIAL</vt:lpstr>
      <vt:lpstr>'American Integrity'!ND_FINANCIAL</vt:lpstr>
      <vt:lpstr>'American Medical'!ND_FINANCIAL</vt:lpstr>
      <vt:lpstr>'American Network'!ND_FINANCIAL</vt:lpstr>
      <vt:lpstr>AmerWstrn!ND_FINANCIAL</vt:lpstr>
      <vt:lpstr>'AMS Life'!ND_FINANCIAL</vt:lpstr>
      <vt:lpstr>'Andrew Jackson'!ND_FINANCIAL</vt:lpstr>
      <vt:lpstr>'Bankers Commercial'!ND_FINANCIAL</vt:lpstr>
      <vt:lpstr>'Bankers Life'!ND_FINANCIAL</vt:lpstr>
      <vt:lpstr>Benicorp!ND_FINANCIAL</vt:lpstr>
      <vt:lpstr>'Booker T Washington'!ND_FINANCIAL</vt:lpstr>
      <vt:lpstr>Centennial!ND_FINANCIAL</vt:lpstr>
      <vt:lpstr>'CO Bankers'!ND_FINANCIAL</vt:lpstr>
      <vt:lpstr>'Coastal States'!ND_FINANCIAL</vt:lpstr>
      <vt:lpstr>'Colorado Health'!ND_FINANCIAL</vt:lpstr>
      <vt:lpstr>'Compass (dbs Meritus)'!ND_FINANCIAL</vt:lpstr>
      <vt:lpstr>'Confed Life &amp; Annty (CLIAC)'!ND_FINANCIAL</vt:lpstr>
      <vt:lpstr>'Confed Life (CLIC)'!ND_FINANCIAL</vt:lpstr>
      <vt:lpstr>'Consolidated National'!ND_FINANCIAL</vt:lpstr>
      <vt:lpstr>'Consumers Choice'!ND_FINANCIAL</vt:lpstr>
      <vt:lpstr>'Consumers Mutual'!ND_FINANCIAL</vt:lpstr>
      <vt:lpstr>'Consumers United'!ND_FINANCIAL</vt:lpstr>
      <vt:lpstr>CoOportunity!ND_FINANCIAL</vt:lpstr>
      <vt:lpstr>'Coordinated Hlth'!ND_FINANCIAL</vt:lpstr>
      <vt:lpstr>'Corporate Life'!ND_FINANCIAL</vt:lpstr>
      <vt:lpstr>'Diamond Benefits'!ND_FINANCIAL</vt:lpstr>
      <vt:lpstr>'EBL Life'!ND_FINANCIAL</vt:lpstr>
      <vt:lpstr>ELNY!ND_FINANCIAL</vt:lpstr>
      <vt:lpstr>'Executive Life'!ND_FINANCIAL</vt:lpstr>
      <vt:lpstr>'Family Guaranty'!ND_FINANCIAL</vt:lpstr>
      <vt:lpstr>'Fidelity Bankers'!ND_FINANCIAL</vt:lpstr>
      <vt:lpstr>'Fidelity Mutual'!ND_FINANCIAL</vt:lpstr>
      <vt:lpstr>'First Capital'!ND_FINANCIAL</vt:lpstr>
      <vt:lpstr>'First Natl'!ND_FINANCIAL</vt:lpstr>
      <vt:lpstr>'First Natl (Thrnr)'!ND_FINANCIAL</vt:lpstr>
      <vt:lpstr>'Franklin American'!ND_FINANCIAL</vt:lpstr>
      <vt:lpstr>'Franklin Protective'!ND_FINANCIAL</vt:lpstr>
      <vt:lpstr>'Freelancers CO-OP'!ND_FINANCIAL</vt:lpstr>
      <vt:lpstr>Freestone!ND_FINANCIAL</vt:lpstr>
      <vt:lpstr>'George Washington'!ND_FINANCIAL</vt:lpstr>
      <vt:lpstr>'Golden State'!ND_FINANCIAL</vt:lpstr>
      <vt:lpstr>'Guarantee Security'!ND_FINANCIAL</vt:lpstr>
      <vt:lpstr>HealthyCT!ND_FINANCIAL</vt:lpstr>
      <vt:lpstr>Imerica!ND_FINANCIAL</vt:lpstr>
      <vt:lpstr>'Inter-American'!ND_FINANCIAL</vt:lpstr>
      <vt:lpstr>'International Fin'!ND_FINANCIAL</vt:lpstr>
      <vt:lpstr>'Investment Life of America'!ND_FINANCIAL</vt:lpstr>
      <vt:lpstr>'Investors Equity'!ND_FINANCIAL</vt:lpstr>
      <vt:lpstr>'Kentucky Central'!ND_FINANCIAL</vt:lpstr>
      <vt:lpstr>'Land of Lincoln'!ND_FINANCIAL</vt:lpstr>
      <vt:lpstr>Legion!ND_FINANCIAL</vt:lpstr>
      <vt:lpstr>'Life Health America'!ND_FINANCIAL</vt:lpstr>
      <vt:lpstr>'Lincoln Memorial'!ND_FINANCIAL</vt:lpstr>
      <vt:lpstr>'London Pac'!ND_FINANCIAL</vt:lpstr>
      <vt:lpstr>Lumbermens!ND_FINANCIAL</vt:lpstr>
      <vt:lpstr>'Medical Savings'!ND_FINANCIAL</vt:lpstr>
      <vt:lpstr>'Memorial Service'!ND_FINANCIAL</vt:lpstr>
      <vt:lpstr>Midcontinent!ND_FINANCIAL</vt:lpstr>
      <vt:lpstr>'Midwest Life'!ND_FINANCIAL</vt:lpstr>
      <vt:lpstr>'Monarch Life'!ND_FINANCIAL</vt:lpstr>
      <vt:lpstr>'Mutual Benefit'!ND_FINANCIAL</vt:lpstr>
      <vt:lpstr>'Mutual Security'!ND_FINANCIAL</vt:lpstr>
      <vt:lpstr>'National Affiliated'!ND_FINANCIAL</vt:lpstr>
      <vt:lpstr>'National Heritage'!ND_FINANCIAL</vt:lpstr>
      <vt:lpstr>'National States'!ND_FINANCIAL</vt:lpstr>
      <vt:lpstr>'Natl American'!ND_FINANCIAL</vt:lpstr>
      <vt:lpstr>'New Jersey Life'!ND_FINANCIAL</vt:lpstr>
      <vt:lpstr>NNIC!ND_FINANCIAL</vt:lpstr>
      <vt:lpstr>'North Carolina Mutual'!ND_FINANCIAL</vt:lpstr>
      <vt:lpstr>'Old Colony Life'!ND_FINANCIAL</vt:lpstr>
      <vt:lpstr>'Old Faithful'!ND_FINANCIAL</vt:lpstr>
      <vt:lpstr>'Pacific Standard'!ND_FINANCIAL</vt:lpstr>
      <vt:lpstr>'Pavonia Life'!ND_FINANCIAL</vt:lpstr>
      <vt:lpstr>'Pen  Treaty'!ND_FINANCIAL</vt:lpstr>
      <vt:lpstr>'Red Rock'!ND_FINANCIAL</vt:lpstr>
      <vt:lpstr>Reliance!ND_FINANCIAL</vt:lpstr>
      <vt:lpstr>SeeChange!ND_FINANCIAL</vt:lpstr>
      <vt:lpstr>'Senior American'!ND_FINANCIAL</vt:lpstr>
      <vt:lpstr>Settlers!ND_FINANCIAL</vt:lpstr>
      <vt:lpstr>Shenandoah!ND_FINANCIAL</vt:lpstr>
      <vt:lpstr>'Southland National Life'!ND_FINANCIAL</vt:lpstr>
      <vt:lpstr>'Standard Life IN'!ND_FINANCIAL</vt:lpstr>
      <vt:lpstr>'States General'!ND_FINANCIAL</vt:lpstr>
      <vt:lpstr>Statesman!ND_FINANCIAL</vt:lpstr>
      <vt:lpstr>'Summit National'!ND_FINANCIAL</vt:lpstr>
      <vt:lpstr>Supreme!ND_FINANCIAL</vt:lpstr>
      <vt:lpstr>Time!ND_FINANCIAL</vt:lpstr>
      <vt:lpstr>'Total Summary'!ND_FINANCIAL</vt:lpstr>
      <vt:lpstr>Underwriters!ND_FINANCIAL</vt:lpstr>
      <vt:lpstr>Unison!ND_FINANCIAL</vt:lpstr>
      <vt:lpstr>'United Republic'!ND_FINANCIAL</vt:lpstr>
      <vt:lpstr>'Universal Health Care'!ND_FINANCIAL</vt:lpstr>
      <vt:lpstr>'Universal Life'!ND_FINANCIAL</vt:lpstr>
      <vt:lpstr>Universe!ND_FINANCIAL</vt:lpstr>
      <vt:lpstr>Villanova!ND_FINANCIAL</vt:lpstr>
      <vt:lpstr>'AF&amp;L'!NE_FINANCIAL</vt:lpstr>
      <vt:lpstr>'Alabama Life'!NE_FINANCIAL</vt:lpstr>
      <vt:lpstr>'Amer Life Asr'!NE_FINANCIAL</vt:lpstr>
      <vt:lpstr>'Amer Std Life Acc'!NE_FINANCIAL</vt:lpstr>
      <vt:lpstr>'American Chambers'!NE_FINANCIAL</vt:lpstr>
      <vt:lpstr>'American Community'!NE_FINANCIAL</vt:lpstr>
      <vt:lpstr>'American Educators'!NE_FINANCIAL</vt:lpstr>
      <vt:lpstr>'American Integrity'!NE_FINANCIAL</vt:lpstr>
      <vt:lpstr>'American Medical'!NE_FINANCIAL</vt:lpstr>
      <vt:lpstr>'American Network'!NE_FINANCIAL</vt:lpstr>
      <vt:lpstr>AmerWstrn!NE_FINANCIAL</vt:lpstr>
      <vt:lpstr>'AMS Life'!NE_FINANCIAL</vt:lpstr>
      <vt:lpstr>'Andrew Jackson'!NE_FINANCIAL</vt:lpstr>
      <vt:lpstr>'Bankers Commercial'!NE_FINANCIAL</vt:lpstr>
      <vt:lpstr>'Bankers Life'!NE_FINANCIAL</vt:lpstr>
      <vt:lpstr>Benicorp!NE_FINANCIAL</vt:lpstr>
      <vt:lpstr>'Booker T Washington'!NE_FINANCIAL</vt:lpstr>
      <vt:lpstr>Centennial!NE_FINANCIAL</vt:lpstr>
      <vt:lpstr>'CO Bankers'!NE_FINANCIAL</vt:lpstr>
      <vt:lpstr>'Coastal States'!NE_FINANCIAL</vt:lpstr>
      <vt:lpstr>'Colorado Health'!NE_FINANCIAL</vt:lpstr>
      <vt:lpstr>'Compass (dbs Meritus)'!NE_FINANCIAL</vt:lpstr>
      <vt:lpstr>'Confed Life &amp; Annty (CLIAC)'!NE_FINANCIAL</vt:lpstr>
      <vt:lpstr>'Confed Life (CLIC)'!NE_FINANCIAL</vt:lpstr>
      <vt:lpstr>'Consolidated National'!NE_FINANCIAL</vt:lpstr>
      <vt:lpstr>'Consumers Choice'!NE_FINANCIAL</vt:lpstr>
      <vt:lpstr>'Consumers Mutual'!NE_FINANCIAL</vt:lpstr>
      <vt:lpstr>'Consumers United'!NE_FINANCIAL</vt:lpstr>
      <vt:lpstr>CoOportunity!NE_FINANCIAL</vt:lpstr>
      <vt:lpstr>'Coordinated Hlth'!NE_FINANCIAL</vt:lpstr>
      <vt:lpstr>'Corporate Life'!NE_FINANCIAL</vt:lpstr>
      <vt:lpstr>'Diamond Benefits'!NE_FINANCIAL</vt:lpstr>
      <vt:lpstr>'EBL Life'!NE_FINANCIAL</vt:lpstr>
      <vt:lpstr>ELNY!NE_FINANCIAL</vt:lpstr>
      <vt:lpstr>'Executive Life'!NE_FINANCIAL</vt:lpstr>
      <vt:lpstr>'Family Guaranty'!NE_FINANCIAL</vt:lpstr>
      <vt:lpstr>'Fidelity Bankers'!NE_FINANCIAL</vt:lpstr>
      <vt:lpstr>'Fidelity Mutual'!NE_FINANCIAL</vt:lpstr>
      <vt:lpstr>'First Capital'!NE_FINANCIAL</vt:lpstr>
      <vt:lpstr>'First Natl'!NE_FINANCIAL</vt:lpstr>
      <vt:lpstr>'First Natl (Thrnr)'!NE_FINANCIAL</vt:lpstr>
      <vt:lpstr>'Franklin American'!NE_FINANCIAL</vt:lpstr>
      <vt:lpstr>'Franklin Protective'!NE_FINANCIAL</vt:lpstr>
      <vt:lpstr>'Freelancers CO-OP'!NE_FINANCIAL</vt:lpstr>
      <vt:lpstr>Freestone!NE_FINANCIAL</vt:lpstr>
      <vt:lpstr>'George Washington'!NE_FINANCIAL</vt:lpstr>
      <vt:lpstr>'Golden State'!NE_FINANCIAL</vt:lpstr>
      <vt:lpstr>'Guarantee Security'!NE_FINANCIAL</vt:lpstr>
      <vt:lpstr>HealthyCT!NE_FINANCIAL</vt:lpstr>
      <vt:lpstr>Imerica!NE_FINANCIAL</vt:lpstr>
      <vt:lpstr>'Inter-American'!NE_FINANCIAL</vt:lpstr>
      <vt:lpstr>'International Fin'!NE_FINANCIAL</vt:lpstr>
      <vt:lpstr>'Investment Life of America'!NE_FINANCIAL</vt:lpstr>
      <vt:lpstr>'Investors Equity'!NE_FINANCIAL</vt:lpstr>
      <vt:lpstr>'Kentucky Central'!NE_FINANCIAL</vt:lpstr>
      <vt:lpstr>'Land of Lincoln'!NE_FINANCIAL</vt:lpstr>
      <vt:lpstr>Legion!NE_FINANCIAL</vt:lpstr>
      <vt:lpstr>'Life Health America'!NE_FINANCIAL</vt:lpstr>
      <vt:lpstr>'Lincoln Memorial'!NE_FINANCIAL</vt:lpstr>
      <vt:lpstr>'London Pac'!NE_FINANCIAL</vt:lpstr>
      <vt:lpstr>Lumbermens!NE_FINANCIAL</vt:lpstr>
      <vt:lpstr>'Medical Savings'!NE_FINANCIAL</vt:lpstr>
      <vt:lpstr>'Memorial Service'!NE_FINANCIAL</vt:lpstr>
      <vt:lpstr>Midcontinent!NE_FINANCIAL</vt:lpstr>
      <vt:lpstr>'Midwest Life'!NE_FINANCIAL</vt:lpstr>
      <vt:lpstr>'Monarch Life'!NE_FINANCIAL</vt:lpstr>
      <vt:lpstr>'Mutual Benefit'!NE_FINANCIAL</vt:lpstr>
      <vt:lpstr>'Mutual Security'!NE_FINANCIAL</vt:lpstr>
      <vt:lpstr>'National Affiliated'!NE_FINANCIAL</vt:lpstr>
      <vt:lpstr>'National Heritage'!NE_FINANCIAL</vt:lpstr>
      <vt:lpstr>'National States'!NE_FINANCIAL</vt:lpstr>
      <vt:lpstr>'Natl American'!NE_FINANCIAL</vt:lpstr>
      <vt:lpstr>'New Jersey Life'!NE_FINANCIAL</vt:lpstr>
      <vt:lpstr>NNIC!NE_FINANCIAL</vt:lpstr>
      <vt:lpstr>'North Carolina Mutual'!NE_FINANCIAL</vt:lpstr>
      <vt:lpstr>'Old Colony Life'!NE_FINANCIAL</vt:lpstr>
      <vt:lpstr>'Old Faithful'!NE_FINANCIAL</vt:lpstr>
      <vt:lpstr>'Pacific Standard'!NE_FINANCIAL</vt:lpstr>
      <vt:lpstr>'Pavonia Life'!NE_FINANCIAL</vt:lpstr>
      <vt:lpstr>'Pen  Treaty'!NE_FINANCIAL</vt:lpstr>
      <vt:lpstr>'Red Rock'!NE_FINANCIAL</vt:lpstr>
      <vt:lpstr>Reliance!NE_FINANCIAL</vt:lpstr>
      <vt:lpstr>SeeChange!NE_FINANCIAL</vt:lpstr>
      <vt:lpstr>'Senior American'!NE_FINANCIAL</vt:lpstr>
      <vt:lpstr>Settlers!NE_FINANCIAL</vt:lpstr>
      <vt:lpstr>Shenandoah!NE_FINANCIAL</vt:lpstr>
      <vt:lpstr>'Southland National Life'!NE_FINANCIAL</vt:lpstr>
      <vt:lpstr>'Standard Life IN'!NE_FINANCIAL</vt:lpstr>
      <vt:lpstr>'States General'!NE_FINANCIAL</vt:lpstr>
      <vt:lpstr>Statesman!NE_FINANCIAL</vt:lpstr>
      <vt:lpstr>'Summit National'!NE_FINANCIAL</vt:lpstr>
      <vt:lpstr>Supreme!NE_FINANCIAL</vt:lpstr>
      <vt:lpstr>Time!NE_FINANCIAL</vt:lpstr>
      <vt:lpstr>'Total Summary'!NE_FINANCIAL</vt:lpstr>
      <vt:lpstr>Underwriters!NE_FINANCIAL</vt:lpstr>
      <vt:lpstr>Unison!NE_FINANCIAL</vt:lpstr>
      <vt:lpstr>'United Republic'!NE_FINANCIAL</vt:lpstr>
      <vt:lpstr>'Universal Health Care'!NE_FINANCIAL</vt:lpstr>
      <vt:lpstr>'Universal Life'!NE_FINANCIAL</vt:lpstr>
      <vt:lpstr>Universe!NE_FINANCIAL</vt:lpstr>
      <vt:lpstr>Villanova!NE_FINANCIAL</vt:lpstr>
      <vt:lpstr>'AF&amp;L'!NH_FINANCIAL</vt:lpstr>
      <vt:lpstr>'Alabama Life'!NH_FINANCIAL</vt:lpstr>
      <vt:lpstr>'Amer Life Asr'!NH_FINANCIAL</vt:lpstr>
      <vt:lpstr>'Amer Std Life Acc'!NH_FINANCIAL</vt:lpstr>
      <vt:lpstr>'American Chambers'!NH_FINANCIAL</vt:lpstr>
      <vt:lpstr>'American Community'!NH_FINANCIAL</vt:lpstr>
      <vt:lpstr>'American Educators'!NH_FINANCIAL</vt:lpstr>
      <vt:lpstr>'American Integrity'!NH_FINANCIAL</vt:lpstr>
      <vt:lpstr>'American Medical'!NH_FINANCIAL</vt:lpstr>
      <vt:lpstr>'American Network'!NH_FINANCIAL</vt:lpstr>
      <vt:lpstr>AmerWstrn!NH_FINANCIAL</vt:lpstr>
      <vt:lpstr>'AMS Life'!NH_FINANCIAL</vt:lpstr>
      <vt:lpstr>'Andrew Jackson'!NH_FINANCIAL</vt:lpstr>
      <vt:lpstr>'Bankers Commercial'!NH_FINANCIAL</vt:lpstr>
      <vt:lpstr>'Bankers Life'!NH_FINANCIAL</vt:lpstr>
      <vt:lpstr>Benicorp!NH_FINANCIAL</vt:lpstr>
      <vt:lpstr>'Booker T Washington'!NH_FINANCIAL</vt:lpstr>
      <vt:lpstr>Centennial!NH_FINANCIAL</vt:lpstr>
      <vt:lpstr>'CO Bankers'!NH_FINANCIAL</vt:lpstr>
      <vt:lpstr>'Coastal States'!NH_FINANCIAL</vt:lpstr>
      <vt:lpstr>'Colorado Health'!NH_FINANCIAL</vt:lpstr>
      <vt:lpstr>'Compass (dbs Meritus)'!NH_FINANCIAL</vt:lpstr>
      <vt:lpstr>'Confed Life &amp; Annty (CLIAC)'!NH_FINANCIAL</vt:lpstr>
      <vt:lpstr>'Confed Life (CLIC)'!NH_FINANCIAL</vt:lpstr>
      <vt:lpstr>'Consolidated National'!NH_FINANCIAL</vt:lpstr>
      <vt:lpstr>'Consumers Choice'!NH_FINANCIAL</vt:lpstr>
      <vt:lpstr>'Consumers Mutual'!NH_FINANCIAL</vt:lpstr>
      <vt:lpstr>'Consumers United'!NH_FINANCIAL</vt:lpstr>
      <vt:lpstr>CoOportunity!NH_FINANCIAL</vt:lpstr>
      <vt:lpstr>'Coordinated Hlth'!NH_FINANCIAL</vt:lpstr>
      <vt:lpstr>'Corporate Life'!NH_FINANCIAL</vt:lpstr>
      <vt:lpstr>'Diamond Benefits'!NH_FINANCIAL</vt:lpstr>
      <vt:lpstr>'EBL Life'!NH_FINANCIAL</vt:lpstr>
      <vt:lpstr>ELNY!NH_FINANCIAL</vt:lpstr>
      <vt:lpstr>'Executive Life'!NH_FINANCIAL</vt:lpstr>
      <vt:lpstr>'Family Guaranty'!NH_FINANCIAL</vt:lpstr>
      <vt:lpstr>'Fidelity Bankers'!NH_FINANCIAL</vt:lpstr>
      <vt:lpstr>'Fidelity Mutual'!NH_FINANCIAL</vt:lpstr>
      <vt:lpstr>'First Capital'!NH_FINANCIAL</vt:lpstr>
      <vt:lpstr>'First Natl'!NH_FINANCIAL</vt:lpstr>
      <vt:lpstr>'First Natl (Thrnr)'!NH_FINANCIAL</vt:lpstr>
      <vt:lpstr>'Franklin American'!NH_FINANCIAL</vt:lpstr>
      <vt:lpstr>'Franklin Protective'!NH_FINANCIAL</vt:lpstr>
      <vt:lpstr>'Freelancers CO-OP'!NH_FINANCIAL</vt:lpstr>
      <vt:lpstr>Freestone!NH_FINANCIAL</vt:lpstr>
      <vt:lpstr>'George Washington'!NH_FINANCIAL</vt:lpstr>
      <vt:lpstr>'Golden State'!NH_FINANCIAL</vt:lpstr>
      <vt:lpstr>'Guarantee Security'!NH_FINANCIAL</vt:lpstr>
      <vt:lpstr>HealthyCT!NH_FINANCIAL</vt:lpstr>
      <vt:lpstr>Imerica!NH_FINANCIAL</vt:lpstr>
      <vt:lpstr>'Inter-American'!NH_FINANCIAL</vt:lpstr>
      <vt:lpstr>'International Fin'!NH_FINANCIAL</vt:lpstr>
      <vt:lpstr>'Investment Life of America'!NH_FINANCIAL</vt:lpstr>
      <vt:lpstr>'Investors Equity'!NH_FINANCIAL</vt:lpstr>
      <vt:lpstr>'Kentucky Central'!NH_FINANCIAL</vt:lpstr>
      <vt:lpstr>'Land of Lincoln'!NH_FINANCIAL</vt:lpstr>
      <vt:lpstr>Legion!NH_FINANCIAL</vt:lpstr>
      <vt:lpstr>'Life Health America'!NH_FINANCIAL</vt:lpstr>
      <vt:lpstr>'Lincoln Memorial'!NH_FINANCIAL</vt:lpstr>
      <vt:lpstr>'London Pac'!NH_FINANCIAL</vt:lpstr>
      <vt:lpstr>Lumbermens!NH_FINANCIAL</vt:lpstr>
      <vt:lpstr>'Medical Savings'!NH_FINANCIAL</vt:lpstr>
      <vt:lpstr>'Memorial Service'!NH_FINANCIAL</vt:lpstr>
      <vt:lpstr>Midcontinent!NH_FINANCIAL</vt:lpstr>
      <vt:lpstr>'Midwest Life'!NH_FINANCIAL</vt:lpstr>
      <vt:lpstr>'Monarch Life'!NH_FINANCIAL</vt:lpstr>
      <vt:lpstr>'Mutual Benefit'!NH_FINANCIAL</vt:lpstr>
      <vt:lpstr>'Mutual Security'!NH_FINANCIAL</vt:lpstr>
      <vt:lpstr>'National Affiliated'!NH_FINANCIAL</vt:lpstr>
      <vt:lpstr>'National Heritage'!NH_FINANCIAL</vt:lpstr>
      <vt:lpstr>'National States'!NH_FINANCIAL</vt:lpstr>
      <vt:lpstr>'Natl American'!NH_FINANCIAL</vt:lpstr>
      <vt:lpstr>'New Jersey Life'!NH_FINANCIAL</vt:lpstr>
      <vt:lpstr>NNIC!NH_FINANCIAL</vt:lpstr>
      <vt:lpstr>'North Carolina Mutual'!NH_FINANCIAL</vt:lpstr>
      <vt:lpstr>'Old Colony Life'!NH_FINANCIAL</vt:lpstr>
      <vt:lpstr>'Old Faithful'!NH_FINANCIAL</vt:lpstr>
      <vt:lpstr>'Pacific Standard'!NH_FINANCIAL</vt:lpstr>
      <vt:lpstr>'Pavonia Life'!NH_FINANCIAL</vt:lpstr>
      <vt:lpstr>'Pen  Treaty'!NH_FINANCIAL</vt:lpstr>
      <vt:lpstr>'Red Rock'!NH_FINANCIAL</vt:lpstr>
      <vt:lpstr>Reliance!NH_FINANCIAL</vt:lpstr>
      <vt:lpstr>SeeChange!NH_FINANCIAL</vt:lpstr>
      <vt:lpstr>'Senior American'!NH_FINANCIAL</vt:lpstr>
      <vt:lpstr>Settlers!NH_FINANCIAL</vt:lpstr>
      <vt:lpstr>Shenandoah!NH_FINANCIAL</vt:lpstr>
      <vt:lpstr>'Southland National Life'!NH_FINANCIAL</vt:lpstr>
      <vt:lpstr>'Standard Life IN'!NH_FINANCIAL</vt:lpstr>
      <vt:lpstr>'States General'!NH_FINANCIAL</vt:lpstr>
      <vt:lpstr>Statesman!NH_FINANCIAL</vt:lpstr>
      <vt:lpstr>'Summit National'!NH_FINANCIAL</vt:lpstr>
      <vt:lpstr>Supreme!NH_FINANCIAL</vt:lpstr>
      <vt:lpstr>Time!NH_FINANCIAL</vt:lpstr>
      <vt:lpstr>'Total Summary'!NH_FINANCIAL</vt:lpstr>
      <vt:lpstr>Underwriters!NH_FINANCIAL</vt:lpstr>
      <vt:lpstr>Unison!NH_FINANCIAL</vt:lpstr>
      <vt:lpstr>'United Republic'!NH_FINANCIAL</vt:lpstr>
      <vt:lpstr>'Universal Health Care'!NH_FINANCIAL</vt:lpstr>
      <vt:lpstr>'Universal Life'!NH_FINANCIAL</vt:lpstr>
      <vt:lpstr>Universe!NH_FINANCIAL</vt:lpstr>
      <vt:lpstr>Villanova!NH_FINANCIAL</vt:lpstr>
      <vt:lpstr>'AF&amp;L'!NJ_FINANCIAL</vt:lpstr>
      <vt:lpstr>'Alabama Life'!NJ_FINANCIAL</vt:lpstr>
      <vt:lpstr>'Amer Life Asr'!NJ_FINANCIAL</vt:lpstr>
      <vt:lpstr>'Amer Std Life Acc'!NJ_FINANCIAL</vt:lpstr>
      <vt:lpstr>'American Chambers'!NJ_FINANCIAL</vt:lpstr>
      <vt:lpstr>'American Community'!NJ_FINANCIAL</vt:lpstr>
      <vt:lpstr>'American Educators'!NJ_FINANCIAL</vt:lpstr>
      <vt:lpstr>'American Integrity'!NJ_FINANCIAL</vt:lpstr>
      <vt:lpstr>'American Medical'!NJ_FINANCIAL</vt:lpstr>
      <vt:lpstr>'American Network'!NJ_FINANCIAL</vt:lpstr>
      <vt:lpstr>AmerWstrn!NJ_FINANCIAL</vt:lpstr>
      <vt:lpstr>'AMS Life'!NJ_FINANCIAL</vt:lpstr>
      <vt:lpstr>'Andrew Jackson'!NJ_FINANCIAL</vt:lpstr>
      <vt:lpstr>'Bankers Commercial'!NJ_FINANCIAL</vt:lpstr>
      <vt:lpstr>'Bankers Life'!NJ_FINANCIAL</vt:lpstr>
      <vt:lpstr>Benicorp!NJ_FINANCIAL</vt:lpstr>
      <vt:lpstr>'Booker T Washington'!NJ_FINANCIAL</vt:lpstr>
      <vt:lpstr>Centennial!NJ_FINANCIAL</vt:lpstr>
      <vt:lpstr>'CO Bankers'!NJ_FINANCIAL</vt:lpstr>
      <vt:lpstr>'Coastal States'!NJ_FINANCIAL</vt:lpstr>
      <vt:lpstr>'Colorado Health'!NJ_FINANCIAL</vt:lpstr>
      <vt:lpstr>'Compass (dbs Meritus)'!NJ_FINANCIAL</vt:lpstr>
      <vt:lpstr>'Confed Life &amp; Annty (CLIAC)'!NJ_FINANCIAL</vt:lpstr>
      <vt:lpstr>'Confed Life (CLIC)'!NJ_FINANCIAL</vt:lpstr>
      <vt:lpstr>'Consolidated National'!NJ_FINANCIAL</vt:lpstr>
      <vt:lpstr>'Consumers Choice'!NJ_FINANCIAL</vt:lpstr>
      <vt:lpstr>'Consumers Mutual'!NJ_FINANCIAL</vt:lpstr>
      <vt:lpstr>'Consumers United'!NJ_FINANCIAL</vt:lpstr>
      <vt:lpstr>CoOportunity!NJ_FINANCIAL</vt:lpstr>
      <vt:lpstr>'Coordinated Hlth'!NJ_FINANCIAL</vt:lpstr>
      <vt:lpstr>'Corporate Life'!NJ_FINANCIAL</vt:lpstr>
      <vt:lpstr>'Diamond Benefits'!NJ_FINANCIAL</vt:lpstr>
      <vt:lpstr>'EBL Life'!NJ_FINANCIAL</vt:lpstr>
      <vt:lpstr>ELNY!NJ_FINANCIAL</vt:lpstr>
      <vt:lpstr>'Executive Life'!NJ_FINANCIAL</vt:lpstr>
      <vt:lpstr>'Family Guaranty'!NJ_FINANCIAL</vt:lpstr>
      <vt:lpstr>'Fidelity Bankers'!NJ_FINANCIAL</vt:lpstr>
      <vt:lpstr>'Fidelity Mutual'!NJ_FINANCIAL</vt:lpstr>
      <vt:lpstr>'First Capital'!NJ_FINANCIAL</vt:lpstr>
      <vt:lpstr>'First Natl'!NJ_FINANCIAL</vt:lpstr>
      <vt:lpstr>'First Natl (Thrnr)'!NJ_FINANCIAL</vt:lpstr>
      <vt:lpstr>'Franklin American'!NJ_FINANCIAL</vt:lpstr>
      <vt:lpstr>'Franklin Protective'!NJ_FINANCIAL</vt:lpstr>
      <vt:lpstr>'Freelancers CO-OP'!NJ_FINANCIAL</vt:lpstr>
      <vt:lpstr>Freestone!NJ_FINANCIAL</vt:lpstr>
      <vt:lpstr>'George Washington'!NJ_FINANCIAL</vt:lpstr>
      <vt:lpstr>'Golden State'!NJ_FINANCIAL</vt:lpstr>
      <vt:lpstr>'Guarantee Security'!NJ_FINANCIAL</vt:lpstr>
      <vt:lpstr>HealthyCT!NJ_FINANCIAL</vt:lpstr>
      <vt:lpstr>Imerica!NJ_FINANCIAL</vt:lpstr>
      <vt:lpstr>'Inter-American'!NJ_FINANCIAL</vt:lpstr>
      <vt:lpstr>'International Fin'!NJ_FINANCIAL</vt:lpstr>
      <vt:lpstr>'Investment Life of America'!NJ_FINANCIAL</vt:lpstr>
      <vt:lpstr>'Investors Equity'!NJ_FINANCIAL</vt:lpstr>
      <vt:lpstr>'Kentucky Central'!NJ_FINANCIAL</vt:lpstr>
      <vt:lpstr>'Land of Lincoln'!NJ_FINANCIAL</vt:lpstr>
      <vt:lpstr>Legion!NJ_FINANCIAL</vt:lpstr>
      <vt:lpstr>'Life Health America'!NJ_FINANCIAL</vt:lpstr>
      <vt:lpstr>'Lincoln Memorial'!NJ_FINANCIAL</vt:lpstr>
      <vt:lpstr>'London Pac'!NJ_FINANCIAL</vt:lpstr>
      <vt:lpstr>Lumbermens!NJ_FINANCIAL</vt:lpstr>
      <vt:lpstr>'Medical Savings'!NJ_FINANCIAL</vt:lpstr>
      <vt:lpstr>'Memorial Service'!NJ_FINANCIAL</vt:lpstr>
      <vt:lpstr>Midcontinent!NJ_FINANCIAL</vt:lpstr>
      <vt:lpstr>'Midwest Life'!NJ_FINANCIAL</vt:lpstr>
      <vt:lpstr>'Monarch Life'!NJ_FINANCIAL</vt:lpstr>
      <vt:lpstr>'Mutual Benefit'!NJ_FINANCIAL</vt:lpstr>
      <vt:lpstr>'Mutual Security'!NJ_FINANCIAL</vt:lpstr>
      <vt:lpstr>'National Affiliated'!NJ_FINANCIAL</vt:lpstr>
      <vt:lpstr>'National Heritage'!NJ_FINANCIAL</vt:lpstr>
      <vt:lpstr>'National States'!NJ_FINANCIAL</vt:lpstr>
      <vt:lpstr>'Natl American'!NJ_FINANCIAL</vt:lpstr>
      <vt:lpstr>'New Jersey Life'!NJ_FINANCIAL</vt:lpstr>
      <vt:lpstr>NNIC!NJ_FINANCIAL</vt:lpstr>
      <vt:lpstr>'North Carolina Mutual'!NJ_FINANCIAL</vt:lpstr>
      <vt:lpstr>'Old Colony Life'!NJ_FINANCIAL</vt:lpstr>
      <vt:lpstr>'Old Faithful'!NJ_FINANCIAL</vt:lpstr>
      <vt:lpstr>'Pacific Standard'!NJ_FINANCIAL</vt:lpstr>
      <vt:lpstr>'Pavonia Life'!NJ_FINANCIAL</vt:lpstr>
      <vt:lpstr>'Pen  Treaty'!NJ_FINANCIAL</vt:lpstr>
      <vt:lpstr>'Red Rock'!NJ_FINANCIAL</vt:lpstr>
      <vt:lpstr>Reliance!NJ_FINANCIAL</vt:lpstr>
      <vt:lpstr>SeeChange!NJ_FINANCIAL</vt:lpstr>
      <vt:lpstr>'Senior American'!NJ_FINANCIAL</vt:lpstr>
      <vt:lpstr>Settlers!NJ_FINANCIAL</vt:lpstr>
      <vt:lpstr>Shenandoah!NJ_FINANCIAL</vt:lpstr>
      <vt:lpstr>'Southland National Life'!NJ_FINANCIAL</vt:lpstr>
      <vt:lpstr>'Standard Life IN'!NJ_FINANCIAL</vt:lpstr>
      <vt:lpstr>'States General'!NJ_FINANCIAL</vt:lpstr>
      <vt:lpstr>Statesman!NJ_FINANCIAL</vt:lpstr>
      <vt:lpstr>'Summit National'!NJ_FINANCIAL</vt:lpstr>
      <vt:lpstr>Supreme!NJ_FINANCIAL</vt:lpstr>
      <vt:lpstr>Time!NJ_FINANCIAL</vt:lpstr>
      <vt:lpstr>'Total Summary'!NJ_FINANCIAL</vt:lpstr>
      <vt:lpstr>Underwriters!NJ_FINANCIAL</vt:lpstr>
      <vt:lpstr>Unison!NJ_FINANCIAL</vt:lpstr>
      <vt:lpstr>'United Republic'!NJ_FINANCIAL</vt:lpstr>
      <vt:lpstr>'Universal Health Care'!NJ_FINANCIAL</vt:lpstr>
      <vt:lpstr>'Universal Life'!NJ_FINANCIAL</vt:lpstr>
      <vt:lpstr>Universe!NJ_FINANCIAL</vt:lpstr>
      <vt:lpstr>Villanova!NJ_FINANCIAL</vt:lpstr>
      <vt:lpstr>'AF&amp;L'!NM_FINANCIAL</vt:lpstr>
      <vt:lpstr>'Alabama Life'!NM_FINANCIAL</vt:lpstr>
      <vt:lpstr>'Amer Life Asr'!NM_FINANCIAL</vt:lpstr>
      <vt:lpstr>'Amer Std Life Acc'!NM_FINANCIAL</vt:lpstr>
      <vt:lpstr>'American Chambers'!NM_FINANCIAL</vt:lpstr>
      <vt:lpstr>'American Community'!NM_FINANCIAL</vt:lpstr>
      <vt:lpstr>'American Educators'!NM_FINANCIAL</vt:lpstr>
      <vt:lpstr>'American Integrity'!NM_FINANCIAL</vt:lpstr>
      <vt:lpstr>'American Medical'!NM_FINANCIAL</vt:lpstr>
      <vt:lpstr>'American Network'!NM_FINANCIAL</vt:lpstr>
      <vt:lpstr>AmerWstrn!NM_FINANCIAL</vt:lpstr>
      <vt:lpstr>'AMS Life'!NM_FINANCIAL</vt:lpstr>
      <vt:lpstr>'Andrew Jackson'!NM_FINANCIAL</vt:lpstr>
      <vt:lpstr>'Bankers Commercial'!NM_FINANCIAL</vt:lpstr>
      <vt:lpstr>'Bankers Life'!NM_FINANCIAL</vt:lpstr>
      <vt:lpstr>Benicorp!NM_FINANCIAL</vt:lpstr>
      <vt:lpstr>'Booker T Washington'!NM_FINANCIAL</vt:lpstr>
      <vt:lpstr>Centennial!NM_FINANCIAL</vt:lpstr>
      <vt:lpstr>'CO Bankers'!NM_FINANCIAL</vt:lpstr>
      <vt:lpstr>'Coastal States'!NM_FINANCIAL</vt:lpstr>
      <vt:lpstr>'Colorado Health'!NM_FINANCIAL</vt:lpstr>
      <vt:lpstr>'Compass (dbs Meritus)'!NM_FINANCIAL</vt:lpstr>
      <vt:lpstr>'Confed Life &amp; Annty (CLIAC)'!NM_FINANCIAL</vt:lpstr>
      <vt:lpstr>'Confed Life (CLIC)'!NM_FINANCIAL</vt:lpstr>
      <vt:lpstr>'Consolidated National'!NM_FINANCIAL</vt:lpstr>
      <vt:lpstr>'Consumers Choice'!NM_FINANCIAL</vt:lpstr>
      <vt:lpstr>'Consumers Mutual'!NM_FINANCIAL</vt:lpstr>
      <vt:lpstr>'Consumers United'!NM_FINANCIAL</vt:lpstr>
      <vt:lpstr>CoOportunity!NM_FINANCIAL</vt:lpstr>
      <vt:lpstr>'Coordinated Hlth'!NM_FINANCIAL</vt:lpstr>
      <vt:lpstr>'Corporate Life'!NM_FINANCIAL</vt:lpstr>
      <vt:lpstr>'Diamond Benefits'!NM_FINANCIAL</vt:lpstr>
      <vt:lpstr>'EBL Life'!NM_FINANCIAL</vt:lpstr>
      <vt:lpstr>ELNY!NM_FINANCIAL</vt:lpstr>
      <vt:lpstr>'Executive Life'!NM_FINANCIAL</vt:lpstr>
      <vt:lpstr>'Family Guaranty'!NM_FINANCIAL</vt:lpstr>
      <vt:lpstr>'Fidelity Bankers'!NM_FINANCIAL</vt:lpstr>
      <vt:lpstr>'Fidelity Mutual'!NM_FINANCIAL</vt:lpstr>
      <vt:lpstr>'First Capital'!NM_FINANCIAL</vt:lpstr>
      <vt:lpstr>'First Natl'!NM_FINANCIAL</vt:lpstr>
      <vt:lpstr>'First Natl (Thrnr)'!NM_FINANCIAL</vt:lpstr>
      <vt:lpstr>'Franklin American'!NM_FINANCIAL</vt:lpstr>
      <vt:lpstr>'Franklin Protective'!NM_FINANCIAL</vt:lpstr>
      <vt:lpstr>'Freelancers CO-OP'!NM_FINANCIAL</vt:lpstr>
      <vt:lpstr>Freestone!NM_FINANCIAL</vt:lpstr>
      <vt:lpstr>'George Washington'!NM_FINANCIAL</vt:lpstr>
      <vt:lpstr>'Golden State'!NM_FINANCIAL</vt:lpstr>
      <vt:lpstr>'Guarantee Security'!NM_FINANCIAL</vt:lpstr>
      <vt:lpstr>HealthyCT!NM_FINANCIAL</vt:lpstr>
      <vt:lpstr>Imerica!NM_FINANCIAL</vt:lpstr>
      <vt:lpstr>'Inter-American'!NM_FINANCIAL</vt:lpstr>
      <vt:lpstr>'International Fin'!NM_FINANCIAL</vt:lpstr>
      <vt:lpstr>'Investment Life of America'!NM_FINANCIAL</vt:lpstr>
      <vt:lpstr>'Investors Equity'!NM_FINANCIAL</vt:lpstr>
      <vt:lpstr>'Kentucky Central'!NM_FINANCIAL</vt:lpstr>
      <vt:lpstr>'Land of Lincoln'!NM_FINANCIAL</vt:lpstr>
      <vt:lpstr>Legion!NM_FINANCIAL</vt:lpstr>
      <vt:lpstr>'Life Health America'!NM_FINANCIAL</vt:lpstr>
      <vt:lpstr>'Lincoln Memorial'!NM_FINANCIAL</vt:lpstr>
      <vt:lpstr>'London Pac'!NM_FINANCIAL</vt:lpstr>
      <vt:lpstr>Lumbermens!NM_FINANCIAL</vt:lpstr>
      <vt:lpstr>'Medical Savings'!NM_FINANCIAL</vt:lpstr>
      <vt:lpstr>'Memorial Service'!NM_FINANCIAL</vt:lpstr>
      <vt:lpstr>Midcontinent!NM_FINANCIAL</vt:lpstr>
      <vt:lpstr>'Midwest Life'!NM_FINANCIAL</vt:lpstr>
      <vt:lpstr>'Monarch Life'!NM_FINANCIAL</vt:lpstr>
      <vt:lpstr>'Mutual Benefit'!NM_FINANCIAL</vt:lpstr>
      <vt:lpstr>'Mutual Security'!NM_FINANCIAL</vt:lpstr>
      <vt:lpstr>'National Affiliated'!NM_FINANCIAL</vt:lpstr>
      <vt:lpstr>'National Heritage'!NM_FINANCIAL</vt:lpstr>
      <vt:lpstr>'National States'!NM_FINANCIAL</vt:lpstr>
      <vt:lpstr>'Natl American'!NM_FINANCIAL</vt:lpstr>
      <vt:lpstr>'New Jersey Life'!NM_FINANCIAL</vt:lpstr>
      <vt:lpstr>NNIC!NM_FINANCIAL</vt:lpstr>
      <vt:lpstr>'North Carolina Mutual'!NM_FINANCIAL</vt:lpstr>
      <vt:lpstr>'Old Colony Life'!NM_FINANCIAL</vt:lpstr>
      <vt:lpstr>'Old Faithful'!NM_FINANCIAL</vt:lpstr>
      <vt:lpstr>'Pacific Standard'!NM_FINANCIAL</vt:lpstr>
      <vt:lpstr>'Pavonia Life'!NM_FINANCIAL</vt:lpstr>
      <vt:lpstr>'Pen  Treaty'!NM_FINANCIAL</vt:lpstr>
      <vt:lpstr>'Red Rock'!NM_FINANCIAL</vt:lpstr>
      <vt:lpstr>Reliance!NM_FINANCIAL</vt:lpstr>
      <vt:lpstr>SeeChange!NM_FINANCIAL</vt:lpstr>
      <vt:lpstr>'Senior American'!NM_FINANCIAL</vt:lpstr>
      <vt:lpstr>Settlers!NM_FINANCIAL</vt:lpstr>
      <vt:lpstr>Shenandoah!NM_FINANCIAL</vt:lpstr>
      <vt:lpstr>'Southland National Life'!NM_FINANCIAL</vt:lpstr>
      <vt:lpstr>'Standard Life IN'!NM_FINANCIAL</vt:lpstr>
      <vt:lpstr>'States General'!NM_FINANCIAL</vt:lpstr>
      <vt:lpstr>Statesman!NM_FINANCIAL</vt:lpstr>
      <vt:lpstr>'Summit National'!NM_FINANCIAL</vt:lpstr>
      <vt:lpstr>Supreme!NM_FINANCIAL</vt:lpstr>
      <vt:lpstr>Time!NM_FINANCIAL</vt:lpstr>
      <vt:lpstr>'Total Summary'!NM_FINANCIAL</vt:lpstr>
      <vt:lpstr>Underwriters!NM_FINANCIAL</vt:lpstr>
      <vt:lpstr>Unison!NM_FINANCIAL</vt:lpstr>
      <vt:lpstr>'United Republic'!NM_FINANCIAL</vt:lpstr>
      <vt:lpstr>'Universal Health Care'!NM_FINANCIAL</vt:lpstr>
      <vt:lpstr>'Universal Life'!NM_FINANCIAL</vt:lpstr>
      <vt:lpstr>Universe!NM_FINANCIAL</vt:lpstr>
      <vt:lpstr>Villanova!NM_FINANCIAL</vt:lpstr>
      <vt:lpstr>'AF&amp;L'!NV_FINANCIAL</vt:lpstr>
      <vt:lpstr>'Alabama Life'!NV_FINANCIAL</vt:lpstr>
      <vt:lpstr>'Amer Life Asr'!NV_FINANCIAL</vt:lpstr>
      <vt:lpstr>'Amer Std Life Acc'!NV_FINANCIAL</vt:lpstr>
      <vt:lpstr>'American Chambers'!NV_FINANCIAL</vt:lpstr>
      <vt:lpstr>'American Community'!NV_FINANCIAL</vt:lpstr>
      <vt:lpstr>'American Educators'!NV_FINANCIAL</vt:lpstr>
      <vt:lpstr>'American Integrity'!NV_FINANCIAL</vt:lpstr>
      <vt:lpstr>'American Medical'!NV_FINANCIAL</vt:lpstr>
      <vt:lpstr>'American Network'!NV_FINANCIAL</vt:lpstr>
      <vt:lpstr>AmerWstrn!NV_FINANCIAL</vt:lpstr>
      <vt:lpstr>'AMS Life'!NV_FINANCIAL</vt:lpstr>
      <vt:lpstr>'Andrew Jackson'!NV_FINANCIAL</vt:lpstr>
      <vt:lpstr>'Bankers Commercial'!NV_FINANCIAL</vt:lpstr>
      <vt:lpstr>'Bankers Life'!NV_FINANCIAL</vt:lpstr>
      <vt:lpstr>Benicorp!NV_FINANCIAL</vt:lpstr>
      <vt:lpstr>'Booker T Washington'!NV_FINANCIAL</vt:lpstr>
      <vt:lpstr>Centennial!NV_FINANCIAL</vt:lpstr>
      <vt:lpstr>'CO Bankers'!NV_FINANCIAL</vt:lpstr>
      <vt:lpstr>'Coastal States'!NV_FINANCIAL</vt:lpstr>
      <vt:lpstr>'Colorado Health'!NV_FINANCIAL</vt:lpstr>
      <vt:lpstr>'Compass (dbs Meritus)'!NV_FINANCIAL</vt:lpstr>
      <vt:lpstr>'Confed Life &amp; Annty (CLIAC)'!NV_FINANCIAL</vt:lpstr>
      <vt:lpstr>'Confed Life (CLIC)'!NV_FINANCIAL</vt:lpstr>
      <vt:lpstr>'Consolidated National'!NV_FINANCIAL</vt:lpstr>
      <vt:lpstr>'Consumers Choice'!NV_FINANCIAL</vt:lpstr>
      <vt:lpstr>'Consumers Mutual'!NV_FINANCIAL</vt:lpstr>
      <vt:lpstr>'Consumers United'!NV_FINANCIAL</vt:lpstr>
      <vt:lpstr>CoOportunity!NV_FINANCIAL</vt:lpstr>
      <vt:lpstr>'Coordinated Hlth'!NV_FINANCIAL</vt:lpstr>
      <vt:lpstr>'Corporate Life'!NV_FINANCIAL</vt:lpstr>
      <vt:lpstr>'Diamond Benefits'!NV_FINANCIAL</vt:lpstr>
      <vt:lpstr>'EBL Life'!NV_FINANCIAL</vt:lpstr>
      <vt:lpstr>ELNY!NV_FINANCIAL</vt:lpstr>
      <vt:lpstr>'Executive Life'!NV_FINANCIAL</vt:lpstr>
      <vt:lpstr>'Family Guaranty'!NV_FINANCIAL</vt:lpstr>
      <vt:lpstr>'Fidelity Bankers'!NV_FINANCIAL</vt:lpstr>
      <vt:lpstr>'Fidelity Mutual'!NV_FINANCIAL</vt:lpstr>
      <vt:lpstr>'First Capital'!NV_FINANCIAL</vt:lpstr>
      <vt:lpstr>'First Natl'!NV_FINANCIAL</vt:lpstr>
      <vt:lpstr>'First Natl (Thrnr)'!NV_FINANCIAL</vt:lpstr>
      <vt:lpstr>'Franklin American'!NV_FINANCIAL</vt:lpstr>
      <vt:lpstr>'Franklin Protective'!NV_FINANCIAL</vt:lpstr>
      <vt:lpstr>'Freelancers CO-OP'!NV_FINANCIAL</vt:lpstr>
      <vt:lpstr>Freestone!NV_FINANCIAL</vt:lpstr>
      <vt:lpstr>'George Washington'!NV_FINANCIAL</vt:lpstr>
      <vt:lpstr>'Golden State'!NV_FINANCIAL</vt:lpstr>
      <vt:lpstr>'Guarantee Security'!NV_FINANCIAL</vt:lpstr>
      <vt:lpstr>HealthyCT!NV_FINANCIAL</vt:lpstr>
      <vt:lpstr>Imerica!NV_FINANCIAL</vt:lpstr>
      <vt:lpstr>'Inter-American'!NV_FINANCIAL</vt:lpstr>
      <vt:lpstr>'International Fin'!NV_FINANCIAL</vt:lpstr>
      <vt:lpstr>'Investment Life of America'!NV_FINANCIAL</vt:lpstr>
      <vt:lpstr>'Investors Equity'!NV_FINANCIAL</vt:lpstr>
      <vt:lpstr>'Kentucky Central'!NV_FINANCIAL</vt:lpstr>
      <vt:lpstr>'Land of Lincoln'!NV_FINANCIAL</vt:lpstr>
      <vt:lpstr>Legion!NV_FINANCIAL</vt:lpstr>
      <vt:lpstr>'Life Health America'!NV_FINANCIAL</vt:lpstr>
      <vt:lpstr>'Lincoln Memorial'!NV_FINANCIAL</vt:lpstr>
      <vt:lpstr>'London Pac'!NV_FINANCIAL</vt:lpstr>
      <vt:lpstr>Lumbermens!NV_FINANCIAL</vt:lpstr>
      <vt:lpstr>'Medical Savings'!NV_FINANCIAL</vt:lpstr>
      <vt:lpstr>'Memorial Service'!NV_FINANCIAL</vt:lpstr>
      <vt:lpstr>Midcontinent!NV_FINANCIAL</vt:lpstr>
      <vt:lpstr>'Midwest Life'!NV_FINANCIAL</vt:lpstr>
      <vt:lpstr>'Monarch Life'!NV_FINANCIAL</vt:lpstr>
      <vt:lpstr>'Mutual Benefit'!NV_FINANCIAL</vt:lpstr>
      <vt:lpstr>'Mutual Security'!NV_FINANCIAL</vt:lpstr>
      <vt:lpstr>'National Affiliated'!NV_FINANCIAL</vt:lpstr>
      <vt:lpstr>'National Heritage'!NV_FINANCIAL</vt:lpstr>
      <vt:lpstr>'National States'!NV_FINANCIAL</vt:lpstr>
      <vt:lpstr>'Natl American'!NV_FINANCIAL</vt:lpstr>
      <vt:lpstr>'New Jersey Life'!NV_FINANCIAL</vt:lpstr>
      <vt:lpstr>NNIC!NV_FINANCIAL</vt:lpstr>
      <vt:lpstr>'North Carolina Mutual'!NV_FINANCIAL</vt:lpstr>
      <vt:lpstr>'Old Colony Life'!NV_FINANCIAL</vt:lpstr>
      <vt:lpstr>'Old Faithful'!NV_FINANCIAL</vt:lpstr>
      <vt:lpstr>'Pacific Standard'!NV_FINANCIAL</vt:lpstr>
      <vt:lpstr>'Pavonia Life'!NV_FINANCIAL</vt:lpstr>
      <vt:lpstr>'Pen  Treaty'!NV_FINANCIAL</vt:lpstr>
      <vt:lpstr>'Red Rock'!NV_FINANCIAL</vt:lpstr>
      <vt:lpstr>Reliance!NV_FINANCIAL</vt:lpstr>
      <vt:lpstr>SeeChange!NV_FINANCIAL</vt:lpstr>
      <vt:lpstr>'Senior American'!NV_FINANCIAL</vt:lpstr>
      <vt:lpstr>Settlers!NV_FINANCIAL</vt:lpstr>
      <vt:lpstr>Shenandoah!NV_FINANCIAL</vt:lpstr>
      <vt:lpstr>'Southland National Life'!NV_FINANCIAL</vt:lpstr>
      <vt:lpstr>'Standard Life IN'!NV_FINANCIAL</vt:lpstr>
      <vt:lpstr>'States General'!NV_FINANCIAL</vt:lpstr>
      <vt:lpstr>Statesman!NV_FINANCIAL</vt:lpstr>
      <vt:lpstr>'Summit National'!NV_FINANCIAL</vt:lpstr>
      <vt:lpstr>Supreme!NV_FINANCIAL</vt:lpstr>
      <vt:lpstr>Time!NV_FINANCIAL</vt:lpstr>
      <vt:lpstr>'Total Summary'!NV_FINANCIAL</vt:lpstr>
      <vt:lpstr>Underwriters!NV_FINANCIAL</vt:lpstr>
      <vt:lpstr>Unison!NV_FINANCIAL</vt:lpstr>
      <vt:lpstr>'United Republic'!NV_FINANCIAL</vt:lpstr>
      <vt:lpstr>'Universal Health Care'!NV_FINANCIAL</vt:lpstr>
      <vt:lpstr>'Universal Life'!NV_FINANCIAL</vt:lpstr>
      <vt:lpstr>Universe!NV_FINANCIAL</vt:lpstr>
      <vt:lpstr>Villanova!NV_FINANCIAL</vt:lpstr>
      <vt:lpstr>'AF&amp;L'!NY_FINANCIAL</vt:lpstr>
      <vt:lpstr>'Alabama Life'!NY_FINANCIAL</vt:lpstr>
      <vt:lpstr>'Amer Life Asr'!NY_FINANCIAL</vt:lpstr>
      <vt:lpstr>'Amer Std Life Acc'!NY_FINANCIAL</vt:lpstr>
      <vt:lpstr>'American Chambers'!NY_FINANCIAL</vt:lpstr>
      <vt:lpstr>'American Community'!NY_FINANCIAL</vt:lpstr>
      <vt:lpstr>'American Educators'!NY_FINANCIAL</vt:lpstr>
      <vt:lpstr>'American Integrity'!NY_FINANCIAL</vt:lpstr>
      <vt:lpstr>'American Medical'!NY_FINANCIAL</vt:lpstr>
      <vt:lpstr>'American Network'!NY_FINANCIAL</vt:lpstr>
      <vt:lpstr>AmerWstrn!NY_FINANCIAL</vt:lpstr>
      <vt:lpstr>'AMS Life'!NY_FINANCIAL</vt:lpstr>
      <vt:lpstr>'Andrew Jackson'!NY_FINANCIAL</vt:lpstr>
      <vt:lpstr>'Bankers Commercial'!NY_FINANCIAL</vt:lpstr>
      <vt:lpstr>'Bankers Life'!NY_FINANCIAL</vt:lpstr>
      <vt:lpstr>Benicorp!NY_FINANCIAL</vt:lpstr>
      <vt:lpstr>'Booker T Washington'!NY_FINANCIAL</vt:lpstr>
      <vt:lpstr>Centennial!NY_FINANCIAL</vt:lpstr>
      <vt:lpstr>'CO Bankers'!NY_FINANCIAL</vt:lpstr>
      <vt:lpstr>'Coastal States'!NY_FINANCIAL</vt:lpstr>
      <vt:lpstr>'Colorado Health'!NY_FINANCIAL</vt:lpstr>
      <vt:lpstr>'Compass (dbs Meritus)'!NY_FINANCIAL</vt:lpstr>
      <vt:lpstr>'Confed Life &amp; Annty (CLIAC)'!NY_FINANCIAL</vt:lpstr>
      <vt:lpstr>'Confed Life (CLIC)'!NY_FINANCIAL</vt:lpstr>
      <vt:lpstr>'Consolidated National'!NY_FINANCIAL</vt:lpstr>
      <vt:lpstr>'Consumers Choice'!NY_FINANCIAL</vt:lpstr>
      <vt:lpstr>'Consumers Mutual'!NY_FINANCIAL</vt:lpstr>
      <vt:lpstr>'Consumers United'!NY_FINANCIAL</vt:lpstr>
      <vt:lpstr>CoOportunity!NY_FINANCIAL</vt:lpstr>
      <vt:lpstr>'Coordinated Hlth'!NY_FINANCIAL</vt:lpstr>
      <vt:lpstr>'Corporate Life'!NY_FINANCIAL</vt:lpstr>
      <vt:lpstr>'Diamond Benefits'!NY_FINANCIAL</vt:lpstr>
      <vt:lpstr>'EBL Life'!NY_FINANCIAL</vt:lpstr>
      <vt:lpstr>ELNY!NY_FINANCIAL</vt:lpstr>
      <vt:lpstr>'Executive Life'!NY_FINANCIAL</vt:lpstr>
      <vt:lpstr>'Family Guaranty'!NY_FINANCIAL</vt:lpstr>
      <vt:lpstr>'Fidelity Bankers'!NY_FINANCIAL</vt:lpstr>
      <vt:lpstr>'Fidelity Mutual'!NY_FINANCIAL</vt:lpstr>
      <vt:lpstr>'First Capital'!NY_FINANCIAL</vt:lpstr>
      <vt:lpstr>'First Natl'!NY_FINANCIAL</vt:lpstr>
      <vt:lpstr>'First Natl (Thrnr)'!NY_FINANCIAL</vt:lpstr>
      <vt:lpstr>'Franklin American'!NY_FINANCIAL</vt:lpstr>
      <vt:lpstr>'Franklin Protective'!NY_FINANCIAL</vt:lpstr>
      <vt:lpstr>'Freelancers CO-OP'!NY_FINANCIAL</vt:lpstr>
      <vt:lpstr>Freestone!NY_FINANCIAL</vt:lpstr>
      <vt:lpstr>'George Washington'!NY_FINANCIAL</vt:lpstr>
      <vt:lpstr>'Golden State'!NY_FINANCIAL</vt:lpstr>
      <vt:lpstr>'Guarantee Security'!NY_FINANCIAL</vt:lpstr>
      <vt:lpstr>HealthyCT!NY_FINANCIAL</vt:lpstr>
      <vt:lpstr>Imerica!NY_FINANCIAL</vt:lpstr>
      <vt:lpstr>'Inter-American'!NY_FINANCIAL</vt:lpstr>
      <vt:lpstr>'International Fin'!NY_FINANCIAL</vt:lpstr>
      <vt:lpstr>'Investment Life of America'!NY_FINANCIAL</vt:lpstr>
      <vt:lpstr>'Investors Equity'!NY_FINANCIAL</vt:lpstr>
      <vt:lpstr>'Kentucky Central'!NY_FINANCIAL</vt:lpstr>
      <vt:lpstr>'Land of Lincoln'!NY_FINANCIAL</vt:lpstr>
      <vt:lpstr>Legion!NY_FINANCIAL</vt:lpstr>
      <vt:lpstr>'Life Health America'!NY_FINANCIAL</vt:lpstr>
      <vt:lpstr>'Lincoln Memorial'!NY_FINANCIAL</vt:lpstr>
      <vt:lpstr>'London Pac'!NY_FINANCIAL</vt:lpstr>
      <vt:lpstr>Lumbermens!NY_FINANCIAL</vt:lpstr>
      <vt:lpstr>'Medical Savings'!NY_FINANCIAL</vt:lpstr>
      <vt:lpstr>'Memorial Service'!NY_FINANCIAL</vt:lpstr>
      <vt:lpstr>Midcontinent!NY_FINANCIAL</vt:lpstr>
      <vt:lpstr>'Midwest Life'!NY_FINANCIAL</vt:lpstr>
      <vt:lpstr>'Monarch Life'!NY_FINANCIAL</vt:lpstr>
      <vt:lpstr>'Mutual Benefit'!NY_FINANCIAL</vt:lpstr>
      <vt:lpstr>'Mutual Security'!NY_FINANCIAL</vt:lpstr>
      <vt:lpstr>'National Affiliated'!NY_FINANCIAL</vt:lpstr>
      <vt:lpstr>'National Heritage'!NY_FINANCIAL</vt:lpstr>
      <vt:lpstr>'National States'!NY_FINANCIAL</vt:lpstr>
      <vt:lpstr>'Natl American'!NY_FINANCIAL</vt:lpstr>
      <vt:lpstr>'New Jersey Life'!NY_FINANCIAL</vt:lpstr>
      <vt:lpstr>NNIC!NY_FINANCIAL</vt:lpstr>
      <vt:lpstr>'North Carolina Mutual'!NY_FINANCIAL</vt:lpstr>
      <vt:lpstr>'Old Colony Life'!NY_FINANCIAL</vt:lpstr>
      <vt:lpstr>'Old Faithful'!NY_FINANCIAL</vt:lpstr>
      <vt:lpstr>'Pacific Standard'!NY_FINANCIAL</vt:lpstr>
      <vt:lpstr>'Pavonia Life'!NY_FINANCIAL</vt:lpstr>
      <vt:lpstr>'Pen  Treaty'!NY_FINANCIAL</vt:lpstr>
      <vt:lpstr>'Red Rock'!NY_FINANCIAL</vt:lpstr>
      <vt:lpstr>Reliance!NY_FINANCIAL</vt:lpstr>
      <vt:lpstr>SeeChange!NY_FINANCIAL</vt:lpstr>
      <vt:lpstr>'Senior American'!NY_FINANCIAL</vt:lpstr>
      <vt:lpstr>Settlers!NY_FINANCIAL</vt:lpstr>
      <vt:lpstr>Shenandoah!NY_FINANCIAL</vt:lpstr>
      <vt:lpstr>'Southland National Life'!NY_FINANCIAL</vt:lpstr>
      <vt:lpstr>'Standard Life IN'!NY_FINANCIAL</vt:lpstr>
      <vt:lpstr>'States General'!NY_FINANCIAL</vt:lpstr>
      <vt:lpstr>Statesman!NY_FINANCIAL</vt:lpstr>
      <vt:lpstr>'Summit National'!NY_FINANCIAL</vt:lpstr>
      <vt:lpstr>Supreme!NY_FINANCIAL</vt:lpstr>
      <vt:lpstr>Time!NY_FINANCIAL</vt:lpstr>
      <vt:lpstr>'Total Summary'!NY_FINANCIAL</vt:lpstr>
      <vt:lpstr>Underwriters!NY_FINANCIAL</vt:lpstr>
      <vt:lpstr>Unison!NY_FINANCIAL</vt:lpstr>
      <vt:lpstr>'United Republic'!NY_FINANCIAL</vt:lpstr>
      <vt:lpstr>'Universal Health Care'!NY_FINANCIAL</vt:lpstr>
      <vt:lpstr>'Universal Life'!NY_FINANCIAL</vt:lpstr>
      <vt:lpstr>Universe!NY_FINANCIAL</vt:lpstr>
      <vt:lpstr>Villanova!NY_FINANCIAL</vt:lpstr>
      <vt:lpstr>'AF&amp;L'!OH_FINANCIAL</vt:lpstr>
      <vt:lpstr>'Alabama Life'!OH_FINANCIAL</vt:lpstr>
      <vt:lpstr>'Amer Life Asr'!OH_FINANCIAL</vt:lpstr>
      <vt:lpstr>'Amer Std Life Acc'!OH_FINANCIAL</vt:lpstr>
      <vt:lpstr>'American Chambers'!OH_FINANCIAL</vt:lpstr>
      <vt:lpstr>'American Community'!OH_FINANCIAL</vt:lpstr>
      <vt:lpstr>'American Educators'!OH_FINANCIAL</vt:lpstr>
      <vt:lpstr>'American Integrity'!OH_FINANCIAL</vt:lpstr>
      <vt:lpstr>'American Medical'!OH_FINANCIAL</vt:lpstr>
      <vt:lpstr>'American Network'!OH_FINANCIAL</vt:lpstr>
      <vt:lpstr>AmerWstrn!OH_FINANCIAL</vt:lpstr>
      <vt:lpstr>'AMS Life'!OH_FINANCIAL</vt:lpstr>
      <vt:lpstr>'Andrew Jackson'!OH_FINANCIAL</vt:lpstr>
      <vt:lpstr>'Bankers Commercial'!OH_FINANCIAL</vt:lpstr>
      <vt:lpstr>'Bankers Life'!OH_FINANCIAL</vt:lpstr>
      <vt:lpstr>Benicorp!OH_FINANCIAL</vt:lpstr>
      <vt:lpstr>'Booker T Washington'!OH_FINANCIAL</vt:lpstr>
      <vt:lpstr>Centennial!OH_FINANCIAL</vt:lpstr>
      <vt:lpstr>'CO Bankers'!OH_FINANCIAL</vt:lpstr>
      <vt:lpstr>'Coastal States'!OH_FINANCIAL</vt:lpstr>
      <vt:lpstr>'Colorado Health'!OH_FINANCIAL</vt:lpstr>
      <vt:lpstr>'Compass (dbs Meritus)'!OH_FINANCIAL</vt:lpstr>
      <vt:lpstr>'Confed Life &amp; Annty (CLIAC)'!OH_FINANCIAL</vt:lpstr>
      <vt:lpstr>'Confed Life (CLIC)'!OH_FINANCIAL</vt:lpstr>
      <vt:lpstr>'Consolidated National'!OH_FINANCIAL</vt:lpstr>
      <vt:lpstr>'Consumers Choice'!OH_FINANCIAL</vt:lpstr>
      <vt:lpstr>'Consumers Mutual'!OH_FINANCIAL</vt:lpstr>
      <vt:lpstr>'Consumers United'!OH_FINANCIAL</vt:lpstr>
      <vt:lpstr>CoOportunity!OH_FINANCIAL</vt:lpstr>
      <vt:lpstr>'Coordinated Hlth'!OH_FINANCIAL</vt:lpstr>
      <vt:lpstr>'Corporate Life'!OH_FINANCIAL</vt:lpstr>
      <vt:lpstr>'Diamond Benefits'!OH_FINANCIAL</vt:lpstr>
      <vt:lpstr>'EBL Life'!OH_FINANCIAL</vt:lpstr>
      <vt:lpstr>ELNY!OH_FINANCIAL</vt:lpstr>
      <vt:lpstr>'Executive Life'!OH_FINANCIAL</vt:lpstr>
      <vt:lpstr>'Family Guaranty'!OH_FINANCIAL</vt:lpstr>
      <vt:lpstr>'Fidelity Bankers'!OH_FINANCIAL</vt:lpstr>
      <vt:lpstr>'Fidelity Mutual'!OH_FINANCIAL</vt:lpstr>
      <vt:lpstr>'First Capital'!OH_FINANCIAL</vt:lpstr>
      <vt:lpstr>'First Natl'!OH_FINANCIAL</vt:lpstr>
      <vt:lpstr>'First Natl (Thrnr)'!OH_FINANCIAL</vt:lpstr>
      <vt:lpstr>'Franklin American'!OH_FINANCIAL</vt:lpstr>
      <vt:lpstr>'Franklin Protective'!OH_FINANCIAL</vt:lpstr>
      <vt:lpstr>'Freelancers CO-OP'!OH_FINANCIAL</vt:lpstr>
      <vt:lpstr>Freestone!OH_FINANCIAL</vt:lpstr>
      <vt:lpstr>'George Washington'!OH_FINANCIAL</vt:lpstr>
      <vt:lpstr>'Golden State'!OH_FINANCIAL</vt:lpstr>
      <vt:lpstr>'Guarantee Security'!OH_FINANCIAL</vt:lpstr>
      <vt:lpstr>HealthyCT!OH_FINANCIAL</vt:lpstr>
      <vt:lpstr>Imerica!OH_FINANCIAL</vt:lpstr>
      <vt:lpstr>'Inter-American'!OH_FINANCIAL</vt:lpstr>
      <vt:lpstr>'International Fin'!OH_FINANCIAL</vt:lpstr>
      <vt:lpstr>'Investment Life of America'!OH_FINANCIAL</vt:lpstr>
      <vt:lpstr>'Investors Equity'!OH_FINANCIAL</vt:lpstr>
      <vt:lpstr>'Kentucky Central'!OH_FINANCIAL</vt:lpstr>
      <vt:lpstr>'Land of Lincoln'!OH_FINANCIAL</vt:lpstr>
      <vt:lpstr>Legion!OH_FINANCIAL</vt:lpstr>
      <vt:lpstr>'Life Health America'!OH_FINANCIAL</vt:lpstr>
      <vt:lpstr>'Lincoln Memorial'!OH_FINANCIAL</vt:lpstr>
      <vt:lpstr>'London Pac'!OH_FINANCIAL</vt:lpstr>
      <vt:lpstr>Lumbermens!OH_FINANCIAL</vt:lpstr>
      <vt:lpstr>'Medical Savings'!OH_FINANCIAL</vt:lpstr>
      <vt:lpstr>'Memorial Service'!OH_FINANCIAL</vt:lpstr>
      <vt:lpstr>Midcontinent!OH_FINANCIAL</vt:lpstr>
      <vt:lpstr>'Midwest Life'!OH_FINANCIAL</vt:lpstr>
      <vt:lpstr>'Monarch Life'!OH_FINANCIAL</vt:lpstr>
      <vt:lpstr>'Mutual Benefit'!OH_FINANCIAL</vt:lpstr>
      <vt:lpstr>'Mutual Security'!OH_FINANCIAL</vt:lpstr>
      <vt:lpstr>'National Affiliated'!OH_FINANCIAL</vt:lpstr>
      <vt:lpstr>'National Heritage'!OH_FINANCIAL</vt:lpstr>
      <vt:lpstr>'National States'!OH_FINANCIAL</vt:lpstr>
      <vt:lpstr>'Natl American'!OH_FINANCIAL</vt:lpstr>
      <vt:lpstr>'New Jersey Life'!OH_FINANCIAL</vt:lpstr>
      <vt:lpstr>NNIC!OH_FINANCIAL</vt:lpstr>
      <vt:lpstr>'North Carolina Mutual'!OH_FINANCIAL</vt:lpstr>
      <vt:lpstr>'Old Colony Life'!OH_FINANCIAL</vt:lpstr>
      <vt:lpstr>'Old Faithful'!OH_FINANCIAL</vt:lpstr>
      <vt:lpstr>'Pacific Standard'!OH_FINANCIAL</vt:lpstr>
      <vt:lpstr>'Pavonia Life'!OH_FINANCIAL</vt:lpstr>
      <vt:lpstr>'Pen  Treaty'!OH_FINANCIAL</vt:lpstr>
      <vt:lpstr>'Red Rock'!OH_FINANCIAL</vt:lpstr>
      <vt:lpstr>Reliance!OH_FINANCIAL</vt:lpstr>
      <vt:lpstr>SeeChange!OH_FINANCIAL</vt:lpstr>
      <vt:lpstr>'Senior American'!OH_FINANCIAL</vt:lpstr>
      <vt:lpstr>Settlers!OH_FINANCIAL</vt:lpstr>
      <vt:lpstr>Shenandoah!OH_FINANCIAL</vt:lpstr>
      <vt:lpstr>'Southland National Life'!OH_FINANCIAL</vt:lpstr>
      <vt:lpstr>'Standard Life IN'!OH_FINANCIAL</vt:lpstr>
      <vt:lpstr>'States General'!OH_FINANCIAL</vt:lpstr>
      <vt:lpstr>Statesman!OH_FINANCIAL</vt:lpstr>
      <vt:lpstr>'Summit National'!OH_FINANCIAL</vt:lpstr>
      <vt:lpstr>Supreme!OH_FINANCIAL</vt:lpstr>
      <vt:lpstr>Time!OH_FINANCIAL</vt:lpstr>
      <vt:lpstr>'Total Summary'!OH_FINANCIAL</vt:lpstr>
      <vt:lpstr>Underwriters!OH_FINANCIAL</vt:lpstr>
      <vt:lpstr>Unison!OH_FINANCIAL</vt:lpstr>
      <vt:lpstr>'United Republic'!OH_FINANCIAL</vt:lpstr>
      <vt:lpstr>'Universal Health Care'!OH_FINANCIAL</vt:lpstr>
      <vt:lpstr>'Universal Life'!OH_FINANCIAL</vt:lpstr>
      <vt:lpstr>Universe!OH_FINANCIAL</vt:lpstr>
      <vt:lpstr>Villanova!OH_FINANCIAL</vt:lpstr>
      <vt:lpstr>'AF&amp;L'!OK_FINANCIAL</vt:lpstr>
      <vt:lpstr>'Alabama Life'!OK_FINANCIAL</vt:lpstr>
      <vt:lpstr>'Amer Life Asr'!OK_FINANCIAL</vt:lpstr>
      <vt:lpstr>'Amer Std Life Acc'!OK_FINANCIAL</vt:lpstr>
      <vt:lpstr>'American Chambers'!OK_FINANCIAL</vt:lpstr>
      <vt:lpstr>'American Community'!OK_FINANCIAL</vt:lpstr>
      <vt:lpstr>'American Educators'!OK_FINANCIAL</vt:lpstr>
      <vt:lpstr>'American Integrity'!OK_FINANCIAL</vt:lpstr>
      <vt:lpstr>'American Medical'!OK_FINANCIAL</vt:lpstr>
      <vt:lpstr>'American Network'!OK_FINANCIAL</vt:lpstr>
      <vt:lpstr>AmerWstrn!OK_FINANCIAL</vt:lpstr>
      <vt:lpstr>'AMS Life'!OK_FINANCIAL</vt:lpstr>
      <vt:lpstr>'Andrew Jackson'!OK_FINANCIAL</vt:lpstr>
      <vt:lpstr>'Bankers Commercial'!OK_FINANCIAL</vt:lpstr>
      <vt:lpstr>'Bankers Life'!OK_FINANCIAL</vt:lpstr>
      <vt:lpstr>Benicorp!OK_FINANCIAL</vt:lpstr>
      <vt:lpstr>'Booker T Washington'!OK_FINANCIAL</vt:lpstr>
      <vt:lpstr>Centennial!OK_FINANCIAL</vt:lpstr>
      <vt:lpstr>'CO Bankers'!OK_FINANCIAL</vt:lpstr>
      <vt:lpstr>'Coastal States'!OK_FINANCIAL</vt:lpstr>
      <vt:lpstr>'Colorado Health'!OK_FINANCIAL</vt:lpstr>
      <vt:lpstr>'Compass (dbs Meritus)'!OK_FINANCIAL</vt:lpstr>
      <vt:lpstr>'Confed Life &amp; Annty (CLIAC)'!OK_FINANCIAL</vt:lpstr>
      <vt:lpstr>'Confed Life (CLIC)'!OK_FINANCIAL</vt:lpstr>
      <vt:lpstr>'Consolidated National'!OK_FINANCIAL</vt:lpstr>
      <vt:lpstr>'Consumers Choice'!OK_FINANCIAL</vt:lpstr>
      <vt:lpstr>'Consumers Mutual'!OK_FINANCIAL</vt:lpstr>
      <vt:lpstr>'Consumers United'!OK_FINANCIAL</vt:lpstr>
      <vt:lpstr>CoOportunity!OK_FINANCIAL</vt:lpstr>
      <vt:lpstr>'Coordinated Hlth'!OK_FINANCIAL</vt:lpstr>
      <vt:lpstr>'Corporate Life'!OK_FINANCIAL</vt:lpstr>
      <vt:lpstr>'Diamond Benefits'!OK_FINANCIAL</vt:lpstr>
      <vt:lpstr>'EBL Life'!OK_FINANCIAL</vt:lpstr>
      <vt:lpstr>ELNY!OK_FINANCIAL</vt:lpstr>
      <vt:lpstr>'Executive Life'!OK_FINANCIAL</vt:lpstr>
      <vt:lpstr>'Family Guaranty'!OK_FINANCIAL</vt:lpstr>
      <vt:lpstr>'Fidelity Bankers'!OK_FINANCIAL</vt:lpstr>
      <vt:lpstr>'Fidelity Mutual'!OK_FINANCIAL</vt:lpstr>
      <vt:lpstr>'First Capital'!OK_FINANCIAL</vt:lpstr>
      <vt:lpstr>'First Natl'!OK_FINANCIAL</vt:lpstr>
      <vt:lpstr>'First Natl (Thrnr)'!OK_FINANCIAL</vt:lpstr>
      <vt:lpstr>'Franklin American'!OK_FINANCIAL</vt:lpstr>
      <vt:lpstr>'Franklin Protective'!OK_FINANCIAL</vt:lpstr>
      <vt:lpstr>'Freelancers CO-OP'!OK_FINANCIAL</vt:lpstr>
      <vt:lpstr>Freestone!OK_FINANCIAL</vt:lpstr>
      <vt:lpstr>'George Washington'!OK_FINANCIAL</vt:lpstr>
      <vt:lpstr>'Golden State'!OK_FINANCIAL</vt:lpstr>
      <vt:lpstr>'Guarantee Security'!OK_FINANCIAL</vt:lpstr>
      <vt:lpstr>HealthyCT!OK_FINANCIAL</vt:lpstr>
      <vt:lpstr>Imerica!OK_FINANCIAL</vt:lpstr>
      <vt:lpstr>'Inter-American'!OK_FINANCIAL</vt:lpstr>
      <vt:lpstr>'International Fin'!OK_FINANCIAL</vt:lpstr>
      <vt:lpstr>'Investment Life of America'!OK_FINANCIAL</vt:lpstr>
      <vt:lpstr>'Investors Equity'!OK_FINANCIAL</vt:lpstr>
      <vt:lpstr>'Kentucky Central'!OK_FINANCIAL</vt:lpstr>
      <vt:lpstr>'Land of Lincoln'!OK_FINANCIAL</vt:lpstr>
      <vt:lpstr>Legion!OK_FINANCIAL</vt:lpstr>
      <vt:lpstr>'Life Health America'!OK_FINANCIAL</vt:lpstr>
      <vt:lpstr>'Lincoln Memorial'!OK_FINANCIAL</vt:lpstr>
      <vt:lpstr>'London Pac'!OK_FINANCIAL</vt:lpstr>
      <vt:lpstr>Lumbermens!OK_FINANCIAL</vt:lpstr>
      <vt:lpstr>'Medical Savings'!OK_FINANCIAL</vt:lpstr>
      <vt:lpstr>'Memorial Service'!OK_FINANCIAL</vt:lpstr>
      <vt:lpstr>Midcontinent!OK_FINANCIAL</vt:lpstr>
      <vt:lpstr>'Midwest Life'!OK_FINANCIAL</vt:lpstr>
      <vt:lpstr>'Monarch Life'!OK_FINANCIAL</vt:lpstr>
      <vt:lpstr>'Mutual Benefit'!OK_FINANCIAL</vt:lpstr>
      <vt:lpstr>'Mutual Security'!OK_FINANCIAL</vt:lpstr>
      <vt:lpstr>'National Affiliated'!OK_FINANCIAL</vt:lpstr>
      <vt:lpstr>'National Heritage'!OK_FINANCIAL</vt:lpstr>
      <vt:lpstr>'National States'!OK_FINANCIAL</vt:lpstr>
      <vt:lpstr>'Natl American'!OK_FINANCIAL</vt:lpstr>
      <vt:lpstr>'New Jersey Life'!OK_FINANCIAL</vt:lpstr>
      <vt:lpstr>NNIC!OK_FINANCIAL</vt:lpstr>
      <vt:lpstr>'North Carolina Mutual'!OK_FINANCIAL</vt:lpstr>
      <vt:lpstr>'Old Colony Life'!OK_FINANCIAL</vt:lpstr>
      <vt:lpstr>'Old Faithful'!OK_FINANCIAL</vt:lpstr>
      <vt:lpstr>'Pacific Standard'!OK_FINANCIAL</vt:lpstr>
      <vt:lpstr>'Pavonia Life'!OK_FINANCIAL</vt:lpstr>
      <vt:lpstr>'Pen  Treaty'!OK_FINANCIAL</vt:lpstr>
      <vt:lpstr>'Red Rock'!OK_FINANCIAL</vt:lpstr>
      <vt:lpstr>Reliance!OK_FINANCIAL</vt:lpstr>
      <vt:lpstr>SeeChange!OK_FINANCIAL</vt:lpstr>
      <vt:lpstr>'Senior American'!OK_FINANCIAL</vt:lpstr>
      <vt:lpstr>Settlers!OK_FINANCIAL</vt:lpstr>
      <vt:lpstr>Shenandoah!OK_FINANCIAL</vt:lpstr>
      <vt:lpstr>'Southland National Life'!OK_FINANCIAL</vt:lpstr>
      <vt:lpstr>'Standard Life IN'!OK_FINANCIAL</vt:lpstr>
      <vt:lpstr>'States General'!OK_FINANCIAL</vt:lpstr>
      <vt:lpstr>Statesman!OK_FINANCIAL</vt:lpstr>
      <vt:lpstr>'Summit National'!OK_FINANCIAL</vt:lpstr>
      <vt:lpstr>Supreme!OK_FINANCIAL</vt:lpstr>
      <vt:lpstr>Time!OK_FINANCIAL</vt:lpstr>
      <vt:lpstr>'Total Summary'!OK_FINANCIAL</vt:lpstr>
      <vt:lpstr>Underwriters!OK_FINANCIAL</vt:lpstr>
      <vt:lpstr>Unison!OK_FINANCIAL</vt:lpstr>
      <vt:lpstr>'United Republic'!OK_FINANCIAL</vt:lpstr>
      <vt:lpstr>'Universal Health Care'!OK_FINANCIAL</vt:lpstr>
      <vt:lpstr>'Universal Life'!OK_FINANCIAL</vt:lpstr>
      <vt:lpstr>Universe!OK_FINANCIAL</vt:lpstr>
      <vt:lpstr>Villanova!OK_FINANCIAL</vt:lpstr>
      <vt:lpstr>Summary!OP_ALLOC_CALLED</vt:lpstr>
      <vt:lpstr>Summary!OP_ALLOC_REFUNDED</vt:lpstr>
      <vt:lpstr>Summary!OP_ALLOCATED</vt:lpstr>
      <vt:lpstr>Summary!OP_CHANGE</vt:lpstr>
      <vt:lpstr>Summary!OP_HEALTH</vt:lpstr>
      <vt:lpstr>Summary!OP_HEALTH_CALLED</vt:lpstr>
      <vt:lpstr>Summary!OP_HEALTH_REFUNDED</vt:lpstr>
      <vt:lpstr>Summary!OP_LIFE</vt:lpstr>
      <vt:lpstr>Summary!OP_LIFE_CALLED</vt:lpstr>
      <vt:lpstr>Summary!OP_LIFE_REFUNDED</vt:lpstr>
      <vt:lpstr>Summary!OP_LTC</vt:lpstr>
      <vt:lpstr>Summary!OP_TOTAL</vt:lpstr>
      <vt:lpstr>Summary!OP_TOTAL_PREV</vt:lpstr>
      <vt:lpstr>Summary!OP_UNALLOC_CALLED</vt:lpstr>
      <vt:lpstr>Summary!OP_UNALLOC_REFUNDED</vt:lpstr>
      <vt:lpstr>Summary!OP_UNALLOCATED</vt:lpstr>
      <vt:lpstr>'AF&amp;L'!OR_FINANCIAL</vt:lpstr>
      <vt:lpstr>'Alabama Life'!OR_FINANCIAL</vt:lpstr>
      <vt:lpstr>'Amer Life Asr'!OR_FINANCIAL</vt:lpstr>
      <vt:lpstr>'Amer Std Life Acc'!OR_FINANCIAL</vt:lpstr>
      <vt:lpstr>'American Chambers'!OR_FINANCIAL</vt:lpstr>
      <vt:lpstr>'American Community'!OR_FINANCIAL</vt:lpstr>
      <vt:lpstr>'American Educators'!OR_FINANCIAL</vt:lpstr>
      <vt:lpstr>'American Integrity'!OR_FINANCIAL</vt:lpstr>
      <vt:lpstr>'American Medical'!OR_FINANCIAL</vt:lpstr>
      <vt:lpstr>'American Network'!OR_FINANCIAL</vt:lpstr>
      <vt:lpstr>AmerWstrn!OR_FINANCIAL</vt:lpstr>
      <vt:lpstr>'AMS Life'!OR_FINANCIAL</vt:lpstr>
      <vt:lpstr>'Andrew Jackson'!OR_FINANCIAL</vt:lpstr>
      <vt:lpstr>'Bankers Commercial'!OR_FINANCIAL</vt:lpstr>
      <vt:lpstr>'Bankers Life'!OR_FINANCIAL</vt:lpstr>
      <vt:lpstr>Benicorp!OR_FINANCIAL</vt:lpstr>
      <vt:lpstr>'Booker T Washington'!OR_FINANCIAL</vt:lpstr>
      <vt:lpstr>Centennial!OR_FINANCIAL</vt:lpstr>
      <vt:lpstr>'CO Bankers'!OR_FINANCIAL</vt:lpstr>
      <vt:lpstr>'Coastal States'!OR_FINANCIAL</vt:lpstr>
      <vt:lpstr>'Colorado Health'!OR_FINANCIAL</vt:lpstr>
      <vt:lpstr>'Compass (dbs Meritus)'!OR_FINANCIAL</vt:lpstr>
      <vt:lpstr>'Confed Life &amp; Annty (CLIAC)'!OR_FINANCIAL</vt:lpstr>
      <vt:lpstr>'Confed Life (CLIC)'!OR_FINANCIAL</vt:lpstr>
      <vt:lpstr>'Consolidated National'!OR_FINANCIAL</vt:lpstr>
      <vt:lpstr>'Consumers Choice'!OR_FINANCIAL</vt:lpstr>
      <vt:lpstr>'Consumers Mutual'!OR_FINANCIAL</vt:lpstr>
      <vt:lpstr>'Consumers United'!OR_FINANCIAL</vt:lpstr>
      <vt:lpstr>CoOportunity!OR_FINANCIAL</vt:lpstr>
      <vt:lpstr>'Coordinated Hlth'!OR_FINANCIAL</vt:lpstr>
      <vt:lpstr>'Corporate Life'!OR_FINANCIAL</vt:lpstr>
      <vt:lpstr>'Diamond Benefits'!OR_FINANCIAL</vt:lpstr>
      <vt:lpstr>'EBL Life'!OR_FINANCIAL</vt:lpstr>
      <vt:lpstr>ELNY!OR_FINANCIAL</vt:lpstr>
      <vt:lpstr>'Executive Life'!OR_FINANCIAL</vt:lpstr>
      <vt:lpstr>'Family Guaranty'!OR_FINANCIAL</vt:lpstr>
      <vt:lpstr>'Fidelity Bankers'!OR_FINANCIAL</vt:lpstr>
      <vt:lpstr>'Fidelity Mutual'!OR_FINANCIAL</vt:lpstr>
      <vt:lpstr>'First Capital'!OR_FINANCIAL</vt:lpstr>
      <vt:lpstr>'First Natl'!OR_FINANCIAL</vt:lpstr>
      <vt:lpstr>'First Natl (Thrnr)'!OR_FINANCIAL</vt:lpstr>
      <vt:lpstr>'Franklin American'!OR_FINANCIAL</vt:lpstr>
      <vt:lpstr>'Franklin Protective'!OR_FINANCIAL</vt:lpstr>
      <vt:lpstr>'Freelancers CO-OP'!OR_FINANCIAL</vt:lpstr>
      <vt:lpstr>Freestone!OR_FINANCIAL</vt:lpstr>
      <vt:lpstr>'George Washington'!OR_FINANCIAL</vt:lpstr>
      <vt:lpstr>'Golden State'!OR_FINANCIAL</vt:lpstr>
      <vt:lpstr>'Guarantee Security'!OR_FINANCIAL</vt:lpstr>
      <vt:lpstr>HealthyCT!OR_FINANCIAL</vt:lpstr>
      <vt:lpstr>Imerica!OR_FINANCIAL</vt:lpstr>
      <vt:lpstr>'Inter-American'!OR_FINANCIAL</vt:lpstr>
      <vt:lpstr>'International Fin'!OR_FINANCIAL</vt:lpstr>
      <vt:lpstr>'Investment Life of America'!OR_FINANCIAL</vt:lpstr>
      <vt:lpstr>'Investors Equity'!OR_FINANCIAL</vt:lpstr>
      <vt:lpstr>'Kentucky Central'!OR_FINANCIAL</vt:lpstr>
      <vt:lpstr>'Land of Lincoln'!OR_FINANCIAL</vt:lpstr>
      <vt:lpstr>Legion!OR_FINANCIAL</vt:lpstr>
      <vt:lpstr>'Life Health America'!OR_FINANCIAL</vt:lpstr>
      <vt:lpstr>'Lincoln Memorial'!OR_FINANCIAL</vt:lpstr>
      <vt:lpstr>'London Pac'!OR_FINANCIAL</vt:lpstr>
      <vt:lpstr>Lumbermens!OR_FINANCIAL</vt:lpstr>
      <vt:lpstr>'Medical Savings'!OR_FINANCIAL</vt:lpstr>
      <vt:lpstr>'Memorial Service'!OR_FINANCIAL</vt:lpstr>
      <vt:lpstr>Midcontinent!OR_FINANCIAL</vt:lpstr>
      <vt:lpstr>'Midwest Life'!OR_FINANCIAL</vt:lpstr>
      <vt:lpstr>'Monarch Life'!OR_FINANCIAL</vt:lpstr>
      <vt:lpstr>'Mutual Benefit'!OR_FINANCIAL</vt:lpstr>
      <vt:lpstr>'Mutual Security'!OR_FINANCIAL</vt:lpstr>
      <vt:lpstr>'National Affiliated'!OR_FINANCIAL</vt:lpstr>
      <vt:lpstr>'National Heritage'!OR_FINANCIAL</vt:lpstr>
      <vt:lpstr>'National States'!OR_FINANCIAL</vt:lpstr>
      <vt:lpstr>'Natl American'!OR_FINANCIAL</vt:lpstr>
      <vt:lpstr>'New Jersey Life'!OR_FINANCIAL</vt:lpstr>
      <vt:lpstr>NNIC!OR_FINANCIAL</vt:lpstr>
      <vt:lpstr>'North Carolina Mutual'!OR_FINANCIAL</vt:lpstr>
      <vt:lpstr>'Old Colony Life'!OR_FINANCIAL</vt:lpstr>
      <vt:lpstr>'Old Faithful'!OR_FINANCIAL</vt:lpstr>
      <vt:lpstr>'Pacific Standard'!OR_FINANCIAL</vt:lpstr>
      <vt:lpstr>'Pavonia Life'!OR_FINANCIAL</vt:lpstr>
      <vt:lpstr>'Pen  Treaty'!OR_FINANCIAL</vt:lpstr>
      <vt:lpstr>'Red Rock'!OR_FINANCIAL</vt:lpstr>
      <vt:lpstr>Reliance!OR_FINANCIAL</vt:lpstr>
      <vt:lpstr>SeeChange!OR_FINANCIAL</vt:lpstr>
      <vt:lpstr>'Senior American'!OR_FINANCIAL</vt:lpstr>
      <vt:lpstr>Settlers!OR_FINANCIAL</vt:lpstr>
      <vt:lpstr>Shenandoah!OR_FINANCIAL</vt:lpstr>
      <vt:lpstr>'Southland National Life'!OR_FINANCIAL</vt:lpstr>
      <vt:lpstr>'Standard Life IN'!OR_FINANCIAL</vt:lpstr>
      <vt:lpstr>'States General'!OR_FINANCIAL</vt:lpstr>
      <vt:lpstr>Statesman!OR_FINANCIAL</vt:lpstr>
      <vt:lpstr>'Summit National'!OR_FINANCIAL</vt:lpstr>
      <vt:lpstr>Supreme!OR_FINANCIAL</vt:lpstr>
      <vt:lpstr>Time!OR_FINANCIAL</vt:lpstr>
      <vt:lpstr>'Total Summary'!OR_FINANCIAL</vt:lpstr>
      <vt:lpstr>Underwriters!OR_FINANCIAL</vt:lpstr>
      <vt:lpstr>Unison!OR_FINANCIAL</vt:lpstr>
      <vt:lpstr>'United Republic'!OR_FINANCIAL</vt:lpstr>
      <vt:lpstr>'Universal Health Care'!OR_FINANCIAL</vt:lpstr>
      <vt:lpstr>'Universal Life'!OR_FINANCIAL</vt:lpstr>
      <vt:lpstr>Universe!OR_FINANCIAL</vt:lpstr>
      <vt:lpstr>Villanova!OR_FINANCIAL</vt:lpstr>
      <vt:lpstr>'AF&amp;L'!OT_FINANCIAL</vt:lpstr>
      <vt:lpstr>'Alabama Life'!OT_FINANCIAL</vt:lpstr>
      <vt:lpstr>'Amer Life Asr'!OT_FINANCIAL</vt:lpstr>
      <vt:lpstr>'Amer Std Life Acc'!OT_FINANCIAL</vt:lpstr>
      <vt:lpstr>'American Chambers'!OT_FINANCIAL</vt:lpstr>
      <vt:lpstr>'American Community'!OT_FINANCIAL</vt:lpstr>
      <vt:lpstr>'American Educators'!OT_FINANCIAL</vt:lpstr>
      <vt:lpstr>'American Integrity'!OT_FINANCIAL</vt:lpstr>
      <vt:lpstr>'American Medical'!OT_FINANCIAL</vt:lpstr>
      <vt:lpstr>'American Network'!OT_FINANCIAL</vt:lpstr>
      <vt:lpstr>AmerWstrn!OT_FINANCIAL</vt:lpstr>
      <vt:lpstr>'AMS Life'!OT_FINANCIAL</vt:lpstr>
      <vt:lpstr>'Andrew Jackson'!OT_FINANCIAL</vt:lpstr>
      <vt:lpstr>'Bankers Commercial'!OT_FINANCIAL</vt:lpstr>
      <vt:lpstr>'Bankers Life'!OT_FINANCIAL</vt:lpstr>
      <vt:lpstr>Benicorp!OT_FINANCIAL</vt:lpstr>
      <vt:lpstr>'Booker T Washington'!OT_FINANCIAL</vt:lpstr>
      <vt:lpstr>Centennial!OT_FINANCIAL</vt:lpstr>
      <vt:lpstr>'CO Bankers'!OT_FINANCIAL</vt:lpstr>
      <vt:lpstr>'Coastal States'!OT_FINANCIAL</vt:lpstr>
      <vt:lpstr>'Colorado Health'!OT_FINANCIAL</vt:lpstr>
      <vt:lpstr>'Compass (dbs Meritus)'!OT_FINANCIAL</vt:lpstr>
      <vt:lpstr>'Confed Life &amp; Annty (CLIAC)'!OT_FINANCIAL</vt:lpstr>
      <vt:lpstr>'Confed Life (CLIC)'!OT_FINANCIAL</vt:lpstr>
      <vt:lpstr>'Consolidated National'!OT_FINANCIAL</vt:lpstr>
      <vt:lpstr>'Consumers Choice'!OT_FINANCIAL</vt:lpstr>
      <vt:lpstr>'Consumers Mutual'!OT_FINANCIAL</vt:lpstr>
      <vt:lpstr>'Consumers United'!OT_FINANCIAL</vt:lpstr>
      <vt:lpstr>CoOportunity!OT_FINANCIAL</vt:lpstr>
      <vt:lpstr>'Coordinated Hlth'!OT_FINANCIAL</vt:lpstr>
      <vt:lpstr>'Corporate Life'!OT_FINANCIAL</vt:lpstr>
      <vt:lpstr>'Diamond Benefits'!OT_FINANCIAL</vt:lpstr>
      <vt:lpstr>'EBL Life'!OT_FINANCIAL</vt:lpstr>
      <vt:lpstr>ELNY!OT_FINANCIAL</vt:lpstr>
      <vt:lpstr>'Executive Life'!OT_FINANCIAL</vt:lpstr>
      <vt:lpstr>'Family Guaranty'!OT_FINANCIAL</vt:lpstr>
      <vt:lpstr>'Fidelity Bankers'!OT_FINANCIAL</vt:lpstr>
      <vt:lpstr>'Fidelity Mutual'!OT_FINANCIAL</vt:lpstr>
      <vt:lpstr>'First Capital'!OT_FINANCIAL</vt:lpstr>
      <vt:lpstr>'First Natl'!OT_FINANCIAL</vt:lpstr>
      <vt:lpstr>'First Natl (Thrnr)'!OT_FINANCIAL</vt:lpstr>
      <vt:lpstr>'Franklin American'!OT_FINANCIAL</vt:lpstr>
      <vt:lpstr>'Franklin Protective'!OT_FINANCIAL</vt:lpstr>
      <vt:lpstr>'Freelancers CO-OP'!OT_FINANCIAL</vt:lpstr>
      <vt:lpstr>Freestone!OT_FINANCIAL</vt:lpstr>
      <vt:lpstr>'George Washington'!OT_FINANCIAL</vt:lpstr>
      <vt:lpstr>'Golden State'!OT_FINANCIAL</vt:lpstr>
      <vt:lpstr>'Guarantee Security'!OT_FINANCIAL</vt:lpstr>
      <vt:lpstr>HealthyCT!OT_FINANCIAL</vt:lpstr>
      <vt:lpstr>Imerica!OT_FINANCIAL</vt:lpstr>
      <vt:lpstr>'Inter-American'!OT_FINANCIAL</vt:lpstr>
      <vt:lpstr>'International Fin'!OT_FINANCIAL</vt:lpstr>
      <vt:lpstr>'Investment Life of America'!OT_FINANCIAL</vt:lpstr>
      <vt:lpstr>'Investors Equity'!OT_FINANCIAL</vt:lpstr>
      <vt:lpstr>'Kentucky Central'!OT_FINANCIAL</vt:lpstr>
      <vt:lpstr>'Land of Lincoln'!OT_FINANCIAL</vt:lpstr>
      <vt:lpstr>Legion!OT_FINANCIAL</vt:lpstr>
      <vt:lpstr>'Life Health America'!OT_FINANCIAL</vt:lpstr>
      <vt:lpstr>'Lincoln Memorial'!OT_FINANCIAL</vt:lpstr>
      <vt:lpstr>'London Pac'!OT_FINANCIAL</vt:lpstr>
      <vt:lpstr>Lumbermens!OT_FINANCIAL</vt:lpstr>
      <vt:lpstr>'Medical Savings'!OT_FINANCIAL</vt:lpstr>
      <vt:lpstr>'Memorial Service'!OT_FINANCIAL</vt:lpstr>
      <vt:lpstr>Midcontinent!OT_FINANCIAL</vt:lpstr>
      <vt:lpstr>'Midwest Life'!OT_FINANCIAL</vt:lpstr>
      <vt:lpstr>'Monarch Life'!OT_FINANCIAL</vt:lpstr>
      <vt:lpstr>'Mutual Benefit'!OT_FINANCIAL</vt:lpstr>
      <vt:lpstr>'Mutual Security'!OT_FINANCIAL</vt:lpstr>
      <vt:lpstr>'National Affiliated'!OT_FINANCIAL</vt:lpstr>
      <vt:lpstr>'National Heritage'!OT_FINANCIAL</vt:lpstr>
      <vt:lpstr>'National States'!OT_FINANCIAL</vt:lpstr>
      <vt:lpstr>'Natl American'!OT_FINANCIAL</vt:lpstr>
      <vt:lpstr>'New Jersey Life'!OT_FINANCIAL</vt:lpstr>
      <vt:lpstr>NNIC!OT_FINANCIAL</vt:lpstr>
      <vt:lpstr>'North Carolina Mutual'!OT_FINANCIAL</vt:lpstr>
      <vt:lpstr>'Old Colony Life'!OT_FINANCIAL</vt:lpstr>
      <vt:lpstr>'Old Faithful'!OT_FINANCIAL</vt:lpstr>
      <vt:lpstr>'Pacific Standard'!OT_FINANCIAL</vt:lpstr>
      <vt:lpstr>'Pavonia Life'!OT_FINANCIAL</vt:lpstr>
      <vt:lpstr>'Pen  Treaty'!OT_FINANCIAL</vt:lpstr>
      <vt:lpstr>'Red Rock'!OT_FINANCIAL</vt:lpstr>
      <vt:lpstr>Reliance!OT_FINANCIAL</vt:lpstr>
      <vt:lpstr>SeeChange!OT_FINANCIAL</vt:lpstr>
      <vt:lpstr>'Senior American'!OT_FINANCIAL</vt:lpstr>
      <vt:lpstr>Settlers!OT_FINANCIAL</vt:lpstr>
      <vt:lpstr>Shenandoah!OT_FINANCIAL</vt:lpstr>
      <vt:lpstr>'Southland National Life'!OT_FINANCIAL</vt:lpstr>
      <vt:lpstr>'Standard Life IN'!OT_FINANCIAL</vt:lpstr>
      <vt:lpstr>'States General'!OT_FINANCIAL</vt:lpstr>
      <vt:lpstr>Statesman!OT_FINANCIAL</vt:lpstr>
      <vt:lpstr>'Summit National'!OT_FINANCIAL</vt:lpstr>
      <vt:lpstr>Supreme!OT_FINANCIAL</vt:lpstr>
      <vt:lpstr>Time!OT_FINANCIAL</vt:lpstr>
      <vt:lpstr>'Total Summary'!OT_FINANCIAL</vt:lpstr>
      <vt:lpstr>Underwriters!OT_FINANCIAL</vt:lpstr>
      <vt:lpstr>Unison!OT_FINANCIAL</vt:lpstr>
      <vt:lpstr>'United Republic'!OT_FINANCIAL</vt:lpstr>
      <vt:lpstr>'Universal Health Care'!OT_FINANCIAL</vt:lpstr>
      <vt:lpstr>'Universal Life'!OT_FINANCIAL</vt:lpstr>
      <vt:lpstr>Universe!OT_FINANCIAL</vt:lpstr>
      <vt:lpstr>Villanova!OT_FINANCIAL</vt:lpstr>
      <vt:lpstr>'AF&amp;L'!PA_FINANCIAL</vt:lpstr>
      <vt:lpstr>'Alabama Life'!PA_FINANCIAL</vt:lpstr>
      <vt:lpstr>'Amer Life Asr'!PA_FINANCIAL</vt:lpstr>
      <vt:lpstr>'Amer Std Life Acc'!PA_FINANCIAL</vt:lpstr>
      <vt:lpstr>'American Chambers'!PA_FINANCIAL</vt:lpstr>
      <vt:lpstr>'American Community'!PA_FINANCIAL</vt:lpstr>
      <vt:lpstr>'American Educators'!PA_FINANCIAL</vt:lpstr>
      <vt:lpstr>'American Integrity'!PA_FINANCIAL</vt:lpstr>
      <vt:lpstr>'American Medical'!PA_FINANCIAL</vt:lpstr>
      <vt:lpstr>'American Network'!PA_FINANCIAL</vt:lpstr>
      <vt:lpstr>AmerWstrn!PA_FINANCIAL</vt:lpstr>
      <vt:lpstr>'AMS Life'!PA_FINANCIAL</vt:lpstr>
      <vt:lpstr>'Andrew Jackson'!PA_FINANCIAL</vt:lpstr>
      <vt:lpstr>'Bankers Commercial'!PA_FINANCIAL</vt:lpstr>
      <vt:lpstr>'Bankers Life'!PA_FINANCIAL</vt:lpstr>
      <vt:lpstr>Benicorp!PA_FINANCIAL</vt:lpstr>
      <vt:lpstr>'Booker T Washington'!PA_FINANCIAL</vt:lpstr>
      <vt:lpstr>Centennial!PA_FINANCIAL</vt:lpstr>
      <vt:lpstr>'CO Bankers'!PA_FINANCIAL</vt:lpstr>
      <vt:lpstr>'Coastal States'!PA_FINANCIAL</vt:lpstr>
      <vt:lpstr>'Colorado Health'!PA_FINANCIAL</vt:lpstr>
      <vt:lpstr>'Compass (dbs Meritus)'!PA_FINANCIAL</vt:lpstr>
      <vt:lpstr>'Confed Life &amp; Annty (CLIAC)'!PA_FINANCIAL</vt:lpstr>
      <vt:lpstr>'Confed Life (CLIC)'!PA_FINANCIAL</vt:lpstr>
      <vt:lpstr>'Consolidated National'!PA_FINANCIAL</vt:lpstr>
      <vt:lpstr>'Consumers Choice'!PA_FINANCIAL</vt:lpstr>
      <vt:lpstr>'Consumers Mutual'!PA_FINANCIAL</vt:lpstr>
      <vt:lpstr>'Consumers United'!PA_FINANCIAL</vt:lpstr>
      <vt:lpstr>CoOportunity!PA_FINANCIAL</vt:lpstr>
      <vt:lpstr>'Coordinated Hlth'!PA_FINANCIAL</vt:lpstr>
      <vt:lpstr>'Corporate Life'!PA_FINANCIAL</vt:lpstr>
      <vt:lpstr>'Diamond Benefits'!PA_FINANCIAL</vt:lpstr>
      <vt:lpstr>'EBL Life'!PA_FINANCIAL</vt:lpstr>
      <vt:lpstr>ELNY!PA_FINANCIAL</vt:lpstr>
      <vt:lpstr>'Executive Life'!PA_FINANCIAL</vt:lpstr>
      <vt:lpstr>'Family Guaranty'!PA_FINANCIAL</vt:lpstr>
      <vt:lpstr>'Fidelity Bankers'!PA_FINANCIAL</vt:lpstr>
      <vt:lpstr>'Fidelity Mutual'!PA_FINANCIAL</vt:lpstr>
      <vt:lpstr>'First Capital'!PA_FINANCIAL</vt:lpstr>
      <vt:lpstr>'First Natl'!PA_FINANCIAL</vt:lpstr>
      <vt:lpstr>'First Natl (Thrnr)'!PA_FINANCIAL</vt:lpstr>
      <vt:lpstr>'Franklin American'!PA_FINANCIAL</vt:lpstr>
      <vt:lpstr>'Franklin Protective'!PA_FINANCIAL</vt:lpstr>
      <vt:lpstr>'Freelancers CO-OP'!PA_FINANCIAL</vt:lpstr>
      <vt:lpstr>Freestone!PA_FINANCIAL</vt:lpstr>
      <vt:lpstr>'George Washington'!PA_FINANCIAL</vt:lpstr>
      <vt:lpstr>'Golden State'!PA_FINANCIAL</vt:lpstr>
      <vt:lpstr>'Guarantee Security'!PA_FINANCIAL</vt:lpstr>
      <vt:lpstr>HealthyCT!PA_FINANCIAL</vt:lpstr>
      <vt:lpstr>Imerica!PA_FINANCIAL</vt:lpstr>
      <vt:lpstr>'Inter-American'!PA_FINANCIAL</vt:lpstr>
      <vt:lpstr>'International Fin'!PA_FINANCIAL</vt:lpstr>
      <vt:lpstr>'Investment Life of America'!PA_FINANCIAL</vt:lpstr>
      <vt:lpstr>'Investors Equity'!PA_FINANCIAL</vt:lpstr>
      <vt:lpstr>'Kentucky Central'!PA_FINANCIAL</vt:lpstr>
      <vt:lpstr>'Land of Lincoln'!PA_FINANCIAL</vt:lpstr>
      <vt:lpstr>Legion!PA_FINANCIAL</vt:lpstr>
      <vt:lpstr>'Life Health America'!PA_FINANCIAL</vt:lpstr>
      <vt:lpstr>'Lincoln Memorial'!PA_FINANCIAL</vt:lpstr>
      <vt:lpstr>'London Pac'!PA_FINANCIAL</vt:lpstr>
      <vt:lpstr>Lumbermens!PA_FINANCIAL</vt:lpstr>
      <vt:lpstr>'Medical Savings'!PA_FINANCIAL</vt:lpstr>
      <vt:lpstr>'Memorial Service'!PA_FINANCIAL</vt:lpstr>
      <vt:lpstr>Midcontinent!PA_FINANCIAL</vt:lpstr>
      <vt:lpstr>'Midwest Life'!PA_FINANCIAL</vt:lpstr>
      <vt:lpstr>'Monarch Life'!PA_FINANCIAL</vt:lpstr>
      <vt:lpstr>'Mutual Benefit'!PA_FINANCIAL</vt:lpstr>
      <vt:lpstr>'Mutual Security'!PA_FINANCIAL</vt:lpstr>
      <vt:lpstr>'National Affiliated'!PA_FINANCIAL</vt:lpstr>
      <vt:lpstr>'National Heritage'!PA_FINANCIAL</vt:lpstr>
      <vt:lpstr>'National States'!PA_FINANCIAL</vt:lpstr>
      <vt:lpstr>'Natl American'!PA_FINANCIAL</vt:lpstr>
      <vt:lpstr>'New Jersey Life'!PA_FINANCIAL</vt:lpstr>
      <vt:lpstr>NNIC!PA_FINANCIAL</vt:lpstr>
      <vt:lpstr>'North Carolina Mutual'!PA_FINANCIAL</vt:lpstr>
      <vt:lpstr>'Old Colony Life'!PA_FINANCIAL</vt:lpstr>
      <vt:lpstr>'Old Faithful'!PA_FINANCIAL</vt:lpstr>
      <vt:lpstr>'Pacific Standard'!PA_FINANCIAL</vt:lpstr>
      <vt:lpstr>'Pavonia Life'!PA_FINANCIAL</vt:lpstr>
      <vt:lpstr>'Pen  Treaty'!PA_FINANCIAL</vt:lpstr>
      <vt:lpstr>'Red Rock'!PA_FINANCIAL</vt:lpstr>
      <vt:lpstr>Reliance!PA_FINANCIAL</vt:lpstr>
      <vt:lpstr>SeeChange!PA_FINANCIAL</vt:lpstr>
      <vt:lpstr>'Senior American'!PA_FINANCIAL</vt:lpstr>
      <vt:lpstr>Settlers!PA_FINANCIAL</vt:lpstr>
      <vt:lpstr>Shenandoah!PA_FINANCIAL</vt:lpstr>
      <vt:lpstr>'Southland National Life'!PA_FINANCIAL</vt:lpstr>
      <vt:lpstr>'Standard Life IN'!PA_FINANCIAL</vt:lpstr>
      <vt:lpstr>'States General'!PA_FINANCIAL</vt:lpstr>
      <vt:lpstr>Statesman!PA_FINANCIAL</vt:lpstr>
      <vt:lpstr>'Summit National'!PA_FINANCIAL</vt:lpstr>
      <vt:lpstr>Supreme!PA_FINANCIAL</vt:lpstr>
      <vt:lpstr>Time!PA_FINANCIAL</vt:lpstr>
      <vt:lpstr>'Total Summary'!PA_FINANCIAL</vt:lpstr>
      <vt:lpstr>Underwriters!PA_FINANCIAL</vt:lpstr>
      <vt:lpstr>Unison!PA_FINANCIAL</vt:lpstr>
      <vt:lpstr>'United Republic'!PA_FINANCIAL</vt:lpstr>
      <vt:lpstr>'Universal Health Care'!PA_FINANCIAL</vt:lpstr>
      <vt:lpstr>'Universal Life'!PA_FINANCIAL</vt:lpstr>
      <vt:lpstr>Universe!PA_FINANCIAL</vt:lpstr>
      <vt:lpstr>Villanova!PA_FINANCIAL</vt:lpstr>
      <vt:lpstr>Summary!PL_ALLOC_CALLED</vt:lpstr>
      <vt:lpstr>Summary!PL_ALLOC_REFUNDED</vt:lpstr>
      <vt:lpstr>Summary!PL_ALLOCATED</vt:lpstr>
      <vt:lpstr>Summary!PL_CHANGE</vt:lpstr>
      <vt:lpstr>Summary!PL_HEALTH</vt:lpstr>
      <vt:lpstr>Summary!PL_HEALTH_CALLED</vt:lpstr>
      <vt:lpstr>Summary!PL_HEALTH_REFUNDED</vt:lpstr>
      <vt:lpstr>Summary!PL_LIFE</vt:lpstr>
      <vt:lpstr>Summary!PL_LIFE_CALLED</vt:lpstr>
      <vt:lpstr>Summary!PL_LIFE_REFUNDED</vt:lpstr>
      <vt:lpstr>Summary!PL_LTC</vt:lpstr>
      <vt:lpstr>Summary!PL_TOTAL</vt:lpstr>
      <vt:lpstr>Summary!PL_TOTAL_PREV</vt:lpstr>
      <vt:lpstr>Summary!PL_UNALLOC_CALLED</vt:lpstr>
      <vt:lpstr>Summary!PL_UNALLOC_REFUNDED</vt:lpstr>
      <vt:lpstr>Summary!PL_UNALLOCATED</vt:lpstr>
      <vt:lpstr>'AF&amp;L'!PR_FINANCIAL</vt:lpstr>
      <vt:lpstr>'Alabama Life'!PR_FINANCIAL</vt:lpstr>
      <vt:lpstr>'Amer Life Asr'!PR_FINANCIAL</vt:lpstr>
      <vt:lpstr>'Amer Std Life Acc'!PR_FINANCIAL</vt:lpstr>
      <vt:lpstr>'American Chambers'!PR_FINANCIAL</vt:lpstr>
      <vt:lpstr>'American Community'!PR_FINANCIAL</vt:lpstr>
      <vt:lpstr>'American Educators'!PR_FINANCIAL</vt:lpstr>
      <vt:lpstr>'American Integrity'!PR_FINANCIAL</vt:lpstr>
      <vt:lpstr>'American Medical'!PR_FINANCIAL</vt:lpstr>
      <vt:lpstr>'American Network'!PR_FINANCIAL</vt:lpstr>
      <vt:lpstr>AmerWstrn!PR_FINANCIAL</vt:lpstr>
      <vt:lpstr>'AMS Life'!PR_FINANCIAL</vt:lpstr>
      <vt:lpstr>'Andrew Jackson'!PR_FINANCIAL</vt:lpstr>
      <vt:lpstr>'Bankers Commercial'!PR_FINANCIAL</vt:lpstr>
      <vt:lpstr>'Bankers Life'!PR_FINANCIAL</vt:lpstr>
      <vt:lpstr>Benicorp!PR_FINANCIAL</vt:lpstr>
      <vt:lpstr>'Booker T Washington'!PR_FINANCIAL</vt:lpstr>
      <vt:lpstr>Centennial!PR_FINANCIAL</vt:lpstr>
      <vt:lpstr>'CO Bankers'!PR_FINANCIAL</vt:lpstr>
      <vt:lpstr>'Coastal States'!PR_FINANCIAL</vt:lpstr>
      <vt:lpstr>'Colorado Health'!PR_FINANCIAL</vt:lpstr>
      <vt:lpstr>'Compass (dbs Meritus)'!PR_FINANCIAL</vt:lpstr>
      <vt:lpstr>'Confed Life &amp; Annty (CLIAC)'!PR_FINANCIAL</vt:lpstr>
      <vt:lpstr>'Confed Life (CLIC)'!PR_FINANCIAL</vt:lpstr>
      <vt:lpstr>'Consolidated National'!PR_FINANCIAL</vt:lpstr>
      <vt:lpstr>'Consumers Choice'!PR_FINANCIAL</vt:lpstr>
      <vt:lpstr>'Consumers Mutual'!PR_FINANCIAL</vt:lpstr>
      <vt:lpstr>'Consumers United'!PR_FINANCIAL</vt:lpstr>
      <vt:lpstr>CoOportunity!PR_FINANCIAL</vt:lpstr>
      <vt:lpstr>'Coordinated Hlth'!PR_FINANCIAL</vt:lpstr>
      <vt:lpstr>'Corporate Life'!PR_FINANCIAL</vt:lpstr>
      <vt:lpstr>'Diamond Benefits'!PR_FINANCIAL</vt:lpstr>
      <vt:lpstr>'EBL Life'!PR_FINANCIAL</vt:lpstr>
      <vt:lpstr>ELNY!PR_FINANCIAL</vt:lpstr>
      <vt:lpstr>'Executive Life'!PR_FINANCIAL</vt:lpstr>
      <vt:lpstr>'Family Guaranty'!PR_FINANCIAL</vt:lpstr>
      <vt:lpstr>'Fidelity Bankers'!PR_FINANCIAL</vt:lpstr>
      <vt:lpstr>'Fidelity Mutual'!PR_FINANCIAL</vt:lpstr>
      <vt:lpstr>'First Capital'!PR_FINANCIAL</vt:lpstr>
      <vt:lpstr>'First Natl'!PR_FINANCIAL</vt:lpstr>
      <vt:lpstr>'First Natl (Thrnr)'!PR_FINANCIAL</vt:lpstr>
      <vt:lpstr>'Franklin American'!PR_FINANCIAL</vt:lpstr>
      <vt:lpstr>'Franklin Protective'!PR_FINANCIAL</vt:lpstr>
      <vt:lpstr>'Freelancers CO-OP'!PR_FINANCIAL</vt:lpstr>
      <vt:lpstr>Freestone!PR_FINANCIAL</vt:lpstr>
      <vt:lpstr>'George Washington'!PR_FINANCIAL</vt:lpstr>
      <vt:lpstr>'Golden State'!PR_FINANCIAL</vt:lpstr>
      <vt:lpstr>'Guarantee Security'!PR_FINANCIAL</vt:lpstr>
      <vt:lpstr>HealthyCT!PR_FINANCIAL</vt:lpstr>
      <vt:lpstr>Imerica!PR_FINANCIAL</vt:lpstr>
      <vt:lpstr>'Inter-American'!PR_FINANCIAL</vt:lpstr>
      <vt:lpstr>'International Fin'!PR_FINANCIAL</vt:lpstr>
      <vt:lpstr>'Investment Life of America'!PR_FINANCIAL</vt:lpstr>
      <vt:lpstr>'Investors Equity'!PR_FINANCIAL</vt:lpstr>
      <vt:lpstr>'Kentucky Central'!PR_FINANCIAL</vt:lpstr>
      <vt:lpstr>'Land of Lincoln'!PR_FINANCIAL</vt:lpstr>
      <vt:lpstr>Legion!PR_FINANCIAL</vt:lpstr>
      <vt:lpstr>'Life Health America'!PR_FINANCIAL</vt:lpstr>
      <vt:lpstr>'Lincoln Memorial'!PR_FINANCIAL</vt:lpstr>
      <vt:lpstr>'London Pac'!PR_FINANCIAL</vt:lpstr>
      <vt:lpstr>Lumbermens!PR_FINANCIAL</vt:lpstr>
      <vt:lpstr>'Medical Savings'!PR_FINANCIAL</vt:lpstr>
      <vt:lpstr>'Memorial Service'!PR_FINANCIAL</vt:lpstr>
      <vt:lpstr>Midcontinent!PR_FINANCIAL</vt:lpstr>
      <vt:lpstr>'Midwest Life'!PR_FINANCIAL</vt:lpstr>
      <vt:lpstr>'Monarch Life'!PR_FINANCIAL</vt:lpstr>
      <vt:lpstr>'Mutual Benefit'!PR_FINANCIAL</vt:lpstr>
      <vt:lpstr>'Mutual Security'!PR_FINANCIAL</vt:lpstr>
      <vt:lpstr>'National Affiliated'!PR_FINANCIAL</vt:lpstr>
      <vt:lpstr>'National Heritage'!PR_FINANCIAL</vt:lpstr>
      <vt:lpstr>'National States'!PR_FINANCIAL</vt:lpstr>
      <vt:lpstr>'Natl American'!PR_FINANCIAL</vt:lpstr>
      <vt:lpstr>'New Jersey Life'!PR_FINANCIAL</vt:lpstr>
      <vt:lpstr>NNIC!PR_FINANCIAL</vt:lpstr>
      <vt:lpstr>'North Carolina Mutual'!PR_FINANCIAL</vt:lpstr>
      <vt:lpstr>'Old Colony Life'!PR_FINANCIAL</vt:lpstr>
      <vt:lpstr>'Old Faithful'!PR_FINANCIAL</vt:lpstr>
      <vt:lpstr>'Pacific Standard'!PR_FINANCIAL</vt:lpstr>
      <vt:lpstr>'Pavonia Life'!PR_FINANCIAL</vt:lpstr>
      <vt:lpstr>'Pen  Treaty'!PR_FINANCIAL</vt:lpstr>
      <vt:lpstr>'Red Rock'!PR_FINANCIAL</vt:lpstr>
      <vt:lpstr>Reliance!PR_FINANCIAL</vt:lpstr>
      <vt:lpstr>SeeChange!PR_FINANCIAL</vt:lpstr>
      <vt:lpstr>'Senior American'!PR_FINANCIAL</vt:lpstr>
      <vt:lpstr>Settlers!PR_FINANCIAL</vt:lpstr>
      <vt:lpstr>Shenandoah!PR_FINANCIAL</vt:lpstr>
      <vt:lpstr>'Southland National Life'!PR_FINANCIAL</vt:lpstr>
      <vt:lpstr>'Standard Life IN'!PR_FINANCIAL</vt:lpstr>
      <vt:lpstr>'States General'!PR_FINANCIAL</vt:lpstr>
      <vt:lpstr>Statesman!PR_FINANCIAL</vt:lpstr>
      <vt:lpstr>'Summit National'!PR_FINANCIAL</vt:lpstr>
      <vt:lpstr>Supreme!PR_FINANCIAL</vt:lpstr>
      <vt:lpstr>Time!PR_FINANCIAL</vt:lpstr>
      <vt:lpstr>'Total Summary'!PR_FINANCIAL</vt:lpstr>
      <vt:lpstr>Underwriters!PR_FINANCIAL</vt:lpstr>
      <vt:lpstr>Unison!PR_FINANCIAL</vt:lpstr>
      <vt:lpstr>'United Republic'!PR_FINANCIAL</vt:lpstr>
      <vt:lpstr>'Universal Health Care'!PR_FINANCIAL</vt:lpstr>
      <vt:lpstr>'Universal Life'!PR_FINANCIAL</vt:lpstr>
      <vt:lpstr>Universe!PR_FINANCIAL</vt:lpstr>
      <vt:lpstr>Villanova!PR_FINANCIAL</vt:lpstr>
      <vt:lpstr>Summary!Print_Area</vt:lpstr>
      <vt:lpstr>Summary!Print_Titles</vt:lpstr>
      <vt:lpstr>Summary!RE_ALLOC_CALLED</vt:lpstr>
      <vt:lpstr>Summary!RE_ALLOC_REFUNDED</vt:lpstr>
      <vt:lpstr>Summary!RE_ALLOCATED</vt:lpstr>
      <vt:lpstr>Summary!RE_CHANGE</vt:lpstr>
      <vt:lpstr>Summary!RE_HEALTH</vt:lpstr>
      <vt:lpstr>Summary!RE_HEALTH_CALLED</vt:lpstr>
      <vt:lpstr>Summary!RE_HEALTH_REFUNDED</vt:lpstr>
      <vt:lpstr>Summary!RE_LIFE</vt:lpstr>
      <vt:lpstr>Summary!RE_LIFE_CALLED</vt:lpstr>
      <vt:lpstr>Summary!RE_LIFE_REFUNDED</vt:lpstr>
      <vt:lpstr>Summary!RE_LTC</vt:lpstr>
      <vt:lpstr>Summary!RE_TOTAL</vt:lpstr>
      <vt:lpstr>Summary!RE_TOTAL_PREV</vt:lpstr>
      <vt:lpstr>Summary!RE_UNALLOC_CALLED</vt:lpstr>
      <vt:lpstr>Summary!RE_UNALLOC_REFUNDED</vt:lpstr>
      <vt:lpstr>Summary!RE_UNALLOCATED</vt:lpstr>
      <vt:lpstr>'Closed Summary'!REC_TOTAL</vt:lpstr>
      <vt:lpstr>'Estate Closed Summary'!REC_TOTAL</vt:lpstr>
      <vt:lpstr>'Open Summary'!REC_TOTAL</vt:lpstr>
      <vt:lpstr>'Pre-Liquidation Summary'!REC_TOTAL</vt:lpstr>
      <vt:lpstr>'Released from Oversight Summary'!REC_TOTAL</vt:lpstr>
      <vt:lpstr>'Closed Summary'!RECON</vt:lpstr>
      <vt:lpstr>'Estate Closed Summary'!RECON</vt:lpstr>
      <vt:lpstr>'Open Summary'!RECON</vt:lpstr>
      <vt:lpstr>'Pre-Liquidation Summary'!RECON</vt:lpstr>
      <vt:lpstr>'Released from Oversight Summary'!RECON</vt:lpstr>
      <vt:lpstr>'AF&amp;L'!RI_FINANCIAL</vt:lpstr>
      <vt:lpstr>'Alabama Life'!RI_FINANCIAL</vt:lpstr>
      <vt:lpstr>'Amer Life Asr'!RI_FINANCIAL</vt:lpstr>
      <vt:lpstr>'Amer Std Life Acc'!RI_FINANCIAL</vt:lpstr>
      <vt:lpstr>'American Chambers'!RI_FINANCIAL</vt:lpstr>
      <vt:lpstr>'American Community'!RI_FINANCIAL</vt:lpstr>
      <vt:lpstr>'American Educators'!RI_FINANCIAL</vt:lpstr>
      <vt:lpstr>'American Integrity'!RI_FINANCIAL</vt:lpstr>
      <vt:lpstr>'American Medical'!RI_FINANCIAL</vt:lpstr>
      <vt:lpstr>'American Network'!RI_FINANCIAL</vt:lpstr>
      <vt:lpstr>AmerWstrn!RI_FINANCIAL</vt:lpstr>
      <vt:lpstr>'AMS Life'!RI_FINANCIAL</vt:lpstr>
      <vt:lpstr>'Andrew Jackson'!RI_FINANCIAL</vt:lpstr>
      <vt:lpstr>'Bankers Commercial'!RI_FINANCIAL</vt:lpstr>
      <vt:lpstr>'Bankers Life'!RI_FINANCIAL</vt:lpstr>
      <vt:lpstr>Benicorp!RI_FINANCIAL</vt:lpstr>
      <vt:lpstr>'Booker T Washington'!RI_FINANCIAL</vt:lpstr>
      <vt:lpstr>Centennial!RI_FINANCIAL</vt:lpstr>
      <vt:lpstr>'CO Bankers'!RI_FINANCIAL</vt:lpstr>
      <vt:lpstr>'Coastal States'!RI_FINANCIAL</vt:lpstr>
      <vt:lpstr>'Colorado Health'!RI_FINANCIAL</vt:lpstr>
      <vt:lpstr>'Compass (dbs Meritus)'!RI_FINANCIAL</vt:lpstr>
      <vt:lpstr>'Confed Life &amp; Annty (CLIAC)'!RI_FINANCIAL</vt:lpstr>
      <vt:lpstr>'Confed Life (CLIC)'!RI_FINANCIAL</vt:lpstr>
      <vt:lpstr>'Consolidated National'!RI_FINANCIAL</vt:lpstr>
      <vt:lpstr>'Consumers Choice'!RI_FINANCIAL</vt:lpstr>
      <vt:lpstr>'Consumers Mutual'!RI_FINANCIAL</vt:lpstr>
      <vt:lpstr>'Consumers United'!RI_FINANCIAL</vt:lpstr>
      <vt:lpstr>CoOportunity!RI_FINANCIAL</vt:lpstr>
      <vt:lpstr>'Coordinated Hlth'!RI_FINANCIAL</vt:lpstr>
      <vt:lpstr>'Corporate Life'!RI_FINANCIAL</vt:lpstr>
      <vt:lpstr>'Diamond Benefits'!RI_FINANCIAL</vt:lpstr>
      <vt:lpstr>'EBL Life'!RI_FINANCIAL</vt:lpstr>
      <vt:lpstr>ELNY!RI_FINANCIAL</vt:lpstr>
      <vt:lpstr>'Executive Life'!RI_FINANCIAL</vt:lpstr>
      <vt:lpstr>'Family Guaranty'!RI_FINANCIAL</vt:lpstr>
      <vt:lpstr>'Fidelity Bankers'!RI_FINANCIAL</vt:lpstr>
      <vt:lpstr>'Fidelity Mutual'!RI_FINANCIAL</vt:lpstr>
      <vt:lpstr>'First Capital'!RI_FINANCIAL</vt:lpstr>
      <vt:lpstr>'First Natl'!RI_FINANCIAL</vt:lpstr>
      <vt:lpstr>'First Natl (Thrnr)'!RI_FINANCIAL</vt:lpstr>
      <vt:lpstr>'Franklin American'!RI_FINANCIAL</vt:lpstr>
      <vt:lpstr>'Franklin Protective'!RI_FINANCIAL</vt:lpstr>
      <vt:lpstr>'Freelancers CO-OP'!RI_FINANCIAL</vt:lpstr>
      <vt:lpstr>Freestone!RI_FINANCIAL</vt:lpstr>
      <vt:lpstr>'George Washington'!RI_FINANCIAL</vt:lpstr>
      <vt:lpstr>'Golden State'!RI_FINANCIAL</vt:lpstr>
      <vt:lpstr>'Guarantee Security'!RI_FINANCIAL</vt:lpstr>
      <vt:lpstr>HealthyCT!RI_FINANCIAL</vt:lpstr>
      <vt:lpstr>Imerica!RI_FINANCIAL</vt:lpstr>
      <vt:lpstr>'Inter-American'!RI_FINANCIAL</vt:lpstr>
      <vt:lpstr>'International Fin'!RI_FINANCIAL</vt:lpstr>
      <vt:lpstr>'Investment Life of America'!RI_FINANCIAL</vt:lpstr>
      <vt:lpstr>'Investors Equity'!RI_FINANCIAL</vt:lpstr>
      <vt:lpstr>'Kentucky Central'!RI_FINANCIAL</vt:lpstr>
      <vt:lpstr>'Land of Lincoln'!RI_FINANCIAL</vt:lpstr>
      <vt:lpstr>Legion!RI_FINANCIAL</vt:lpstr>
      <vt:lpstr>'Life Health America'!RI_FINANCIAL</vt:lpstr>
      <vt:lpstr>'Lincoln Memorial'!RI_FINANCIAL</vt:lpstr>
      <vt:lpstr>'London Pac'!RI_FINANCIAL</vt:lpstr>
      <vt:lpstr>Lumbermens!RI_FINANCIAL</vt:lpstr>
      <vt:lpstr>'Medical Savings'!RI_FINANCIAL</vt:lpstr>
      <vt:lpstr>'Memorial Service'!RI_FINANCIAL</vt:lpstr>
      <vt:lpstr>Midcontinent!RI_FINANCIAL</vt:lpstr>
      <vt:lpstr>'Midwest Life'!RI_FINANCIAL</vt:lpstr>
      <vt:lpstr>'Monarch Life'!RI_FINANCIAL</vt:lpstr>
      <vt:lpstr>'Mutual Benefit'!RI_FINANCIAL</vt:lpstr>
      <vt:lpstr>'Mutual Security'!RI_FINANCIAL</vt:lpstr>
      <vt:lpstr>'National Affiliated'!RI_FINANCIAL</vt:lpstr>
      <vt:lpstr>'National Heritage'!RI_FINANCIAL</vt:lpstr>
      <vt:lpstr>'National States'!RI_FINANCIAL</vt:lpstr>
      <vt:lpstr>'Natl American'!RI_FINANCIAL</vt:lpstr>
      <vt:lpstr>'New Jersey Life'!RI_FINANCIAL</vt:lpstr>
      <vt:lpstr>NNIC!RI_FINANCIAL</vt:lpstr>
      <vt:lpstr>'North Carolina Mutual'!RI_FINANCIAL</vt:lpstr>
      <vt:lpstr>'Old Colony Life'!RI_FINANCIAL</vt:lpstr>
      <vt:lpstr>'Old Faithful'!RI_FINANCIAL</vt:lpstr>
      <vt:lpstr>'Pacific Standard'!RI_FINANCIAL</vt:lpstr>
      <vt:lpstr>'Pavonia Life'!RI_FINANCIAL</vt:lpstr>
      <vt:lpstr>'Pen  Treaty'!RI_FINANCIAL</vt:lpstr>
      <vt:lpstr>'Red Rock'!RI_FINANCIAL</vt:lpstr>
      <vt:lpstr>Reliance!RI_FINANCIAL</vt:lpstr>
      <vt:lpstr>SeeChange!RI_FINANCIAL</vt:lpstr>
      <vt:lpstr>'Senior American'!RI_FINANCIAL</vt:lpstr>
      <vt:lpstr>Settlers!RI_FINANCIAL</vt:lpstr>
      <vt:lpstr>Shenandoah!RI_FINANCIAL</vt:lpstr>
      <vt:lpstr>'Southland National Life'!RI_FINANCIAL</vt:lpstr>
      <vt:lpstr>'Standard Life IN'!RI_FINANCIAL</vt:lpstr>
      <vt:lpstr>'States General'!RI_FINANCIAL</vt:lpstr>
      <vt:lpstr>Statesman!RI_FINANCIAL</vt:lpstr>
      <vt:lpstr>'Summit National'!RI_FINANCIAL</vt:lpstr>
      <vt:lpstr>Supreme!RI_FINANCIAL</vt:lpstr>
      <vt:lpstr>Time!RI_FINANCIAL</vt:lpstr>
      <vt:lpstr>'Total Summary'!RI_FINANCIAL</vt:lpstr>
      <vt:lpstr>Underwriters!RI_FINANCIAL</vt:lpstr>
      <vt:lpstr>Unison!RI_FINANCIAL</vt:lpstr>
      <vt:lpstr>'United Republic'!RI_FINANCIAL</vt:lpstr>
      <vt:lpstr>'Universal Health Care'!RI_FINANCIAL</vt:lpstr>
      <vt:lpstr>'Universal Life'!RI_FINANCIAL</vt:lpstr>
      <vt:lpstr>Universe!RI_FINANCIAL</vt:lpstr>
      <vt:lpstr>Villanova!RI_FINANCIAL</vt:lpstr>
      <vt:lpstr>'AF&amp;L'!SC_FINANCIAL</vt:lpstr>
      <vt:lpstr>'Alabama Life'!SC_FINANCIAL</vt:lpstr>
      <vt:lpstr>'Amer Life Asr'!SC_FINANCIAL</vt:lpstr>
      <vt:lpstr>'Amer Std Life Acc'!SC_FINANCIAL</vt:lpstr>
      <vt:lpstr>'American Chambers'!SC_FINANCIAL</vt:lpstr>
      <vt:lpstr>'American Community'!SC_FINANCIAL</vt:lpstr>
      <vt:lpstr>'American Educators'!SC_FINANCIAL</vt:lpstr>
      <vt:lpstr>'American Integrity'!SC_FINANCIAL</vt:lpstr>
      <vt:lpstr>'American Medical'!SC_FINANCIAL</vt:lpstr>
      <vt:lpstr>'American Network'!SC_FINANCIAL</vt:lpstr>
      <vt:lpstr>AmerWstrn!SC_FINANCIAL</vt:lpstr>
      <vt:lpstr>'AMS Life'!SC_FINANCIAL</vt:lpstr>
      <vt:lpstr>'Andrew Jackson'!SC_FINANCIAL</vt:lpstr>
      <vt:lpstr>'Bankers Commercial'!SC_FINANCIAL</vt:lpstr>
      <vt:lpstr>'Bankers Life'!SC_FINANCIAL</vt:lpstr>
      <vt:lpstr>Benicorp!SC_FINANCIAL</vt:lpstr>
      <vt:lpstr>'Booker T Washington'!SC_FINANCIAL</vt:lpstr>
      <vt:lpstr>Centennial!SC_FINANCIAL</vt:lpstr>
      <vt:lpstr>'CO Bankers'!SC_FINANCIAL</vt:lpstr>
      <vt:lpstr>'Coastal States'!SC_FINANCIAL</vt:lpstr>
      <vt:lpstr>'Colorado Health'!SC_FINANCIAL</vt:lpstr>
      <vt:lpstr>'Compass (dbs Meritus)'!SC_FINANCIAL</vt:lpstr>
      <vt:lpstr>'Confed Life &amp; Annty (CLIAC)'!SC_FINANCIAL</vt:lpstr>
      <vt:lpstr>'Confed Life (CLIC)'!SC_FINANCIAL</vt:lpstr>
      <vt:lpstr>'Consolidated National'!SC_FINANCIAL</vt:lpstr>
      <vt:lpstr>'Consumers Choice'!SC_FINANCIAL</vt:lpstr>
      <vt:lpstr>'Consumers Mutual'!SC_FINANCIAL</vt:lpstr>
      <vt:lpstr>'Consumers United'!SC_FINANCIAL</vt:lpstr>
      <vt:lpstr>CoOportunity!SC_FINANCIAL</vt:lpstr>
      <vt:lpstr>'Coordinated Hlth'!SC_FINANCIAL</vt:lpstr>
      <vt:lpstr>'Corporate Life'!SC_FINANCIAL</vt:lpstr>
      <vt:lpstr>'Diamond Benefits'!SC_FINANCIAL</vt:lpstr>
      <vt:lpstr>'EBL Life'!SC_FINANCIAL</vt:lpstr>
      <vt:lpstr>ELNY!SC_FINANCIAL</vt:lpstr>
      <vt:lpstr>'Executive Life'!SC_FINANCIAL</vt:lpstr>
      <vt:lpstr>'Family Guaranty'!SC_FINANCIAL</vt:lpstr>
      <vt:lpstr>'Fidelity Bankers'!SC_FINANCIAL</vt:lpstr>
      <vt:lpstr>'Fidelity Mutual'!SC_FINANCIAL</vt:lpstr>
      <vt:lpstr>'First Capital'!SC_FINANCIAL</vt:lpstr>
      <vt:lpstr>'First Natl'!SC_FINANCIAL</vt:lpstr>
      <vt:lpstr>'First Natl (Thrnr)'!SC_FINANCIAL</vt:lpstr>
      <vt:lpstr>'Franklin American'!SC_FINANCIAL</vt:lpstr>
      <vt:lpstr>'Franklin Protective'!SC_FINANCIAL</vt:lpstr>
      <vt:lpstr>'Freelancers CO-OP'!SC_FINANCIAL</vt:lpstr>
      <vt:lpstr>Freestone!SC_FINANCIAL</vt:lpstr>
      <vt:lpstr>'George Washington'!SC_FINANCIAL</vt:lpstr>
      <vt:lpstr>'Golden State'!SC_FINANCIAL</vt:lpstr>
      <vt:lpstr>'Guarantee Security'!SC_FINANCIAL</vt:lpstr>
      <vt:lpstr>HealthyCT!SC_FINANCIAL</vt:lpstr>
      <vt:lpstr>Imerica!SC_FINANCIAL</vt:lpstr>
      <vt:lpstr>'Inter-American'!SC_FINANCIAL</vt:lpstr>
      <vt:lpstr>'International Fin'!SC_FINANCIAL</vt:lpstr>
      <vt:lpstr>'Investment Life of America'!SC_FINANCIAL</vt:lpstr>
      <vt:lpstr>'Investors Equity'!SC_FINANCIAL</vt:lpstr>
      <vt:lpstr>'Kentucky Central'!SC_FINANCIAL</vt:lpstr>
      <vt:lpstr>'Land of Lincoln'!SC_FINANCIAL</vt:lpstr>
      <vt:lpstr>Legion!SC_FINANCIAL</vt:lpstr>
      <vt:lpstr>'Life Health America'!SC_FINANCIAL</vt:lpstr>
      <vt:lpstr>'Lincoln Memorial'!SC_FINANCIAL</vt:lpstr>
      <vt:lpstr>'London Pac'!SC_FINANCIAL</vt:lpstr>
      <vt:lpstr>Lumbermens!SC_FINANCIAL</vt:lpstr>
      <vt:lpstr>'Medical Savings'!SC_FINANCIAL</vt:lpstr>
      <vt:lpstr>'Memorial Service'!SC_FINANCIAL</vt:lpstr>
      <vt:lpstr>Midcontinent!SC_FINANCIAL</vt:lpstr>
      <vt:lpstr>'Midwest Life'!SC_FINANCIAL</vt:lpstr>
      <vt:lpstr>'Monarch Life'!SC_FINANCIAL</vt:lpstr>
      <vt:lpstr>'Mutual Benefit'!SC_FINANCIAL</vt:lpstr>
      <vt:lpstr>'Mutual Security'!SC_FINANCIAL</vt:lpstr>
      <vt:lpstr>'National Affiliated'!SC_FINANCIAL</vt:lpstr>
      <vt:lpstr>'National Heritage'!SC_FINANCIAL</vt:lpstr>
      <vt:lpstr>'National States'!SC_FINANCIAL</vt:lpstr>
      <vt:lpstr>'Natl American'!SC_FINANCIAL</vt:lpstr>
      <vt:lpstr>'New Jersey Life'!SC_FINANCIAL</vt:lpstr>
      <vt:lpstr>NNIC!SC_FINANCIAL</vt:lpstr>
      <vt:lpstr>'North Carolina Mutual'!SC_FINANCIAL</vt:lpstr>
      <vt:lpstr>'Old Colony Life'!SC_FINANCIAL</vt:lpstr>
      <vt:lpstr>'Old Faithful'!SC_FINANCIAL</vt:lpstr>
      <vt:lpstr>'Pacific Standard'!SC_FINANCIAL</vt:lpstr>
      <vt:lpstr>'Pavonia Life'!SC_FINANCIAL</vt:lpstr>
      <vt:lpstr>'Pen  Treaty'!SC_FINANCIAL</vt:lpstr>
      <vt:lpstr>'Red Rock'!SC_FINANCIAL</vt:lpstr>
      <vt:lpstr>Reliance!SC_FINANCIAL</vt:lpstr>
      <vt:lpstr>SeeChange!SC_FINANCIAL</vt:lpstr>
      <vt:lpstr>'Senior American'!SC_FINANCIAL</vt:lpstr>
      <vt:lpstr>Settlers!SC_FINANCIAL</vt:lpstr>
      <vt:lpstr>Shenandoah!SC_FINANCIAL</vt:lpstr>
      <vt:lpstr>'Southland National Life'!SC_FINANCIAL</vt:lpstr>
      <vt:lpstr>'Standard Life IN'!SC_FINANCIAL</vt:lpstr>
      <vt:lpstr>'States General'!SC_FINANCIAL</vt:lpstr>
      <vt:lpstr>Statesman!SC_FINANCIAL</vt:lpstr>
      <vt:lpstr>'Summit National'!SC_FINANCIAL</vt:lpstr>
      <vt:lpstr>Supreme!SC_FINANCIAL</vt:lpstr>
      <vt:lpstr>Time!SC_FINANCIAL</vt:lpstr>
      <vt:lpstr>'Total Summary'!SC_FINANCIAL</vt:lpstr>
      <vt:lpstr>Underwriters!SC_FINANCIAL</vt:lpstr>
      <vt:lpstr>Unison!SC_FINANCIAL</vt:lpstr>
      <vt:lpstr>'United Republic'!SC_FINANCIAL</vt:lpstr>
      <vt:lpstr>'Universal Health Care'!SC_FINANCIAL</vt:lpstr>
      <vt:lpstr>'Universal Life'!SC_FINANCIAL</vt:lpstr>
      <vt:lpstr>Universe!SC_FINANCIAL</vt:lpstr>
      <vt:lpstr>Villanova!SC_FINANCIAL</vt:lpstr>
      <vt:lpstr>'AF&amp;L'!SD_FINANCIAL</vt:lpstr>
      <vt:lpstr>'Alabama Life'!SD_FINANCIAL</vt:lpstr>
      <vt:lpstr>'Amer Life Asr'!SD_FINANCIAL</vt:lpstr>
      <vt:lpstr>'Amer Std Life Acc'!SD_FINANCIAL</vt:lpstr>
      <vt:lpstr>'American Chambers'!SD_FINANCIAL</vt:lpstr>
      <vt:lpstr>'American Community'!SD_FINANCIAL</vt:lpstr>
      <vt:lpstr>'American Educators'!SD_FINANCIAL</vt:lpstr>
      <vt:lpstr>'American Integrity'!SD_FINANCIAL</vt:lpstr>
      <vt:lpstr>'American Medical'!SD_FINANCIAL</vt:lpstr>
      <vt:lpstr>'American Network'!SD_FINANCIAL</vt:lpstr>
      <vt:lpstr>AmerWstrn!SD_FINANCIAL</vt:lpstr>
      <vt:lpstr>'AMS Life'!SD_FINANCIAL</vt:lpstr>
      <vt:lpstr>'Andrew Jackson'!SD_FINANCIAL</vt:lpstr>
      <vt:lpstr>'Bankers Commercial'!SD_FINANCIAL</vt:lpstr>
      <vt:lpstr>'Bankers Life'!SD_FINANCIAL</vt:lpstr>
      <vt:lpstr>Benicorp!SD_FINANCIAL</vt:lpstr>
      <vt:lpstr>'Booker T Washington'!SD_FINANCIAL</vt:lpstr>
      <vt:lpstr>Centennial!SD_FINANCIAL</vt:lpstr>
      <vt:lpstr>'CO Bankers'!SD_FINANCIAL</vt:lpstr>
      <vt:lpstr>'Coastal States'!SD_FINANCIAL</vt:lpstr>
      <vt:lpstr>'Colorado Health'!SD_FINANCIAL</vt:lpstr>
      <vt:lpstr>'Compass (dbs Meritus)'!SD_FINANCIAL</vt:lpstr>
      <vt:lpstr>'Confed Life &amp; Annty (CLIAC)'!SD_FINANCIAL</vt:lpstr>
      <vt:lpstr>'Confed Life (CLIC)'!SD_FINANCIAL</vt:lpstr>
      <vt:lpstr>'Consolidated National'!SD_FINANCIAL</vt:lpstr>
      <vt:lpstr>'Consumers Choice'!SD_FINANCIAL</vt:lpstr>
      <vt:lpstr>'Consumers Mutual'!SD_FINANCIAL</vt:lpstr>
      <vt:lpstr>'Consumers United'!SD_FINANCIAL</vt:lpstr>
      <vt:lpstr>CoOportunity!SD_FINANCIAL</vt:lpstr>
      <vt:lpstr>'Coordinated Hlth'!SD_FINANCIAL</vt:lpstr>
      <vt:lpstr>'Corporate Life'!SD_FINANCIAL</vt:lpstr>
      <vt:lpstr>'Diamond Benefits'!SD_FINANCIAL</vt:lpstr>
      <vt:lpstr>'EBL Life'!SD_FINANCIAL</vt:lpstr>
      <vt:lpstr>ELNY!SD_FINANCIAL</vt:lpstr>
      <vt:lpstr>'Executive Life'!SD_FINANCIAL</vt:lpstr>
      <vt:lpstr>'Family Guaranty'!SD_FINANCIAL</vt:lpstr>
      <vt:lpstr>'Fidelity Bankers'!SD_FINANCIAL</vt:lpstr>
      <vt:lpstr>'Fidelity Mutual'!SD_FINANCIAL</vt:lpstr>
      <vt:lpstr>'First Capital'!SD_FINANCIAL</vt:lpstr>
      <vt:lpstr>'First Natl'!SD_FINANCIAL</vt:lpstr>
      <vt:lpstr>'First Natl (Thrnr)'!SD_FINANCIAL</vt:lpstr>
      <vt:lpstr>'Franklin American'!SD_FINANCIAL</vt:lpstr>
      <vt:lpstr>'Franklin Protective'!SD_FINANCIAL</vt:lpstr>
      <vt:lpstr>'Freelancers CO-OP'!SD_FINANCIAL</vt:lpstr>
      <vt:lpstr>Freestone!SD_FINANCIAL</vt:lpstr>
      <vt:lpstr>'George Washington'!SD_FINANCIAL</vt:lpstr>
      <vt:lpstr>'Golden State'!SD_FINANCIAL</vt:lpstr>
      <vt:lpstr>'Guarantee Security'!SD_FINANCIAL</vt:lpstr>
      <vt:lpstr>HealthyCT!SD_FINANCIAL</vt:lpstr>
      <vt:lpstr>Imerica!SD_FINANCIAL</vt:lpstr>
      <vt:lpstr>'Inter-American'!SD_FINANCIAL</vt:lpstr>
      <vt:lpstr>'International Fin'!SD_FINANCIAL</vt:lpstr>
      <vt:lpstr>'Investment Life of America'!SD_FINANCIAL</vt:lpstr>
      <vt:lpstr>'Investors Equity'!SD_FINANCIAL</vt:lpstr>
      <vt:lpstr>'Kentucky Central'!SD_FINANCIAL</vt:lpstr>
      <vt:lpstr>'Land of Lincoln'!SD_FINANCIAL</vt:lpstr>
      <vt:lpstr>Legion!SD_FINANCIAL</vt:lpstr>
      <vt:lpstr>'Life Health America'!SD_FINANCIAL</vt:lpstr>
      <vt:lpstr>'Lincoln Memorial'!SD_FINANCIAL</vt:lpstr>
      <vt:lpstr>'London Pac'!SD_FINANCIAL</vt:lpstr>
      <vt:lpstr>Lumbermens!SD_FINANCIAL</vt:lpstr>
      <vt:lpstr>'Medical Savings'!SD_FINANCIAL</vt:lpstr>
      <vt:lpstr>'Memorial Service'!SD_FINANCIAL</vt:lpstr>
      <vt:lpstr>Midcontinent!SD_FINANCIAL</vt:lpstr>
      <vt:lpstr>'Midwest Life'!SD_FINANCIAL</vt:lpstr>
      <vt:lpstr>'Monarch Life'!SD_FINANCIAL</vt:lpstr>
      <vt:lpstr>'Mutual Benefit'!SD_FINANCIAL</vt:lpstr>
      <vt:lpstr>'Mutual Security'!SD_FINANCIAL</vt:lpstr>
      <vt:lpstr>'National Affiliated'!SD_FINANCIAL</vt:lpstr>
      <vt:lpstr>'National Heritage'!SD_FINANCIAL</vt:lpstr>
      <vt:lpstr>'National States'!SD_FINANCIAL</vt:lpstr>
      <vt:lpstr>'Natl American'!SD_FINANCIAL</vt:lpstr>
      <vt:lpstr>'New Jersey Life'!SD_FINANCIAL</vt:lpstr>
      <vt:lpstr>NNIC!SD_FINANCIAL</vt:lpstr>
      <vt:lpstr>'North Carolina Mutual'!SD_FINANCIAL</vt:lpstr>
      <vt:lpstr>'Old Colony Life'!SD_FINANCIAL</vt:lpstr>
      <vt:lpstr>'Old Faithful'!SD_FINANCIAL</vt:lpstr>
      <vt:lpstr>'Pacific Standard'!SD_FINANCIAL</vt:lpstr>
      <vt:lpstr>'Pavonia Life'!SD_FINANCIAL</vt:lpstr>
      <vt:lpstr>'Pen  Treaty'!SD_FINANCIAL</vt:lpstr>
      <vt:lpstr>'Red Rock'!SD_FINANCIAL</vt:lpstr>
      <vt:lpstr>Reliance!SD_FINANCIAL</vt:lpstr>
      <vt:lpstr>SeeChange!SD_FINANCIAL</vt:lpstr>
      <vt:lpstr>'Senior American'!SD_FINANCIAL</vt:lpstr>
      <vt:lpstr>Settlers!SD_FINANCIAL</vt:lpstr>
      <vt:lpstr>Shenandoah!SD_FINANCIAL</vt:lpstr>
      <vt:lpstr>'Southland National Life'!SD_FINANCIAL</vt:lpstr>
      <vt:lpstr>'Standard Life IN'!SD_FINANCIAL</vt:lpstr>
      <vt:lpstr>'States General'!SD_FINANCIAL</vt:lpstr>
      <vt:lpstr>Statesman!SD_FINANCIAL</vt:lpstr>
      <vt:lpstr>'Summit National'!SD_FINANCIAL</vt:lpstr>
      <vt:lpstr>Supreme!SD_FINANCIAL</vt:lpstr>
      <vt:lpstr>Time!SD_FINANCIAL</vt:lpstr>
      <vt:lpstr>'Total Summary'!SD_FINANCIAL</vt:lpstr>
      <vt:lpstr>Underwriters!SD_FINANCIAL</vt:lpstr>
      <vt:lpstr>Unison!SD_FINANCIAL</vt:lpstr>
      <vt:lpstr>'United Republic'!SD_FINANCIAL</vt:lpstr>
      <vt:lpstr>'Universal Health Care'!SD_FINANCIAL</vt:lpstr>
      <vt:lpstr>'Universal Life'!SD_FINANCIAL</vt:lpstr>
      <vt:lpstr>Universe!SD_FINANCIAL</vt:lpstr>
      <vt:lpstr>Villanova!SD_FINANCIAL</vt:lpstr>
      <vt:lpstr>'AF&amp;L'!TN_FINANCIAL</vt:lpstr>
      <vt:lpstr>'Alabama Life'!TN_FINANCIAL</vt:lpstr>
      <vt:lpstr>'Amer Life Asr'!TN_FINANCIAL</vt:lpstr>
      <vt:lpstr>'Amer Std Life Acc'!TN_FINANCIAL</vt:lpstr>
      <vt:lpstr>'American Chambers'!TN_FINANCIAL</vt:lpstr>
      <vt:lpstr>'American Community'!TN_FINANCIAL</vt:lpstr>
      <vt:lpstr>'American Educators'!TN_FINANCIAL</vt:lpstr>
      <vt:lpstr>'American Integrity'!TN_FINANCIAL</vt:lpstr>
      <vt:lpstr>'American Medical'!TN_FINANCIAL</vt:lpstr>
      <vt:lpstr>'American Network'!TN_FINANCIAL</vt:lpstr>
      <vt:lpstr>AmerWstrn!TN_FINANCIAL</vt:lpstr>
      <vt:lpstr>'AMS Life'!TN_FINANCIAL</vt:lpstr>
      <vt:lpstr>'Andrew Jackson'!TN_FINANCIAL</vt:lpstr>
      <vt:lpstr>'Bankers Commercial'!TN_FINANCIAL</vt:lpstr>
      <vt:lpstr>'Bankers Life'!TN_FINANCIAL</vt:lpstr>
      <vt:lpstr>Benicorp!TN_FINANCIAL</vt:lpstr>
      <vt:lpstr>'Booker T Washington'!TN_FINANCIAL</vt:lpstr>
      <vt:lpstr>Centennial!TN_FINANCIAL</vt:lpstr>
      <vt:lpstr>'CO Bankers'!TN_FINANCIAL</vt:lpstr>
      <vt:lpstr>'Coastal States'!TN_FINANCIAL</vt:lpstr>
      <vt:lpstr>'Colorado Health'!TN_FINANCIAL</vt:lpstr>
      <vt:lpstr>'Compass (dbs Meritus)'!TN_FINANCIAL</vt:lpstr>
      <vt:lpstr>'Confed Life &amp; Annty (CLIAC)'!TN_FINANCIAL</vt:lpstr>
      <vt:lpstr>'Confed Life (CLIC)'!TN_FINANCIAL</vt:lpstr>
      <vt:lpstr>'Consolidated National'!TN_FINANCIAL</vt:lpstr>
      <vt:lpstr>'Consumers Choice'!TN_FINANCIAL</vt:lpstr>
      <vt:lpstr>'Consumers Mutual'!TN_FINANCIAL</vt:lpstr>
      <vt:lpstr>'Consumers United'!TN_FINANCIAL</vt:lpstr>
      <vt:lpstr>CoOportunity!TN_FINANCIAL</vt:lpstr>
      <vt:lpstr>'Coordinated Hlth'!TN_FINANCIAL</vt:lpstr>
      <vt:lpstr>'Corporate Life'!TN_FINANCIAL</vt:lpstr>
      <vt:lpstr>'Diamond Benefits'!TN_FINANCIAL</vt:lpstr>
      <vt:lpstr>'EBL Life'!TN_FINANCIAL</vt:lpstr>
      <vt:lpstr>ELNY!TN_FINANCIAL</vt:lpstr>
      <vt:lpstr>'Executive Life'!TN_FINANCIAL</vt:lpstr>
      <vt:lpstr>'Family Guaranty'!TN_FINANCIAL</vt:lpstr>
      <vt:lpstr>'Fidelity Bankers'!TN_FINANCIAL</vt:lpstr>
      <vt:lpstr>'Fidelity Mutual'!TN_FINANCIAL</vt:lpstr>
      <vt:lpstr>'First Capital'!TN_FINANCIAL</vt:lpstr>
      <vt:lpstr>'First Natl'!TN_FINANCIAL</vt:lpstr>
      <vt:lpstr>'First Natl (Thrnr)'!TN_FINANCIAL</vt:lpstr>
      <vt:lpstr>'Franklin American'!TN_FINANCIAL</vt:lpstr>
      <vt:lpstr>'Franklin Protective'!TN_FINANCIAL</vt:lpstr>
      <vt:lpstr>'Freelancers CO-OP'!TN_FINANCIAL</vt:lpstr>
      <vt:lpstr>Freestone!TN_FINANCIAL</vt:lpstr>
      <vt:lpstr>'George Washington'!TN_FINANCIAL</vt:lpstr>
      <vt:lpstr>'Golden State'!TN_FINANCIAL</vt:lpstr>
      <vt:lpstr>'Guarantee Security'!TN_FINANCIAL</vt:lpstr>
      <vt:lpstr>HealthyCT!TN_FINANCIAL</vt:lpstr>
      <vt:lpstr>Imerica!TN_FINANCIAL</vt:lpstr>
      <vt:lpstr>'Inter-American'!TN_FINANCIAL</vt:lpstr>
      <vt:lpstr>'International Fin'!TN_FINANCIAL</vt:lpstr>
      <vt:lpstr>'Investment Life of America'!TN_FINANCIAL</vt:lpstr>
      <vt:lpstr>'Investors Equity'!TN_FINANCIAL</vt:lpstr>
      <vt:lpstr>'Kentucky Central'!TN_FINANCIAL</vt:lpstr>
      <vt:lpstr>'Land of Lincoln'!TN_FINANCIAL</vt:lpstr>
      <vt:lpstr>Legion!TN_FINANCIAL</vt:lpstr>
      <vt:lpstr>'Life Health America'!TN_FINANCIAL</vt:lpstr>
      <vt:lpstr>'Lincoln Memorial'!TN_FINANCIAL</vt:lpstr>
      <vt:lpstr>'London Pac'!TN_FINANCIAL</vt:lpstr>
      <vt:lpstr>Lumbermens!TN_FINANCIAL</vt:lpstr>
      <vt:lpstr>'Medical Savings'!TN_FINANCIAL</vt:lpstr>
      <vt:lpstr>'Memorial Service'!TN_FINANCIAL</vt:lpstr>
      <vt:lpstr>Midcontinent!TN_FINANCIAL</vt:lpstr>
      <vt:lpstr>'Midwest Life'!TN_FINANCIAL</vt:lpstr>
      <vt:lpstr>'Monarch Life'!TN_FINANCIAL</vt:lpstr>
      <vt:lpstr>'Mutual Benefit'!TN_FINANCIAL</vt:lpstr>
      <vt:lpstr>'Mutual Security'!TN_FINANCIAL</vt:lpstr>
      <vt:lpstr>'National Affiliated'!TN_FINANCIAL</vt:lpstr>
      <vt:lpstr>'National Heritage'!TN_FINANCIAL</vt:lpstr>
      <vt:lpstr>'National States'!TN_FINANCIAL</vt:lpstr>
      <vt:lpstr>'Natl American'!TN_FINANCIAL</vt:lpstr>
      <vt:lpstr>'New Jersey Life'!TN_FINANCIAL</vt:lpstr>
      <vt:lpstr>NNIC!TN_FINANCIAL</vt:lpstr>
      <vt:lpstr>'North Carolina Mutual'!TN_FINANCIAL</vt:lpstr>
      <vt:lpstr>'Old Colony Life'!TN_FINANCIAL</vt:lpstr>
      <vt:lpstr>'Old Faithful'!TN_FINANCIAL</vt:lpstr>
      <vt:lpstr>'Pacific Standard'!TN_FINANCIAL</vt:lpstr>
      <vt:lpstr>'Pavonia Life'!TN_FINANCIAL</vt:lpstr>
      <vt:lpstr>'Pen  Treaty'!TN_FINANCIAL</vt:lpstr>
      <vt:lpstr>'Red Rock'!TN_FINANCIAL</vt:lpstr>
      <vt:lpstr>Reliance!TN_FINANCIAL</vt:lpstr>
      <vt:lpstr>SeeChange!TN_FINANCIAL</vt:lpstr>
      <vt:lpstr>'Senior American'!TN_FINANCIAL</vt:lpstr>
      <vt:lpstr>Settlers!TN_FINANCIAL</vt:lpstr>
      <vt:lpstr>Shenandoah!TN_FINANCIAL</vt:lpstr>
      <vt:lpstr>'Southland National Life'!TN_FINANCIAL</vt:lpstr>
      <vt:lpstr>'Standard Life IN'!TN_FINANCIAL</vt:lpstr>
      <vt:lpstr>'States General'!TN_FINANCIAL</vt:lpstr>
      <vt:lpstr>Statesman!TN_FINANCIAL</vt:lpstr>
      <vt:lpstr>'Summit National'!TN_FINANCIAL</vt:lpstr>
      <vt:lpstr>Supreme!TN_FINANCIAL</vt:lpstr>
      <vt:lpstr>Time!TN_FINANCIAL</vt:lpstr>
      <vt:lpstr>'Total Summary'!TN_FINANCIAL</vt:lpstr>
      <vt:lpstr>Underwriters!TN_FINANCIAL</vt:lpstr>
      <vt:lpstr>Unison!TN_FINANCIAL</vt:lpstr>
      <vt:lpstr>'United Republic'!TN_FINANCIAL</vt:lpstr>
      <vt:lpstr>'Universal Health Care'!TN_FINANCIAL</vt:lpstr>
      <vt:lpstr>'Universal Life'!TN_FINANCIAL</vt:lpstr>
      <vt:lpstr>Universe!TN_FINANCIAL</vt:lpstr>
      <vt:lpstr>Villanova!TN_FINANCIAL</vt:lpstr>
      <vt:lpstr>'Closed Summary'!TOTAL</vt:lpstr>
      <vt:lpstr>'Estate Closed Summary'!TOTAL</vt:lpstr>
      <vt:lpstr>'Open Summary'!TOTAL</vt:lpstr>
      <vt:lpstr>'Pre-Liquidation Summary'!TOTAL</vt:lpstr>
      <vt:lpstr>'Released from Oversight Summary'!TOTAL</vt:lpstr>
      <vt:lpstr>Summary!TOTAL_10197</vt:lpstr>
      <vt:lpstr>Summary!TOTAL_12577</vt:lpstr>
      <vt:lpstr>Summary!TOTAL_15046</vt:lpstr>
      <vt:lpstr>Summary!TOTAL_15092</vt:lpstr>
      <vt:lpstr>Summary!TOTAL_15093</vt:lpstr>
      <vt:lpstr>Summary!TOTAL_15102</vt:lpstr>
      <vt:lpstr>Summary!TOTAL_15126</vt:lpstr>
      <vt:lpstr>Summary!TOTAL_15128</vt:lpstr>
      <vt:lpstr>Summary!TOTAL_15145</vt:lpstr>
      <vt:lpstr>Summary!TOTAL_15197</vt:lpstr>
      <vt:lpstr>Summary!TOTAL_15314</vt:lpstr>
      <vt:lpstr>Summary!TOTAL_18538</vt:lpstr>
      <vt:lpstr>Summary!TOTAL_19577</vt:lpstr>
      <vt:lpstr>Summary!TOTAL_22977</vt:lpstr>
      <vt:lpstr>Summary!TOTAL_23914</vt:lpstr>
      <vt:lpstr>Summary!TOTAL_24422</vt:lpstr>
      <vt:lpstr>Summary!TOTAL_24457</vt:lpstr>
      <vt:lpstr>Summary!TOTAL_35963</vt:lpstr>
      <vt:lpstr>Summary!TOTAL_60305</vt:lpstr>
      <vt:lpstr>Summary!TOTAL_60356</vt:lpstr>
      <vt:lpstr>Summary!TOTAL_60593</vt:lpstr>
      <vt:lpstr>Summary!TOTAL_60917</vt:lpstr>
      <vt:lpstr>Summary!TOTAL_60968</vt:lpstr>
      <vt:lpstr>Summary!TOTAL_61220</vt:lpstr>
      <vt:lpstr>Summary!TOTAL_61468</vt:lpstr>
      <vt:lpstr>Summary!TOTAL_61654</vt:lpstr>
      <vt:lpstr>Summary!TOTAL_61913</vt:lpstr>
      <vt:lpstr>Summary!TOTAL_61980</vt:lpstr>
      <vt:lpstr>Summary!TOTAL_62278</vt:lpstr>
      <vt:lpstr>Summary!TOTAL_63010</vt:lpstr>
      <vt:lpstr>Summary!TOTAL_63266</vt:lpstr>
      <vt:lpstr>Summary!TOTAL_63282</vt:lpstr>
      <vt:lpstr>Summary!TOTAL_63304</vt:lpstr>
      <vt:lpstr>Summary!TOTAL_63452</vt:lpstr>
      <vt:lpstr>Summary!TOTAL_63517</vt:lpstr>
      <vt:lpstr>Summary!TOTAL_63525</vt:lpstr>
      <vt:lpstr>Summary!TOTAL_63533</vt:lpstr>
      <vt:lpstr>Summary!TOTAL_63541</vt:lpstr>
      <vt:lpstr>Summary!TOTAL_63770</vt:lpstr>
      <vt:lpstr>Summary!TOTAL_63924</vt:lpstr>
      <vt:lpstr>Summary!TOTAL_64084</vt:lpstr>
      <vt:lpstr>Summary!TOTAL_64220</vt:lpstr>
      <vt:lpstr>Summary!TOTAL_64874</vt:lpstr>
      <vt:lpstr>Summary!TOTAL_65161</vt:lpstr>
      <vt:lpstr>Summary!TOTAL_65188</vt:lpstr>
      <vt:lpstr>Summary!TOTAL_65447</vt:lpstr>
      <vt:lpstr>Summary!TOTAL_66001</vt:lpstr>
      <vt:lpstr>Summary!TOTAL_66060</vt:lpstr>
      <vt:lpstr>Summary!TOTAL_66265</vt:lpstr>
      <vt:lpstr>Summary!TOTAL_66362</vt:lpstr>
      <vt:lpstr>Summary!TOTAL_66400</vt:lpstr>
      <vt:lpstr>Summary!TOTAL_66907</vt:lpstr>
      <vt:lpstr>Summary!TOTAL_67032</vt:lpstr>
      <vt:lpstr>Summary!TOTAL_67210</vt:lpstr>
      <vt:lpstr>Summary!TOTAL_67229</vt:lpstr>
      <vt:lpstr>Summary!TOTAL_68055</vt:lpstr>
      <vt:lpstr>Summary!TOTAL_68489</vt:lpstr>
      <vt:lpstr>Summary!TOTAL_68845</vt:lpstr>
      <vt:lpstr>Summary!TOTAL_68934</vt:lpstr>
      <vt:lpstr>Summary!TOTAL_69051</vt:lpstr>
      <vt:lpstr>Summary!TOTAL_69175</vt:lpstr>
      <vt:lpstr>Summary!TOTAL_69183</vt:lpstr>
      <vt:lpstr>Summary!TOTAL_69221</vt:lpstr>
      <vt:lpstr>Summary!TOTAL_69302</vt:lpstr>
      <vt:lpstr>Summary!TOTAL_69370</vt:lpstr>
      <vt:lpstr>Summary!TOTAL_69477</vt:lpstr>
      <vt:lpstr>Summary!TOTAL_69752</vt:lpstr>
      <vt:lpstr>Summary!TOTAL_69833</vt:lpstr>
      <vt:lpstr>Summary!TOTAL_70157</vt:lpstr>
      <vt:lpstr>Summary!TOTAL_70181</vt:lpstr>
      <vt:lpstr>Summary!TOTAL_71080</vt:lpstr>
      <vt:lpstr>Summary!TOTAL_71382</vt:lpstr>
      <vt:lpstr>Summary!TOTAL_72842</vt:lpstr>
      <vt:lpstr>Summary!TOTAL_74217A</vt:lpstr>
      <vt:lpstr>Summary!TOTAL_74705</vt:lpstr>
      <vt:lpstr>Summary!TOTAL_74926</vt:lpstr>
      <vt:lpstr>Summary!TOTAL_74969</vt:lpstr>
      <vt:lpstr>Summary!TOTAL_75302</vt:lpstr>
      <vt:lpstr>Summary!TOTAL_75914</vt:lpstr>
      <vt:lpstr>Summary!TOTAL_76015</vt:lpstr>
      <vt:lpstr>Summary!TOTAL_76759</vt:lpstr>
      <vt:lpstr>Summary!TOTAL_77887</vt:lpstr>
      <vt:lpstr>Summary!TOTAL_79057</vt:lpstr>
      <vt:lpstr>Summary!TOTAL_80667</vt:lpstr>
      <vt:lpstr>Summary!TOTAL_81043</vt:lpstr>
      <vt:lpstr>Summary!TOTAL_81078</vt:lpstr>
      <vt:lpstr>Summary!TOTAL_81418</vt:lpstr>
      <vt:lpstr>Summary!TOTAL_84271</vt:lpstr>
      <vt:lpstr>Summary!TOTAL_84786</vt:lpstr>
      <vt:lpstr>Summary!TOTAL_86142</vt:lpstr>
      <vt:lpstr>Summary!TOTAL_87033</vt:lpstr>
      <vt:lpstr>Summary!TOTAL_88161</vt:lpstr>
      <vt:lpstr>Summary!TOTAL_88188</vt:lpstr>
      <vt:lpstr>Summary!TOTAL_93238</vt:lpstr>
      <vt:lpstr>Summary!TOTAL_93777</vt:lpstr>
      <vt:lpstr>Summary!TOTAL_97284</vt:lpstr>
      <vt:lpstr>Summary!TOTAL_98655</vt:lpstr>
      <vt:lpstr>Summary!TOTAL_98825</vt:lpstr>
      <vt:lpstr>Summary!TOTAL_99384</vt:lpstr>
      <vt:lpstr>'Closed Summary'!TOTAL_CROSSCHECK</vt:lpstr>
      <vt:lpstr>'Estate Closed Summary'!TOTAL_CROSSCHECK</vt:lpstr>
      <vt:lpstr>'Open Summary'!TOTAL_CROSSCHECK</vt:lpstr>
      <vt:lpstr>'Pre-Liquidation Summary'!TOTAL_CROSSCHECK</vt:lpstr>
      <vt:lpstr>'Released from Oversight Summary'!TOTAL_CROSSCHECK</vt:lpstr>
      <vt:lpstr>'AF&amp;L'!TX_FINANCIAL</vt:lpstr>
      <vt:lpstr>'Alabama Life'!TX_FINANCIAL</vt:lpstr>
      <vt:lpstr>'Amer Life Asr'!TX_FINANCIAL</vt:lpstr>
      <vt:lpstr>'Amer Std Life Acc'!TX_FINANCIAL</vt:lpstr>
      <vt:lpstr>'American Chambers'!TX_FINANCIAL</vt:lpstr>
      <vt:lpstr>'American Community'!TX_FINANCIAL</vt:lpstr>
      <vt:lpstr>'American Educators'!TX_FINANCIAL</vt:lpstr>
      <vt:lpstr>'American Integrity'!TX_FINANCIAL</vt:lpstr>
      <vt:lpstr>'American Medical'!TX_FINANCIAL</vt:lpstr>
      <vt:lpstr>'American Network'!TX_FINANCIAL</vt:lpstr>
      <vt:lpstr>AmerWstrn!TX_FINANCIAL</vt:lpstr>
      <vt:lpstr>'AMS Life'!TX_FINANCIAL</vt:lpstr>
      <vt:lpstr>'Andrew Jackson'!TX_FINANCIAL</vt:lpstr>
      <vt:lpstr>'Bankers Commercial'!TX_FINANCIAL</vt:lpstr>
      <vt:lpstr>'Bankers Life'!TX_FINANCIAL</vt:lpstr>
      <vt:lpstr>Benicorp!TX_FINANCIAL</vt:lpstr>
      <vt:lpstr>'Booker T Washington'!TX_FINANCIAL</vt:lpstr>
      <vt:lpstr>Centennial!TX_FINANCIAL</vt:lpstr>
      <vt:lpstr>'CO Bankers'!TX_FINANCIAL</vt:lpstr>
      <vt:lpstr>'Coastal States'!TX_FINANCIAL</vt:lpstr>
      <vt:lpstr>'Colorado Health'!TX_FINANCIAL</vt:lpstr>
      <vt:lpstr>'Compass (dbs Meritus)'!TX_FINANCIAL</vt:lpstr>
      <vt:lpstr>'Confed Life &amp; Annty (CLIAC)'!TX_FINANCIAL</vt:lpstr>
      <vt:lpstr>'Confed Life (CLIC)'!TX_FINANCIAL</vt:lpstr>
      <vt:lpstr>'Consolidated National'!TX_FINANCIAL</vt:lpstr>
      <vt:lpstr>'Consumers Choice'!TX_FINANCIAL</vt:lpstr>
      <vt:lpstr>'Consumers Mutual'!TX_FINANCIAL</vt:lpstr>
      <vt:lpstr>'Consumers United'!TX_FINANCIAL</vt:lpstr>
      <vt:lpstr>CoOportunity!TX_FINANCIAL</vt:lpstr>
      <vt:lpstr>'Coordinated Hlth'!TX_FINANCIAL</vt:lpstr>
      <vt:lpstr>'Corporate Life'!TX_FINANCIAL</vt:lpstr>
      <vt:lpstr>'Diamond Benefits'!TX_FINANCIAL</vt:lpstr>
      <vt:lpstr>'EBL Life'!TX_FINANCIAL</vt:lpstr>
      <vt:lpstr>ELNY!TX_FINANCIAL</vt:lpstr>
      <vt:lpstr>'Executive Life'!TX_FINANCIAL</vt:lpstr>
      <vt:lpstr>'Family Guaranty'!TX_FINANCIAL</vt:lpstr>
      <vt:lpstr>'Fidelity Bankers'!TX_FINANCIAL</vt:lpstr>
      <vt:lpstr>'Fidelity Mutual'!TX_FINANCIAL</vt:lpstr>
      <vt:lpstr>'First Capital'!TX_FINANCIAL</vt:lpstr>
      <vt:lpstr>'First Natl'!TX_FINANCIAL</vt:lpstr>
      <vt:lpstr>'First Natl (Thrnr)'!TX_FINANCIAL</vt:lpstr>
      <vt:lpstr>'Franklin American'!TX_FINANCIAL</vt:lpstr>
      <vt:lpstr>'Franklin Protective'!TX_FINANCIAL</vt:lpstr>
      <vt:lpstr>'Freelancers CO-OP'!TX_FINANCIAL</vt:lpstr>
      <vt:lpstr>Freestone!TX_FINANCIAL</vt:lpstr>
      <vt:lpstr>'George Washington'!TX_FINANCIAL</vt:lpstr>
      <vt:lpstr>'Golden State'!TX_FINANCIAL</vt:lpstr>
      <vt:lpstr>'Guarantee Security'!TX_FINANCIAL</vt:lpstr>
      <vt:lpstr>HealthyCT!TX_FINANCIAL</vt:lpstr>
      <vt:lpstr>Imerica!TX_FINANCIAL</vt:lpstr>
      <vt:lpstr>'Inter-American'!TX_FINANCIAL</vt:lpstr>
      <vt:lpstr>'International Fin'!TX_FINANCIAL</vt:lpstr>
      <vt:lpstr>'Investment Life of America'!TX_FINANCIAL</vt:lpstr>
      <vt:lpstr>'Investors Equity'!TX_FINANCIAL</vt:lpstr>
      <vt:lpstr>'Kentucky Central'!TX_FINANCIAL</vt:lpstr>
      <vt:lpstr>'Land of Lincoln'!TX_FINANCIAL</vt:lpstr>
      <vt:lpstr>Legion!TX_FINANCIAL</vt:lpstr>
      <vt:lpstr>'Life Health America'!TX_FINANCIAL</vt:lpstr>
      <vt:lpstr>'Lincoln Memorial'!TX_FINANCIAL</vt:lpstr>
      <vt:lpstr>'London Pac'!TX_FINANCIAL</vt:lpstr>
      <vt:lpstr>Lumbermens!TX_FINANCIAL</vt:lpstr>
      <vt:lpstr>'Medical Savings'!TX_FINANCIAL</vt:lpstr>
      <vt:lpstr>'Memorial Service'!TX_FINANCIAL</vt:lpstr>
      <vt:lpstr>Midcontinent!TX_FINANCIAL</vt:lpstr>
      <vt:lpstr>'Midwest Life'!TX_FINANCIAL</vt:lpstr>
      <vt:lpstr>'Monarch Life'!TX_FINANCIAL</vt:lpstr>
      <vt:lpstr>'Mutual Benefit'!TX_FINANCIAL</vt:lpstr>
      <vt:lpstr>'Mutual Security'!TX_FINANCIAL</vt:lpstr>
      <vt:lpstr>'National Affiliated'!TX_FINANCIAL</vt:lpstr>
      <vt:lpstr>'National Heritage'!TX_FINANCIAL</vt:lpstr>
      <vt:lpstr>'National States'!TX_FINANCIAL</vt:lpstr>
      <vt:lpstr>'Natl American'!TX_FINANCIAL</vt:lpstr>
      <vt:lpstr>'New Jersey Life'!TX_FINANCIAL</vt:lpstr>
      <vt:lpstr>NNIC!TX_FINANCIAL</vt:lpstr>
      <vt:lpstr>'North Carolina Mutual'!TX_FINANCIAL</vt:lpstr>
      <vt:lpstr>'Old Colony Life'!TX_FINANCIAL</vt:lpstr>
      <vt:lpstr>'Old Faithful'!TX_FINANCIAL</vt:lpstr>
      <vt:lpstr>'Pacific Standard'!TX_FINANCIAL</vt:lpstr>
      <vt:lpstr>'Pavonia Life'!TX_FINANCIAL</vt:lpstr>
      <vt:lpstr>'Pen  Treaty'!TX_FINANCIAL</vt:lpstr>
      <vt:lpstr>'Red Rock'!TX_FINANCIAL</vt:lpstr>
      <vt:lpstr>Reliance!TX_FINANCIAL</vt:lpstr>
      <vt:lpstr>SeeChange!TX_FINANCIAL</vt:lpstr>
      <vt:lpstr>'Senior American'!TX_FINANCIAL</vt:lpstr>
      <vt:lpstr>Settlers!TX_FINANCIAL</vt:lpstr>
      <vt:lpstr>Shenandoah!TX_FINANCIAL</vt:lpstr>
      <vt:lpstr>'Southland National Life'!TX_FINANCIAL</vt:lpstr>
      <vt:lpstr>'Standard Life IN'!TX_FINANCIAL</vt:lpstr>
      <vt:lpstr>'States General'!TX_FINANCIAL</vt:lpstr>
      <vt:lpstr>Statesman!TX_FINANCIAL</vt:lpstr>
      <vt:lpstr>'Summit National'!TX_FINANCIAL</vt:lpstr>
      <vt:lpstr>Supreme!TX_FINANCIAL</vt:lpstr>
      <vt:lpstr>Time!TX_FINANCIAL</vt:lpstr>
      <vt:lpstr>'Total Summary'!TX_FINANCIAL</vt:lpstr>
      <vt:lpstr>Underwriters!TX_FINANCIAL</vt:lpstr>
      <vt:lpstr>Unison!TX_FINANCIAL</vt:lpstr>
      <vt:lpstr>'United Republic'!TX_FINANCIAL</vt:lpstr>
      <vt:lpstr>'Universal Health Care'!TX_FINANCIAL</vt:lpstr>
      <vt:lpstr>'Universal Life'!TX_FINANCIAL</vt:lpstr>
      <vt:lpstr>Universe!TX_FINANCIAL</vt:lpstr>
      <vt:lpstr>Villanova!TX_FINANCIAL</vt:lpstr>
      <vt:lpstr>'AF&amp;L'!UNALLOC_CALLED</vt:lpstr>
      <vt:lpstr>'Alabama Life'!UNALLOC_CALLED</vt:lpstr>
      <vt:lpstr>'Amer Life Asr'!UNALLOC_CALLED</vt:lpstr>
      <vt:lpstr>'Amer Std Life Acc'!UNALLOC_CALLED</vt:lpstr>
      <vt:lpstr>'American Chambers'!UNALLOC_CALLED</vt:lpstr>
      <vt:lpstr>'American Community'!UNALLOC_CALLED</vt:lpstr>
      <vt:lpstr>'American Educators'!UNALLOC_CALLED</vt:lpstr>
      <vt:lpstr>'American Integrity'!UNALLOC_CALLED</vt:lpstr>
      <vt:lpstr>'American Medical'!UNALLOC_CALLED</vt:lpstr>
      <vt:lpstr>'American Network'!UNALLOC_CALLED</vt:lpstr>
      <vt:lpstr>AmerWstrn!UNALLOC_CALLED</vt:lpstr>
      <vt:lpstr>'AMS Life'!UNALLOC_CALLED</vt:lpstr>
      <vt:lpstr>'Andrew Jackson'!UNALLOC_CALLED</vt:lpstr>
      <vt:lpstr>'Bankers Commercial'!UNALLOC_CALLED</vt:lpstr>
      <vt:lpstr>'Bankers Life'!UNALLOC_CALLED</vt:lpstr>
      <vt:lpstr>Benicorp!UNALLOC_CALLED</vt:lpstr>
      <vt:lpstr>'Booker T Washington'!UNALLOC_CALLED</vt:lpstr>
      <vt:lpstr>Centennial!UNALLOC_CALLED</vt:lpstr>
      <vt:lpstr>'CO Bankers'!UNALLOC_CALLED</vt:lpstr>
      <vt:lpstr>'Coastal States'!UNALLOC_CALLED</vt:lpstr>
      <vt:lpstr>'Colorado Health'!UNALLOC_CALLED</vt:lpstr>
      <vt:lpstr>'Compass (dbs Meritus)'!UNALLOC_CALLED</vt:lpstr>
      <vt:lpstr>'Confed Life &amp; Annty (CLIAC)'!UNALLOC_CALLED</vt:lpstr>
      <vt:lpstr>'Confed Life (CLIC)'!UNALLOC_CALLED</vt:lpstr>
      <vt:lpstr>'Consolidated National'!UNALLOC_CALLED</vt:lpstr>
      <vt:lpstr>'Consumers Choice'!UNALLOC_CALLED</vt:lpstr>
      <vt:lpstr>'Consumers Mutual'!UNALLOC_CALLED</vt:lpstr>
      <vt:lpstr>'Consumers United'!UNALLOC_CALLED</vt:lpstr>
      <vt:lpstr>CoOportunity!UNALLOC_CALLED</vt:lpstr>
      <vt:lpstr>'Coordinated Hlth'!UNALLOC_CALLED</vt:lpstr>
      <vt:lpstr>'Corporate Life'!UNALLOC_CALLED</vt:lpstr>
      <vt:lpstr>'Diamond Benefits'!UNALLOC_CALLED</vt:lpstr>
      <vt:lpstr>'EBL Life'!UNALLOC_CALLED</vt:lpstr>
      <vt:lpstr>ELNY!UNALLOC_CALLED</vt:lpstr>
      <vt:lpstr>'Executive Life'!UNALLOC_CALLED</vt:lpstr>
      <vt:lpstr>'Family Guaranty'!UNALLOC_CALLED</vt:lpstr>
      <vt:lpstr>'Fidelity Bankers'!UNALLOC_CALLED</vt:lpstr>
      <vt:lpstr>'Fidelity Mutual'!UNALLOC_CALLED</vt:lpstr>
      <vt:lpstr>'First Capital'!UNALLOC_CALLED</vt:lpstr>
      <vt:lpstr>'First Natl'!UNALLOC_CALLED</vt:lpstr>
      <vt:lpstr>'First Natl (Thrnr)'!UNALLOC_CALLED</vt:lpstr>
      <vt:lpstr>'Franklin American'!UNALLOC_CALLED</vt:lpstr>
      <vt:lpstr>'Franklin Protective'!UNALLOC_CALLED</vt:lpstr>
      <vt:lpstr>'Freelancers CO-OP'!UNALLOC_CALLED</vt:lpstr>
      <vt:lpstr>Freestone!UNALLOC_CALLED</vt:lpstr>
      <vt:lpstr>'George Washington'!UNALLOC_CALLED</vt:lpstr>
      <vt:lpstr>'Golden State'!UNALLOC_CALLED</vt:lpstr>
      <vt:lpstr>'Guarantee Security'!UNALLOC_CALLED</vt:lpstr>
      <vt:lpstr>HealthyCT!UNALLOC_CALLED</vt:lpstr>
      <vt:lpstr>Imerica!UNALLOC_CALLED</vt:lpstr>
      <vt:lpstr>'Inter-American'!UNALLOC_CALLED</vt:lpstr>
      <vt:lpstr>'International Fin'!UNALLOC_CALLED</vt:lpstr>
      <vt:lpstr>'Investment Life of America'!UNALLOC_CALLED</vt:lpstr>
      <vt:lpstr>'Investors Equity'!UNALLOC_CALLED</vt:lpstr>
      <vt:lpstr>'Kentucky Central'!UNALLOC_CALLED</vt:lpstr>
      <vt:lpstr>'Land of Lincoln'!UNALLOC_CALLED</vt:lpstr>
      <vt:lpstr>Legion!UNALLOC_CALLED</vt:lpstr>
      <vt:lpstr>'Life Health America'!UNALLOC_CALLED</vt:lpstr>
      <vt:lpstr>'Lincoln Memorial'!UNALLOC_CALLED</vt:lpstr>
      <vt:lpstr>'London Pac'!UNALLOC_CALLED</vt:lpstr>
      <vt:lpstr>Lumbermens!UNALLOC_CALLED</vt:lpstr>
      <vt:lpstr>'Medical Savings'!UNALLOC_CALLED</vt:lpstr>
      <vt:lpstr>'Memorial Service'!UNALLOC_CALLED</vt:lpstr>
      <vt:lpstr>Midcontinent!UNALLOC_CALLED</vt:lpstr>
      <vt:lpstr>'Midwest Life'!UNALLOC_CALLED</vt:lpstr>
      <vt:lpstr>'Monarch Life'!UNALLOC_CALLED</vt:lpstr>
      <vt:lpstr>'Mutual Benefit'!UNALLOC_CALLED</vt:lpstr>
      <vt:lpstr>'Mutual Security'!UNALLOC_CALLED</vt:lpstr>
      <vt:lpstr>'National Affiliated'!UNALLOC_CALLED</vt:lpstr>
      <vt:lpstr>'National Heritage'!UNALLOC_CALLED</vt:lpstr>
      <vt:lpstr>'National States'!UNALLOC_CALLED</vt:lpstr>
      <vt:lpstr>'Natl American'!UNALLOC_CALLED</vt:lpstr>
      <vt:lpstr>'New Jersey Life'!UNALLOC_CALLED</vt:lpstr>
      <vt:lpstr>NNIC!UNALLOC_CALLED</vt:lpstr>
      <vt:lpstr>'North Carolina Mutual'!UNALLOC_CALLED</vt:lpstr>
      <vt:lpstr>'Old Colony Life'!UNALLOC_CALLED</vt:lpstr>
      <vt:lpstr>'Old Faithful'!UNALLOC_CALLED</vt:lpstr>
      <vt:lpstr>'Pacific Standard'!UNALLOC_CALLED</vt:lpstr>
      <vt:lpstr>'Pavonia Life'!UNALLOC_CALLED</vt:lpstr>
      <vt:lpstr>'Pen  Treaty'!UNALLOC_CALLED</vt:lpstr>
      <vt:lpstr>'Red Rock'!UNALLOC_CALLED</vt:lpstr>
      <vt:lpstr>Reliance!UNALLOC_CALLED</vt:lpstr>
      <vt:lpstr>SeeChange!UNALLOC_CALLED</vt:lpstr>
      <vt:lpstr>'Senior American'!UNALLOC_CALLED</vt:lpstr>
      <vt:lpstr>Settlers!UNALLOC_CALLED</vt:lpstr>
      <vt:lpstr>Shenandoah!UNALLOC_CALLED</vt:lpstr>
      <vt:lpstr>'Southland National Life'!UNALLOC_CALLED</vt:lpstr>
      <vt:lpstr>'Standard Life IN'!UNALLOC_CALLED</vt:lpstr>
      <vt:lpstr>'States General'!UNALLOC_CALLED</vt:lpstr>
      <vt:lpstr>Statesman!UNALLOC_CALLED</vt:lpstr>
      <vt:lpstr>'Summit National'!UNALLOC_CALLED</vt:lpstr>
      <vt:lpstr>Supreme!UNALLOC_CALLED</vt:lpstr>
      <vt:lpstr>Time!UNALLOC_CALLED</vt:lpstr>
      <vt:lpstr>'Total Summary'!UNALLOC_CALLED</vt:lpstr>
      <vt:lpstr>Underwriters!UNALLOC_CALLED</vt:lpstr>
      <vt:lpstr>Unison!UNALLOC_CALLED</vt:lpstr>
      <vt:lpstr>'United Republic'!UNALLOC_CALLED</vt:lpstr>
      <vt:lpstr>'Universal Health Care'!UNALLOC_CALLED</vt:lpstr>
      <vt:lpstr>'Universal Life'!UNALLOC_CALLED</vt:lpstr>
      <vt:lpstr>Universe!UNALLOC_CALLED</vt:lpstr>
      <vt:lpstr>Villanova!UNALLOC_CALLED</vt:lpstr>
      <vt:lpstr>'AF&amp;L'!UNALLOC_REFUNDED</vt:lpstr>
      <vt:lpstr>'Alabama Life'!UNALLOC_REFUNDED</vt:lpstr>
      <vt:lpstr>'Amer Life Asr'!UNALLOC_REFUNDED</vt:lpstr>
      <vt:lpstr>'Amer Std Life Acc'!UNALLOC_REFUNDED</vt:lpstr>
      <vt:lpstr>'American Chambers'!UNALLOC_REFUNDED</vt:lpstr>
      <vt:lpstr>'American Community'!UNALLOC_REFUNDED</vt:lpstr>
      <vt:lpstr>'American Educators'!UNALLOC_REFUNDED</vt:lpstr>
      <vt:lpstr>'American Integrity'!UNALLOC_REFUNDED</vt:lpstr>
      <vt:lpstr>'American Medical'!UNALLOC_REFUNDED</vt:lpstr>
      <vt:lpstr>'American Network'!UNALLOC_REFUNDED</vt:lpstr>
      <vt:lpstr>AmerWstrn!UNALLOC_REFUNDED</vt:lpstr>
      <vt:lpstr>'AMS Life'!UNALLOC_REFUNDED</vt:lpstr>
      <vt:lpstr>'Andrew Jackson'!UNALLOC_REFUNDED</vt:lpstr>
      <vt:lpstr>'Bankers Commercial'!UNALLOC_REFUNDED</vt:lpstr>
      <vt:lpstr>'Bankers Life'!UNALLOC_REFUNDED</vt:lpstr>
      <vt:lpstr>Benicorp!UNALLOC_REFUNDED</vt:lpstr>
      <vt:lpstr>'Booker T Washington'!UNALLOC_REFUNDED</vt:lpstr>
      <vt:lpstr>Centennial!UNALLOC_REFUNDED</vt:lpstr>
      <vt:lpstr>'CO Bankers'!UNALLOC_REFUNDED</vt:lpstr>
      <vt:lpstr>'Coastal States'!UNALLOC_REFUNDED</vt:lpstr>
      <vt:lpstr>'Colorado Health'!UNALLOC_REFUNDED</vt:lpstr>
      <vt:lpstr>'Compass (dbs Meritus)'!UNALLOC_REFUNDED</vt:lpstr>
      <vt:lpstr>'Confed Life &amp; Annty (CLIAC)'!UNALLOC_REFUNDED</vt:lpstr>
      <vt:lpstr>'Confed Life (CLIC)'!UNALLOC_REFUNDED</vt:lpstr>
      <vt:lpstr>'Consolidated National'!UNALLOC_REFUNDED</vt:lpstr>
      <vt:lpstr>'Consumers Choice'!UNALLOC_REFUNDED</vt:lpstr>
      <vt:lpstr>'Consumers Mutual'!UNALLOC_REFUNDED</vt:lpstr>
      <vt:lpstr>'Consumers United'!UNALLOC_REFUNDED</vt:lpstr>
      <vt:lpstr>CoOportunity!UNALLOC_REFUNDED</vt:lpstr>
      <vt:lpstr>'Coordinated Hlth'!UNALLOC_REFUNDED</vt:lpstr>
      <vt:lpstr>'Corporate Life'!UNALLOC_REFUNDED</vt:lpstr>
      <vt:lpstr>'Diamond Benefits'!UNALLOC_REFUNDED</vt:lpstr>
      <vt:lpstr>'EBL Life'!UNALLOC_REFUNDED</vt:lpstr>
      <vt:lpstr>ELNY!UNALLOC_REFUNDED</vt:lpstr>
      <vt:lpstr>'Executive Life'!UNALLOC_REFUNDED</vt:lpstr>
      <vt:lpstr>'Family Guaranty'!UNALLOC_REFUNDED</vt:lpstr>
      <vt:lpstr>'Fidelity Bankers'!UNALLOC_REFUNDED</vt:lpstr>
      <vt:lpstr>'Fidelity Mutual'!UNALLOC_REFUNDED</vt:lpstr>
      <vt:lpstr>'First Capital'!UNALLOC_REFUNDED</vt:lpstr>
      <vt:lpstr>'First Natl'!UNALLOC_REFUNDED</vt:lpstr>
      <vt:lpstr>'First Natl (Thrnr)'!UNALLOC_REFUNDED</vt:lpstr>
      <vt:lpstr>'Franklin American'!UNALLOC_REFUNDED</vt:lpstr>
      <vt:lpstr>'Franklin Protective'!UNALLOC_REFUNDED</vt:lpstr>
      <vt:lpstr>'Freelancers CO-OP'!UNALLOC_REFUNDED</vt:lpstr>
      <vt:lpstr>Freestone!UNALLOC_REFUNDED</vt:lpstr>
      <vt:lpstr>'George Washington'!UNALLOC_REFUNDED</vt:lpstr>
      <vt:lpstr>'Golden State'!UNALLOC_REFUNDED</vt:lpstr>
      <vt:lpstr>'Guarantee Security'!UNALLOC_REFUNDED</vt:lpstr>
      <vt:lpstr>HealthyCT!UNALLOC_REFUNDED</vt:lpstr>
      <vt:lpstr>Imerica!UNALLOC_REFUNDED</vt:lpstr>
      <vt:lpstr>'Inter-American'!UNALLOC_REFUNDED</vt:lpstr>
      <vt:lpstr>'International Fin'!UNALLOC_REFUNDED</vt:lpstr>
      <vt:lpstr>'Investment Life of America'!UNALLOC_REFUNDED</vt:lpstr>
      <vt:lpstr>'Investors Equity'!UNALLOC_REFUNDED</vt:lpstr>
      <vt:lpstr>'Kentucky Central'!UNALLOC_REFUNDED</vt:lpstr>
      <vt:lpstr>'Land of Lincoln'!UNALLOC_REFUNDED</vt:lpstr>
      <vt:lpstr>Legion!UNALLOC_REFUNDED</vt:lpstr>
      <vt:lpstr>'Life Health America'!UNALLOC_REFUNDED</vt:lpstr>
      <vt:lpstr>'Lincoln Memorial'!UNALLOC_REFUNDED</vt:lpstr>
      <vt:lpstr>'London Pac'!UNALLOC_REFUNDED</vt:lpstr>
      <vt:lpstr>Lumbermens!UNALLOC_REFUNDED</vt:lpstr>
      <vt:lpstr>'Medical Savings'!UNALLOC_REFUNDED</vt:lpstr>
      <vt:lpstr>'Memorial Service'!UNALLOC_REFUNDED</vt:lpstr>
      <vt:lpstr>Midcontinent!UNALLOC_REFUNDED</vt:lpstr>
      <vt:lpstr>'Midwest Life'!UNALLOC_REFUNDED</vt:lpstr>
      <vt:lpstr>'Monarch Life'!UNALLOC_REFUNDED</vt:lpstr>
      <vt:lpstr>'Mutual Benefit'!UNALLOC_REFUNDED</vt:lpstr>
      <vt:lpstr>'Mutual Security'!UNALLOC_REFUNDED</vt:lpstr>
      <vt:lpstr>'National Affiliated'!UNALLOC_REFUNDED</vt:lpstr>
      <vt:lpstr>'National Heritage'!UNALLOC_REFUNDED</vt:lpstr>
      <vt:lpstr>'National States'!UNALLOC_REFUNDED</vt:lpstr>
      <vt:lpstr>'Natl American'!UNALLOC_REFUNDED</vt:lpstr>
      <vt:lpstr>'New Jersey Life'!UNALLOC_REFUNDED</vt:lpstr>
      <vt:lpstr>NNIC!UNALLOC_REFUNDED</vt:lpstr>
      <vt:lpstr>'North Carolina Mutual'!UNALLOC_REFUNDED</vt:lpstr>
      <vt:lpstr>'Old Colony Life'!UNALLOC_REFUNDED</vt:lpstr>
      <vt:lpstr>'Old Faithful'!UNALLOC_REFUNDED</vt:lpstr>
      <vt:lpstr>'Pacific Standard'!UNALLOC_REFUNDED</vt:lpstr>
      <vt:lpstr>'Pavonia Life'!UNALLOC_REFUNDED</vt:lpstr>
      <vt:lpstr>'Pen  Treaty'!UNALLOC_REFUNDED</vt:lpstr>
      <vt:lpstr>'Red Rock'!UNALLOC_REFUNDED</vt:lpstr>
      <vt:lpstr>Reliance!UNALLOC_REFUNDED</vt:lpstr>
      <vt:lpstr>SeeChange!UNALLOC_REFUNDED</vt:lpstr>
      <vt:lpstr>'Senior American'!UNALLOC_REFUNDED</vt:lpstr>
      <vt:lpstr>Settlers!UNALLOC_REFUNDED</vt:lpstr>
      <vt:lpstr>Shenandoah!UNALLOC_REFUNDED</vt:lpstr>
      <vt:lpstr>'Southland National Life'!UNALLOC_REFUNDED</vt:lpstr>
      <vt:lpstr>'Standard Life IN'!UNALLOC_REFUNDED</vt:lpstr>
      <vt:lpstr>'States General'!UNALLOC_REFUNDED</vt:lpstr>
      <vt:lpstr>Statesman!UNALLOC_REFUNDED</vt:lpstr>
      <vt:lpstr>'Summit National'!UNALLOC_REFUNDED</vt:lpstr>
      <vt:lpstr>Supreme!UNALLOC_REFUNDED</vt:lpstr>
      <vt:lpstr>Time!UNALLOC_REFUNDED</vt:lpstr>
      <vt:lpstr>'Total Summary'!UNALLOC_REFUNDED</vt:lpstr>
      <vt:lpstr>Underwriters!UNALLOC_REFUNDED</vt:lpstr>
      <vt:lpstr>Unison!UNALLOC_REFUNDED</vt:lpstr>
      <vt:lpstr>'United Republic'!UNALLOC_REFUNDED</vt:lpstr>
      <vt:lpstr>'Universal Health Care'!UNALLOC_REFUNDED</vt:lpstr>
      <vt:lpstr>'Universal Life'!UNALLOC_REFUNDED</vt:lpstr>
      <vt:lpstr>Universe!UNALLOC_REFUNDED</vt:lpstr>
      <vt:lpstr>Villanova!UNALLOC_REFUNDED</vt:lpstr>
      <vt:lpstr>'AF&amp;L'!UNALLOCATED</vt:lpstr>
      <vt:lpstr>'Alabama Life'!UNALLOCATED</vt:lpstr>
      <vt:lpstr>'Amer Life Asr'!UNALLOCATED</vt:lpstr>
      <vt:lpstr>'Amer Std Life Acc'!UNALLOCATED</vt:lpstr>
      <vt:lpstr>'American Chambers'!UNALLOCATED</vt:lpstr>
      <vt:lpstr>'American Community'!UNALLOCATED</vt:lpstr>
      <vt:lpstr>'American Educators'!UNALLOCATED</vt:lpstr>
      <vt:lpstr>'American Integrity'!UNALLOCATED</vt:lpstr>
      <vt:lpstr>'American Medical'!UNALLOCATED</vt:lpstr>
      <vt:lpstr>'American Network'!UNALLOCATED</vt:lpstr>
      <vt:lpstr>AmerWstrn!UNALLOCATED</vt:lpstr>
      <vt:lpstr>'AMS Life'!UNALLOCATED</vt:lpstr>
      <vt:lpstr>'Andrew Jackson'!UNALLOCATED</vt:lpstr>
      <vt:lpstr>'Bankers Commercial'!UNALLOCATED</vt:lpstr>
      <vt:lpstr>'Bankers Life'!UNALLOCATED</vt:lpstr>
      <vt:lpstr>Benicorp!UNALLOCATED</vt:lpstr>
      <vt:lpstr>'Booker T Washington'!UNALLOCATED</vt:lpstr>
      <vt:lpstr>Centennial!UNALLOCATED</vt:lpstr>
      <vt:lpstr>'Closed Summary'!UNALLOCATED</vt:lpstr>
      <vt:lpstr>'CO Bankers'!UNALLOCATED</vt:lpstr>
      <vt:lpstr>'Coastal States'!UNALLOCATED</vt:lpstr>
      <vt:lpstr>'Colorado Health'!UNALLOCATED</vt:lpstr>
      <vt:lpstr>'Compass (dbs Meritus)'!UNALLOCATED</vt:lpstr>
      <vt:lpstr>'Confed Life &amp; Annty (CLIAC)'!UNALLOCATED</vt:lpstr>
      <vt:lpstr>'Confed Life (CLIC)'!UNALLOCATED</vt:lpstr>
      <vt:lpstr>'Consolidated National'!UNALLOCATED</vt:lpstr>
      <vt:lpstr>'Consumers Choice'!UNALLOCATED</vt:lpstr>
      <vt:lpstr>'Consumers Mutual'!UNALLOCATED</vt:lpstr>
      <vt:lpstr>'Consumers United'!UNALLOCATED</vt:lpstr>
      <vt:lpstr>CoOportunity!UNALLOCATED</vt:lpstr>
      <vt:lpstr>'Coordinated Hlth'!UNALLOCATED</vt:lpstr>
      <vt:lpstr>'Corporate Life'!UNALLOCATED</vt:lpstr>
      <vt:lpstr>'Diamond Benefits'!UNALLOCATED</vt:lpstr>
      <vt:lpstr>'EBL Life'!UNALLOCATED</vt:lpstr>
      <vt:lpstr>ELNY!UNALLOCATED</vt:lpstr>
      <vt:lpstr>'Estate Closed Summary'!UNALLOCATED</vt:lpstr>
      <vt:lpstr>'Executive Life'!UNALLOCATED</vt:lpstr>
      <vt:lpstr>'Family Guaranty'!UNALLOCATED</vt:lpstr>
      <vt:lpstr>'Fidelity Bankers'!UNALLOCATED</vt:lpstr>
      <vt:lpstr>'Fidelity Mutual'!UNALLOCATED</vt:lpstr>
      <vt:lpstr>'First Capital'!UNALLOCATED</vt:lpstr>
      <vt:lpstr>'First Natl'!UNALLOCATED</vt:lpstr>
      <vt:lpstr>'First Natl (Thrnr)'!UNALLOCATED</vt:lpstr>
      <vt:lpstr>'Franklin American'!UNALLOCATED</vt:lpstr>
      <vt:lpstr>'Franklin Protective'!UNALLOCATED</vt:lpstr>
      <vt:lpstr>'Freelancers CO-OP'!UNALLOCATED</vt:lpstr>
      <vt:lpstr>Freestone!UNALLOCATED</vt:lpstr>
      <vt:lpstr>'George Washington'!UNALLOCATED</vt:lpstr>
      <vt:lpstr>'Golden State'!UNALLOCATED</vt:lpstr>
      <vt:lpstr>'Guarantee Security'!UNALLOCATED</vt:lpstr>
      <vt:lpstr>HealthyCT!UNALLOCATED</vt:lpstr>
      <vt:lpstr>Imerica!UNALLOCATED</vt:lpstr>
      <vt:lpstr>'Inter-American'!UNALLOCATED</vt:lpstr>
      <vt:lpstr>'International Fin'!UNALLOCATED</vt:lpstr>
      <vt:lpstr>'Investment Life of America'!UNALLOCATED</vt:lpstr>
      <vt:lpstr>'Investors Equity'!UNALLOCATED</vt:lpstr>
      <vt:lpstr>'Kentucky Central'!UNALLOCATED</vt:lpstr>
      <vt:lpstr>'Land of Lincoln'!UNALLOCATED</vt:lpstr>
      <vt:lpstr>Legion!UNALLOCATED</vt:lpstr>
      <vt:lpstr>'Life Health America'!UNALLOCATED</vt:lpstr>
      <vt:lpstr>'Lincoln Memorial'!UNALLOCATED</vt:lpstr>
      <vt:lpstr>'London Pac'!UNALLOCATED</vt:lpstr>
      <vt:lpstr>Lumbermens!UNALLOCATED</vt:lpstr>
      <vt:lpstr>'Medical Savings'!UNALLOCATED</vt:lpstr>
      <vt:lpstr>'Memorial Service'!UNALLOCATED</vt:lpstr>
      <vt:lpstr>Midcontinent!UNALLOCATED</vt:lpstr>
      <vt:lpstr>'Midwest Life'!UNALLOCATED</vt:lpstr>
      <vt:lpstr>'Monarch Life'!UNALLOCATED</vt:lpstr>
      <vt:lpstr>'Mutual Benefit'!UNALLOCATED</vt:lpstr>
      <vt:lpstr>'Mutual Security'!UNALLOCATED</vt:lpstr>
      <vt:lpstr>'National Affiliated'!UNALLOCATED</vt:lpstr>
      <vt:lpstr>'National Heritage'!UNALLOCATED</vt:lpstr>
      <vt:lpstr>'National States'!UNALLOCATED</vt:lpstr>
      <vt:lpstr>'Natl American'!UNALLOCATED</vt:lpstr>
      <vt:lpstr>'New Jersey Life'!UNALLOCATED</vt:lpstr>
      <vt:lpstr>NNIC!UNALLOCATED</vt:lpstr>
      <vt:lpstr>'North Carolina Mutual'!UNALLOCATED</vt:lpstr>
      <vt:lpstr>'Old Colony Life'!UNALLOCATED</vt:lpstr>
      <vt:lpstr>'Old Faithful'!UNALLOCATED</vt:lpstr>
      <vt:lpstr>'Open Summary'!UNALLOCATED</vt:lpstr>
      <vt:lpstr>'Pacific Standard'!UNALLOCATED</vt:lpstr>
      <vt:lpstr>'Pavonia Life'!UNALLOCATED</vt:lpstr>
      <vt:lpstr>'Pen  Treaty'!UNALLOCATED</vt:lpstr>
      <vt:lpstr>'Pre-Liquidation Summary'!UNALLOCATED</vt:lpstr>
      <vt:lpstr>'Red Rock'!UNALLOCATED</vt:lpstr>
      <vt:lpstr>'Released from Oversight Summary'!UNALLOCATED</vt:lpstr>
      <vt:lpstr>Reliance!UNALLOCATED</vt:lpstr>
      <vt:lpstr>SeeChange!UNALLOCATED</vt:lpstr>
      <vt:lpstr>'Senior American'!UNALLOCATED</vt:lpstr>
      <vt:lpstr>Settlers!UNALLOCATED</vt:lpstr>
      <vt:lpstr>Shenandoah!UNALLOCATED</vt:lpstr>
      <vt:lpstr>'Southland National Life'!UNALLOCATED</vt:lpstr>
      <vt:lpstr>'Standard Life IN'!UNALLOCATED</vt:lpstr>
      <vt:lpstr>'States General'!UNALLOCATED</vt:lpstr>
      <vt:lpstr>Statesman!UNALLOCATED</vt:lpstr>
      <vt:lpstr>'Summit National'!UNALLOCATED</vt:lpstr>
      <vt:lpstr>Supreme!UNALLOCATED</vt:lpstr>
      <vt:lpstr>Time!UNALLOCATED</vt:lpstr>
      <vt:lpstr>'Total Summary'!UNALLOCATED</vt:lpstr>
      <vt:lpstr>Underwriters!UNALLOCATED</vt:lpstr>
      <vt:lpstr>Unison!UNALLOCATED</vt:lpstr>
      <vt:lpstr>'United Republic'!UNALLOCATED</vt:lpstr>
      <vt:lpstr>'Universal Health Care'!UNALLOCATED</vt:lpstr>
      <vt:lpstr>'Universal Life'!UNALLOCATED</vt:lpstr>
      <vt:lpstr>Universe!UNALLOCATED</vt:lpstr>
      <vt:lpstr>Villanova!UNALLOCATED</vt:lpstr>
      <vt:lpstr>'AF&amp;L'!UT_FINANCIAL</vt:lpstr>
      <vt:lpstr>'Alabama Life'!UT_FINANCIAL</vt:lpstr>
      <vt:lpstr>'Amer Life Asr'!UT_FINANCIAL</vt:lpstr>
      <vt:lpstr>'Amer Std Life Acc'!UT_FINANCIAL</vt:lpstr>
      <vt:lpstr>'American Chambers'!UT_FINANCIAL</vt:lpstr>
      <vt:lpstr>'American Community'!UT_FINANCIAL</vt:lpstr>
      <vt:lpstr>'American Educators'!UT_FINANCIAL</vt:lpstr>
      <vt:lpstr>'American Integrity'!UT_FINANCIAL</vt:lpstr>
      <vt:lpstr>'American Medical'!UT_FINANCIAL</vt:lpstr>
      <vt:lpstr>'American Network'!UT_FINANCIAL</vt:lpstr>
      <vt:lpstr>AmerWstrn!UT_FINANCIAL</vt:lpstr>
      <vt:lpstr>'AMS Life'!UT_FINANCIAL</vt:lpstr>
      <vt:lpstr>'Andrew Jackson'!UT_FINANCIAL</vt:lpstr>
      <vt:lpstr>'Bankers Commercial'!UT_FINANCIAL</vt:lpstr>
      <vt:lpstr>'Bankers Life'!UT_FINANCIAL</vt:lpstr>
      <vt:lpstr>Benicorp!UT_FINANCIAL</vt:lpstr>
      <vt:lpstr>'Booker T Washington'!UT_FINANCIAL</vt:lpstr>
      <vt:lpstr>Centennial!UT_FINANCIAL</vt:lpstr>
      <vt:lpstr>'CO Bankers'!UT_FINANCIAL</vt:lpstr>
      <vt:lpstr>'Coastal States'!UT_FINANCIAL</vt:lpstr>
      <vt:lpstr>'Colorado Health'!UT_FINANCIAL</vt:lpstr>
      <vt:lpstr>'Compass (dbs Meritus)'!UT_FINANCIAL</vt:lpstr>
      <vt:lpstr>'Confed Life &amp; Annty (CLIAC)'!UT_FINANCIAL</vt:lpstr>
      <vt:lpstr>'Confed Life (CLIC)'!UT_FINANCIAL</vt:lpstr>
      <vt:lpstr>'Consolidated National'!UT_FINANCIAL</vt:lpstr>
      <vt:lpstr>'Consumers Choice'!UT_FINANCIAL</vt:lpstr>
      <vt:lpstr>'Consumers Mutual'!UT_FINANCIAL</vt:lpstr>
      <vt:lpstr>'Consumers United'!UT_FINANCIAL</vt:lpstr>
      <vt:lpstr>CoOportunity!UT_FINANCIAL</vt:lpstr>
      <vt:lpstr>'Coordinated Hlth'!UT_FINANCIAL</vt:lpstr>
      <vt:lpstr>'Corporate Life'!UT_FINANCIAL</vt:lpstr>
      <vt:lpstr>'Diamond Benefits'!UT_FINANCIAL</vt:lpstr>
      <vt:lpstr>'EBL Life'!UT_FINANCIAL</vt:lpstr>
      <vt:lpstr>ELNY!UT_FINANCIAL</vt:lpstr>
      <vt:lpstr>'Executive Life'!UT_FINANCIAL</vt:lpstr>
      <vt:lpstr>'Family Guaranty'!UT_FINANCIAL</vt:lpstr>
      <vt:lpstr>'Fidelity Bankers'!UT_FINANCIAL</vt:lpstr>
      <vt:lpstr>'Fidelity Mutual'!UT_FINANCIAL</vt:lpstr>
      <vt:lpstr>'First Capital'!UT_FINANCIAL</vt:lpstr>
      <vt:lpstr>'First Natl'!UT_FINANCIAL</vt:lpstr>
      <vt:lpstr>'First Natl (Thrnr)'!UT_FINANCIAL</vt:lpstr>
      <vt:lpstr>'Franklin American'!UT_FINANCIAL</vt:lpstr>
      <vt:lpstr>'Franklin Protective'!UT_FINANCIAL</vt:lpstr>
      <vt:lpstr>'Freelancers CO-OP'!UT_FINANCIAL</vt:lpstr>
      <vt:lpstr>Freestone!UT_FINANCIAL</vt:lpstr>
      <vt:lpstr>'George Washington'!UT_FINANCIAL</vt:lpstr>
      <vt:lpstr>'Golden State'!UT_FINANCIAL</vt:lpstr>
      <vt:lpstr>'Guarantee Security'!UT_FINANCIAL</vt:lpstr>
      <vt:lpstr>HealthyCT!UT_FINANCIAL</vt:lpstr>
      <vt:lpstr>Imerica!UT_FINANCIAL</vt:lpstr>
      <vt:lpstr>'Inter-American'!UT_FINANCIAL</vt:lpstr>
      <vt:lpstr>'International Fin'!UT_FINANCIAL</vt:lpstr>
      <vt:lpstr>'Investment Life of America'!UT_FINANCIAL</vt:lpstr>
      <vt:lpstr>'Investors Equity'!UT_FINANCIAL</vt:lpstr>
      <vt:lpstr>'Kentucky Central'!UT_FINANCIAL</vt:lpstr>
      <vt:lpstr>'Land of Lincoln'!UT_FINANCIAL</vt:lpstr>
      <vt:lpstr>Legion!UT_FINANCIAL</vt:lpstr>
      <vt:lpstr>'Life Health America'!UT_FINANCIAL</vt:lpstr>
      <vt:lpstr>'Lincoln Memorial'!UT_FINANCIAL</vt:lpstr>
      <vt:lpstr>'London Pac'!UT_FINANCIAL</vt:lpstr>
      <vt:lpstr>Lumbermens!UT_FINANCIAL</vt:lpstr>
      <vt:lpstr>'Medical Savings'!UT_FINANCIAL</vt:lpstr>
      <vt:lpstr>'Memorial Service'!UT_FINANCIAL</vt:lpstr>
      <vt:lpstr>Midcontinent!UT_FINANCIAL</vt:lpstr>
      <vt:lpstr>'Midwest Life'!UT_FINANCIAL</vt:lpstr>
      <vt:lpstr>'Monarch Life'!UT_FINANCIAL</vt:lpstr>
      <vt:lpstr>'Mutual Benefit'!UT_FINANCIAL</vt:lpstr>
      <vt:lpstr>'Mutual Security'!UT_FINANCIAL</vt:lpstr>
      <vt:lpstr>'National Affiliated'!UT_FINANCIAL</vt:lpstr>
      <vt:lpstr>'National Heritage'!UT_FINANCIAL</vt:lpstr>
      <vt:lpstr>'National States'!UT_FINANCIAL</vt:lpstr>
      <vt:lpstr>'Natl American'!UT_FINANCIAL</vt:lpstr>
      <vt:lpstr>'New Jersey Life'!UT_FINANCIAL</vt:lpstr>
      <vt:lpstr>NNIC!UT_FINANCIAL</vt:lpstr>
      <vt:lpstr>'North Carolina Mutual'!UT_FINANCIAL</vt:lpstr>
      <vt:lpstr>'Old Colony Life'!UT_FINANCIAL</vt:lpstr>
      <vt:lpstr>'Old Faithful'!UT_FINANCIAL</vt:lpstr>
      <vt:lpstr>'Pacific Standard'!UT_FINANCIAL</vt:lpstr>
      <vt:lpstr>'Pavonia Life'!UT_FINANCIAL</vt:lpstr>
      <vt:lpstr>'Pen  Treaty'!UT_FINANCIAL</vt:lpstr>
      <vt:lpstr>'Red Rock'!UT_FINANCIAL</vt:lpstr>
      <vt:lpstr>Reliance!UT_FINANCIAL</vt:lpstr>
      <vt:lpstr>SeeChange!UT_FINANCIAL</vt:lpstr>
      <vt:lpstr>'Senior American'!UT_FINANCIAL</vt:lpstr>
      <vt:lpstr>Settlers!UT_FINANCIAL</vt:lpstr>
      <vt:lpstr>Shenandoah!UT_FINANCIAL</vt:lpstr>
      <vt:lpstr>'Southland National Life'!UT_FINANCIAL</vt:lpstr>
      <vt:lpstr>'Standard Life IN'!UT_FINANCIAL</vt:lpstr>
      <vt:lpstr>'States General'!UT_FINANCIAL</vt:lpstr>
      <vt:lpstr>Statesman!UT_FINANCIAL</vt:lpstr>
      <vt:lpstr>'Summit National'!UT_FINANCIAL</vt:lpstr>
      <vt:lpstr>Supreme!UT_FINANCIAL</vt:lpstr>
      <vt:lpstr>Time!UT_FINANCIAL</vt:lpstr>
      <vt:lpstr>'Total Summary'!UT_FINANCIAL</vt:lpstr>
      <vt:lpstr>Underwriters!UT_FINANCIAL</vt:lpstr>
      <vt:lpstr>Unison!UT_FINANCIAL</vt:lpstr>
      <vt:lpstr>'United Republic'!UT_FINANCIAL</vt:lpstr>
      <vt:lpstr>'Universal Health Care'!UT_FINANCIAL</vt:lpstr>
      <vt:lpstr>'Universal Life'!UT_FINANCIAL</vt:lpstr>
      <vt:lpstr>Universe!UT_FINANCIAL</vt:lpstr>
      <vt:lpstr>Villanova!UT_FINANCIAL</vt:lpstr>
      <vt:lpstr>'AF&amp;L'!VA_FINANCIAL</vt:lpstr>
      <vt:lpstr>'Alabama Life'!VA_FINANCIAL</vt:lpstr>
      <vt:lpstr>'Amer Life Asr'!VA_FINANCIAL</vt:lpstr>
      <vt:lpstr>'Amer Std Life Acc'!VA_FINANCIAL</vt:lpstr>
      <vt:lpstr>'American Chambers'!VA_FINANCIAL</vt:lpstr>
      <vt:lpstr>'American Community'!VA_FINANCIAL</vt:lpstr>
      <vt:lpstr>'American Educators'!VA_FINANCIAL</vt:lpstr>
      <vt:lpstr>'American Integrity'!VA_FINANCIAL</vt:lpstr>
      <vt:lpstr>'American Medical'!VA_FINANCIAL</vt:lpstr>
      <vt:lpstr>'American Network'!VA_FINANCIAL</vt:lpstr>
      <vt:lpstr>AmerWstrn!VA_FINANCIAL</vt:lpstr>
      <vt:lpstr>'AMS Life'!VA_FINANCIAL</vt:lpstr>
      <vt:lpstr>'Andrew Jackson'!VA_FINANCIAL</vt:lpstr>
      <vt:lpstr>'Bankers Commercial'!VA_FINANCIAL</vt:lpstr>
      <vt:lpstr>'Bankers Life'!VA_FINANCIAL</vt:lpstr>
      <vt:lpstr>Benicorp!VA_FINANCIAL</vt:lpstr>
      <vt:lpstr>'Booker T Washington'!VA_FINANCIAL</vt:lpstr>
      <vt:lpstr>Centennial!VA_FINANCIAL</vt:lpstr>
      <vt:lpstr>'CO Bankers'!VA_FINANCIAL</vt:lpstr>
      <vt:lpstr>'Coastal States'!VA_FINANCIAL</vt:lpstr>
      <vt:lpstr>'Colorado Health'!VA_FINANCIAL</vt:lpstr>
      <vt:lpstr>'Compass (dbs Meritus)'!VA_FINANCIAL</vt:lpstr>
      <vt:lpstr>'Confed Life &amp; Annty (CLIAC)'!VA_FINANCIAL</vt:lpstr>
      <vt:lpstr>'Confed Life (CLIC)'!VA_FINANCIAL</vt:lpstr>
      <vt:lpstr>'Consolidated National'!VA_FINANCIAL</vt:lpstr>
      <vt:lpstr>'Consumers Choice'!VA_FINANCIAL</vt:lpstr>
      <vt:lpstr>'Consumers Mutual'!VA_FINANCIAL</vt:lpstr>
      <vt:lpstr>'Consumers United'!VA_FINANCIAL</vt:lpstr>
      <vt:lpstr>CoOportunity!VA_FINANCIAL</vt:lpstr>
      <vt:lpstr>'Coordinated Hlth'!VA_FINANCIAL</vt:lpstr>
      <vt:lpstr>'Corporate Life'!VA_FINANCIAL</vt:lpstr>
      <vt:lpstr>'Diamond Benefits'!VA_FINANCIAL</vt:lpstr>
      <vt:lpstr>'EBL Life'!VA_FINANCIAL</vt:lpstr>
      <vt:lpstr>ELNY!VA_FINANCIAL</vt:lpstr>
      <vt:lpstr>'Executive Life'!VA_FINANCIAL</vt:lpstr>
      <vt:lpstr>'Family Guaranty'!VA_FINANCIAL</vt:lpstr>
      <vt:lpstr>'Fidelity Bankers'!VA_FINANCIAL</vt:lpstr>
      <vt:lpstr>'Fidelity Mutual'!VA_FINANCIAL</vt:lpstr>
      <vt:lpstr>'First Capital'!VA_FINANCIAL</vt:lpstr>
      <vt:lpstr>'First Natl'!VA_FINANCIAL</vt:lpstr>
      <vt:lpstr>'First Natl (Thrnr)'!VA_FINANCIAL</vt:lpstr>
      <vt:lpstr>'Franklin American'!VA_FINANCIAL</vt:lpstr>
      <vt:lpstr>'Franklin Protective'!VA_FINANCIAL</vt:lpstr>
      <vt:lpstr>'Freelancers CO-OP'!VA_FINANCIAL</vt:lpstr>
      <vt:lpstr>Freestone!VA_FINANCIAL</vt:lpstr>
      <vt:lpstr>'George Washington'!VA_FINANCIAL</vt:lpstr>
      <vt:lpstr>'Golden State'!VA_FINANCIAL</vt:lpstr>
      <vt:lpstr>'Guarantee Security'!VA_FINANCIAL</vt:lpstr>
      <vt:lpstr>HealthyCT!VA_FINANCIAL</vt:lpstr>
      <vt:lpstr>Imerica!VA_FINANCIAL</vt:lpstr>
      <vt:lpstr>'Inter-American'!VA_FINANCIAL</vt:lpstr>
      <vt:lpstr>'International Fin'!VA_FINANCIAL</vt:lpstr>
      <vt:lpstr>'Investment Life of America'!VA_FINANCIAL</vt:lpstr>
      <vt:lpstr>'Investors Equity'!VA_FINANCIAL</vt:lpstr>
      <vt:lpstr>'Kentucky Central'!VA_FINANCIAL</vt:lpstr>
      <vt:lpstr>'Land of Lincoln'!VA_FINANCIAL</vt:lpstr>
      <vt:lpstr>Legion!VA_FINANCIAL</vt:lpstr>
      <vt:lpstr>'Life Health America'!VA_FINANCIAL</vt:lpstr>
      <vt:lpstr>'Lincoln Memorial'!VA_FINANCIAL</vt:lpstr>
      <vt:lpstr>'London Pac'!VA_FINANCIAL</vt:lpstr>
      <vt:lpstr>Lumbermens!VA_FINANCIAL</vt:lpstr>
      <vt:lpstr>'Medical Savings'!VA_FINANCIAL</vt:lpstr>
      <vt:lpstr>'Memorial Service'!VA_FINANCIAL</vt:lpstr>
      <vt:lpstr>Midcontinent!VA_FINANCIAL</vt:lpstr>
      <vt:lpstr>'Midwest Life'!VA_FINANCIAL</vt:lpstr>
      <vt:lpstr>'Monarch Life'!VA_FINANCIAL</vt:lpstr>
      <vt:lpstr>'Mutual Benefit'!VA_FINANCIAL</vt:lpstr>
      <vt:lpstr>'Mutual Security'!VA_FINANCIAL</vt:lpstr>
      <vt:lpstr>'National Affiliated'!VA_FINANCIAL</vt:lpstr>
      <vt:lpstr>'National Heritage'!VA_FINANCIAL</vt:lpstr>
      <vt:lpstr>'National States'!VA_FINANCIAL</vt:lpstr>
      <vt:lpstr>'Natl American'!VA_FINANCIAL</vt:lpstr>
      <vt:lpstr>'New Jersey Life'!VA_FINANCIAL</vt:lpstr>
      <vt:lpstr>NNIC!VA_FINANCIAL</vt:lpstr>
      <vt:lpstr>'North Carolina Mutual'!VA_FINANCIAL</vt:lpstr>
      <vt:lpstr>'Old Colony Life'!VA_FINANCIAL</vt:lpstr>
      <vt:lpstr>'Old Faithful'!VA_FINANCIAL</vt:lpstr>
      <vt:lpstr>'Pacific Standard'!VA_FINANCIAL</vt:lpstr>
      <vt:lpstr>'Pavonia Life'!VA_FINANCIAL</vt:lpstr>
      <vt:lpstr>'Pen  Treaty'!VA_FINANCIAL</vt:lpstr>
      <vt:lpstr>'Red Rock'!VA_FINANCIAL</vt:lpstr>
      <vt:lpstr>Reliance!VA_FINANCIAL</vt:lpstr>
      <vt:lpstr>SeeChange!VA_FINANCIAL</vt:lpstr>
      <vt:lpstr>'Senior American'!VA_FINANCIAL</vt:lpstr>
      <vt:lpstr>Settlers!VA_FINANCIAL</vt:lpstr>
      <vt:lpstr>Shenandoah!VA_FINANCIAL</vt:lpstr>
      <vt:lpstr>'Southland National Life'!VA_FINANCIAL</vt:lpstr>
      <vt:lpstr>'Standard Life IN'!VA_FINANCIAL</vt:lpstr>
      <vt:lpstr>'States General'!VA_FINANCIAL</vt:lpstr>
      <vt:lpstr>Statesman!VA_FINANCIAL</vt:lpstr>
      <vt:lpstr>'Summit National'!VA_FINANCIAL</vt:lpstr>
      <vt:lpstr>Supreme!VA_FINANCIAL</vt:lpstr>
      <vt:lpstr>Time!VA_FINANCIAL</vt:lpstr>
      <vt:lpstr>'Total Summary'!VA_FINANCIAL</vt:lpstr>
      <vt:lpstr>Underwriters!VA_FINANCIAL</vt:lpstr>
      <vt:lpstr>Unison!VA_FINANCIAL</vt:lpstr>
      <vt:lpstr>'United Republic'!VA_FINANCIAL</vt:lpstr>
      <vt:lpstr>'Universal Health Care'!VA_FINANCIAL</vt:lpstr>
      <vt:lpstr>'Universal Life'!VA_FINANCIAL</vt:lpstr>
      <vt:lpstr>Universe!VA_FINANCIAL</vt:lpstr>
      <vt:lpstr>Villanova!VA_FINANCIAL</vt:lpstr>
      <vt:lpstr>'AF&amp;L'!VT_FINANCIAL</vt:lpstr>
      <vt:lpstr>'Alabama Life'!VT_FINANCIAL</vt:lpstr>
      <vt:lpstr>'Amer Life Asr'!VT_FINANCIAL</vt:lpstr>
      <vt:lpstr>'Amer Std Life Acc'!VT_FINANCIAL</vt:lpstr>
      <vt:lpstr>'American Chambers'!VT_FINANCIAL</vt:lpstr>
      <vt:lpstr>'American Community'!VT_FINANCIAL</vt:lpstr>
      <vt:lpstr>'American Educators'!VT_FINANCIAL</vt:lpstr>
      <vt:lpstr>'American Integrity'!VT_FINANCIAL</vt:lpstr>
      <vt:lpstr>'American Medical'!VT_FINANCIAL</vt:lpstr>
      <vt:lpstr>'American Network'!VT_FINANCIAL</vt:lpstr>
      <vt:lpstr>AmerWstrn!VT_FINANCIAL</vt:lpstr>
      <vt:lpstr>'AMS Life'!VT_FINANCIAL</vt:lpstr>
      <vt:lpstr>'Andrew Jackson'!VT_FINANCIAL</vt:lpstr>
      <vt:lpstr>'Bankers Commercial'!VT_FINANCIAL</vt:lpstr>
      <vt:lpstr>'Bankers Life'!VT_FINANCIAL</vt:lpstr>
      <vt:lpstr>Benicorp!VT_FINANCIAL</vt:lpstr>
      <vt:lpstr>'Booker T Washington'!VT_FINANCIAL</vt:lpstr>
      <vt:lpstr>Centennial!VT_FINANCIAL</vt:lpstr>
      <vt:lpstr>'CO Bankers'!VT_FINANCIAL</vt:lpstr>
      <vt:lpstr>'Coastal States'!VT_FINANCIAL</vt:lpstr>
      <vt:lpstr>'Colorado Health'!VT_FINANCIAL</vt:lpstr>
      <vt:lpstr>'Compass (dbs Meritus)'!VT_FINANCIAL</vt:lpstr>
      <vt:lpstr>'Confed Life &amp; Annty (CLIAC)'!VT_FINANCIAL</vt:lpstr>
      <vt:lpstr>'Confed Life (CLIC)'!VT_FINANCIAL</vt:lpstr>
      <vt:lpstr>'Consolidated National'!VT_FINANCIAL</vt:lpstr>
      <vt:lpstr>'Consumers Choice'!VT_FINANCIAL</vt:lpstr>
      <vt:lpstr>'Consumers Mutual'!VT_FINANCIAL</vt:lpstr>
      <vt:lpstr>'Consumers United'!VT_FINANCIAL</vt:lpstr>
      <vt:lpstr>CoOportunity!VT_FINANCIAL</vt:lpstr>
      <vt:lpstr>'Coordinated Hlth'!VT_FINANCIAL</vt:lpstr>
      <vt:lpstr>'Corporate Life'!VT_FINANCIAL</vt:lpstr>
      <vt:lpstr>'Diamond Benefits'!VT_FINANCIAL</vt:lpstr>
      <vt:lpstr>'EBL Life'!VT_FINANCIAL</vt:lpstr>
      <vt:lpstr>ELNY!VT_FINANCIAL</vt:lpstr>
      <vt:lpstr>'Executive Life'!VT_FINANCIAL</vt:lpstr>
      <vt:lpstr>'Family Guaranty'!VT_FINANCIAL</vt:lpstr>
      <vt:lpstr>'Fidelity Bankers'!VT_FINANCIAL</vt:lpstr>
      <vt:lpstr>'Fidelity Mutual'!VT_FINANCIAL</vt:lpstr>
      <vt:lpstr>'First Capital'!VT_FINANCIAL</vt:lpstr>
      <vt:lpstr>'First Natl'!VT_FINANCIAL</vt:lpstr>
      <vt:lpstr>'First Natl (Thrnr)'!VT_FINANCIAL</vt:lpstr>
      <vt:lpstr>'Franklin American'!VT_FINANCIAL</vt:lpstr>
      <vt:lpstr>'Franklin Protective'!VT_FINANCIAL</vt:lpstr>
      <vt:lpstr>'Freelancers CO-OP'!VT_FINANCIAL</vt:lpstr>
      <vt:lpstr>Freestone!VT_FINANCIAL</vt:lpstr>
      <vt:lpstr>'George Washington'!VT_FINANCIAL</vt:lpstr>
      <vt:lpstr>'Golden State'!VT_FINANCIAL</vt:lpstr>
      <vt:lpstr>'Guarantee Security'!VT_FINANCIAL</vt:lpstr>
      <vt:lpstr>HealthyCT!VT_FINANCIAL</vt:lpstr>
      <vt:lpstr>Imerica!VT_FINANCIAL</vt:lpstr>
      <vt:lpstr>'Inter-American'!VT_FINANCIAL</vt:lpstr>
      <vt:lpstr>'International Fin'!VT_FINANCIAL</vt:lpstr>
      <vt:lpstr>'Investment Life of America'!VT_FINANCIAL</vt:lpstr>
      <vt:lpstr>'Investors Equity'!VT_FINANCIAL</vt:lpstr>
      <vt:lpstr>'Kentucky Central'!VT_FINANCIAL</vt:lpstr>
      <vt:lpstr>'Land of Lincoln'!VT_FINANCIAL</vt:lpstr>
      <vt:lpstr>Legion!VT_FINANCIAL</vt:lpstr>
      <vt:lpstr>'Life Health America'!VT_FINANCIAL</vt:lpstr>
      <vt:lpstr>'Lincoln Memorial'!VT_FINANCIAL</vt:lpstr>
      <vt:lpstr>'London Pac'!VT_FINANCIAL</vt:lpstr>
      <vt:lpstr>Lumbermens!VT_FINANCIAL</vt:lpstr>
      <vt:lpstr>'Medical Savings'!VT_FINANCIAL</vt:lpstr>
      <vt:lpstr>'Memorial Service'!VT_FINANCIAL</vt:lpstr>
      <vt:lpstr>Midcontinent!VT_FINANCIAL</vt:lpstr>
      <vt:lpstr>'Midwest Life'!VT_FINANCIAL</vt:lpstr>
      <vt:lpstr>'Monarch Life'!VT_FINANCIAL</vt:lpstr>
      <vt:lpstr>'Mutual Benefit'!VT_FINANCIAL</vt:lpstr>
      <vt:lpstr>'Mutual Security'!VT_FINANCIAL</vt:lpstr>
      <vt:lpstr>'National Affiliated'!VT_FINANCIAL</vt:lpstr>
      <vt:lpstr>'National Heritage'!VT_FINANCIAL</vt:lpstr>
      <vt:lpstr>'National States'!VT_FINANCIAL</vt:lpstr>
      <vt:lpstr>'Natl American'!VT_FINANCIAL</vt:lpstr>
      <vt:lpstr>'New Jersey Life'!VT_FINANCIAL</vt:lpstr>
      <vt:lpstr>NNIC!VT_FINANCIAL</vt:lpstr>
      <vt:lpstr>'North Carolina Mutual'!VT_FINANCIAL</vt:lpstr>
      <vt:lpstr>'Old Colony Life'!VT_FINANCIAL</vt:lpstr>
      <vt:lpstr>'Old Faithful'!VT_FINANCIAL</vt:lpstr>
      <vt:lpstr>'Pacific Standard'!VT_FINANCIAL</vt:lpstr>
      <vt:lpstr>'Pavonia Life'!VT_FINANCIAL</vt:lpstr>
      <vt:lpstr>'Pen  Treaty'!VT_FINANCIAL</vt:lpstr>
      <vt:lpstr>'Red Rock'!VT_FINANCIAL</vt:lpstr>
      <vt:lpstr>Reliance!VT_FINANCIAL</vt:lpstr>
      <vt:lpstr>SeeChange!VT_FINANCIAL</vt:lpstr>
      <vt:lpstr>'Senior American'!VT_FINANCIAL</vt:lpstr>
      <vt:lpstr>Settlers!VT_FINANCIAL</vt:lpstr>
      <vt:lpstr>Shenandoah!VT_FINANCIAL</vt:lpstr>
      <vt:lpstr>'Southland National Life'!VT_FINANCIAL</vt:lpstr>
      <vt:lpstr>'Standard Life IN'!VT_FINANCIAL</vt:lpstr>
      <vt:lpstr>'States General'!VT_FINANCIAL</vt:lpstr>
      <vt:lpstr>Statesman!VT_FINANCIAL</vt:lpstr>
      <vt:lpstr>'Summit National'!VT_FINANCIAL</vt:lpstr>
      <vt:lpstr>Supreme!VT_FINANCIAL</vt:lpstr>
      <vt:lpstr>Time!VT_FINANCIAL</vt:lpstr>
      <vt:lpstr>'Total Summary'!VT_FINANCIAL</vt:lpstr>
      <vt:lpstr>Underwriters!VT_FINANCIAL</vt:lpstr>
      <vt:lpstr>Unison!VT_FINANCIAL</vt:lpstr>
      <vt:lpstr>'United Republic'!VT_FINANCIAL</vt:lpstr>
      <vt:lpstr>'Universal Health Care'!VT_FINANCIAL</vt:lpstr>
      <vt:lpstr>'Universal Life'!VT_FINANCIAL</vt:lpstr>
      <vt:lpstr>Universe!VT_FINANCIAL</vt:lpstr>
      <vt:lpstr>Villanova!VT_FINANCIAL</vt:lpstr>
      <vt:lpstr>'AF&amp;L'!WA_FINANCIAL</vt:lpstr>
      <vt:lpstr>'Alabama Life'!WA_FINANCIAL</vt:lpstr>
      <vt:lpstr>'Amer Life Asr'!WA_FINANCIAL</vt:lpstr>
      <vt:lpstr>'Amer Std Life Acc'!WA_FINANCIAL</vt:lpstr>
      <vt:lpstr>'American Chambers'!WA_FINANCIAL</vt:lpstr>
      <vt:lpstr>'American Community'!WA_FINANCIAL</vt:lpstr>
      <vt:lpstr>'American Educators'!WA_FINANCIAL</vt:lpstr>
      <vt:lpstr>'American Integrity'!WA_FINANCIAL</vt:lpstr>
      <vt:lpstr>'American Medical'!WA_FINANCIAL</vt:lpstr>
      <vt:lpstr>'American Network'!WA_FINANCIAL</vt:lpstr>
      <vt:lpstr>AmerWstrn!WA_FINANCIAL</vt:lpstr>
      <vt:lpstr>'AMS Life'!WA_FINANCIAL</vt:lpstr>
      <vt:lpstr>'Andrew Jackson'!WA_FINANCIAL</vt:lpstr>
      <vt:lpstr>'Bankers Commercial'!WA_FINANCIAL</vt:lpstr>
      <vt:lpstr>'Bankers Life'!WA_FINANCIAL</vt:lpstr>
      <vt:lpstr>Benicorp!WA_FINANCIAL</vt:lpstr>
      <vt:lpstr>'Booker T Washington'!WA_FINANCIAL</vt:lpstr>
      <vt:lpstr>Centennial!WA_FINANCIAL</vt:lpstr>
      <vt:lpstr>'CO Bankers'!WA_FINANCIAL</vt:lpstr>
      <vt:lpstr>'Coastal States'!WA_FINANCIAL</vt:lpstr>
      <vt:lpstr>'Colorado Health'!WA_FINANCIAL</vt:lpstr>
      <vt:lpstr>'Compass (dbs Meritus)'!WA_FINANCIAL</vt:lpstr>
      <vt:lpstr>'Confed Life &amp; Annty (CLIAC)'!WA_FINANCIAL</vt:lpstr>
      <vt:lpstr>'Confed Life (CLIC)'!WA_FINANCIAL</vt:lpstr>
      <vt:lpstr>'Consolidated National'!WA_FINANCIAL</vt:lpstr>
      <vt:lpstr>'Consumers Choice'!WA_FINANCIAL</vt:lpstr>
      <vt:lpstr>'Consumers Mutual'!WA_FINANCIAL</vt:lpstr>
      <vt:lpstr>'Consumers United'!WA_FINANCIAL</vt:lpstr>
      <vt:lpstr>CoOportunity!WA_FINANCIAL</vt:lpstr>
      <vt:lpstr>'Coordinated Hlth'!WA_FINANCIAL</vt:lpstr>
      <vt:lpstr>'Corporate Life'!WA_FINANCIAL</vt:lpstr>
      <vt:lpstr>'Diamond Benefits'!WA_FINANCIAL</vt:lpstr>
      <vt:lpstr>'EBL Life'!WA_FINANCIAL</vt:lpstr>
      <vt:lpstr>ELNY!WA_FINANCIAL</vt:lpstr>
      <vt:lpstr>'Executive Life'!WA_FINANCIAL</vt:lpstr>
      <vt:lpstr>'Family Guaranty'!WA_FINANCIAL</vt:lpstr>
      <vt:lpstr>'Fidelity Bankers'!WA_FINANCIAL</vt:lpstr>
      <vt:lpstr>'Fidelity Mutual'!WA_FINANCIAL</vt:lpstr>
      <vt:lpstr>'First Capital'!WA_FINANCIAL</vt:lpstr>
      <vt:lpstr>'First Natl'!WA_FINANCIAL</vt:lpstr>
      <vt:lpstr>'First Natl (Thrnr)'!WA_FINANCIAL</vt:lpstr>
      <vt:lpstr>'Franklin American'!WA_FINANCIAL</vt:lpstr>
      <vt:lpstr>'Franklin Protective'!WA_FINANCIAL</vt:lpstr>
      <vt:lpstr>'Freelancers CO-OP'!WA_FINANCIAL</vt:lpstr>
      <vt:lpstr>Freestone!WA_FINANCIAL</vt:lpstr>
      <vt:lpstr>'George Washington'!WA_FINANCIAL</vt:lpstr>
      <vt:lpstr>'Golden State'!WA_FINANCIAL</vt:lpstr>
      <vt:lpstr>'Guarantee Security'!WA_FINANCIAL</vt:lpstr>
      <vt:lpstr>HealthyCT!WA_FINANCIAL</vt:lpstr>
      <vt:lpstr>Imerica!WA_FINANCIAL</vt:lpstr>
      <vt:lpstr>'Inter-American'!WA_FINANCIAL</vt:lpstr>
      <vt:lpstr>'International Fin'!WA_FINANCIAL</vt:lpstr>
      <vt:lpstr>'Investment Life of America'!WA_FINANCIAL</vt:lpstr>
      <vt:lpstr>'Investors Equity'!WA_FINANCIAL</vt:lpstr>
      <vt:lpstr>'Kentucky Central'!WA_FINANCIAL</vt:lpstr>
      <vt:lpstr>'Land of Lincoln'!WA_FINANCIAL</vt:lpstr>
      <vt:lpstr>Legion!WA_FINANCIAL</vt:lpstr>
      <vt:lpstr>'Life Health America'!WA_FINANCIAL</vt:lpstr>
      <vt:lpstr>'Lincoln Memorial'!WA_FINANCIAL</vt:lpstr>
      <vt:lpstr>'London Pac'!WA_FINANCIAL</vt:lpstr>
      <vt:lpstr>Lumbermens!WA_FINANCIAL</vt:lpstr>
      <vt:lpstr>'Medical Savings'!WA_FINANCIAL</vt:lpstr>
      <vt:lpstr>'Memorial Service'!WA_FINANCIAL</vt:lpstr>
      <vt:lpstr>Midcontinent!WA_FINANCIAL</vt:lpstr>
      <vt:lpstr>'Midwest Life'!WA_FINANCIAL</vt:lpstr>
      <vt:lpstr>'Monarch Life'!WA_FINANCIAL</vt:lpstr>
      <vt:lpstr>'Mutual Benefit'!WA_FINANCIAL</vt:lpstr>
      <vt:lpstr>'Mutual Security'!WA_FINANCIAL</vt:lpstr>
      <vt:lpstr>'National Affiliated'!WA_FINANCIAL</vt:lpstr>
      <vt:lpstr>'National Heritage'!WA_FINANCIAL</vt:lpstr>
      <vt:lpstr>'National States'!WA_FINANCIAL</vt:lpstr>
      <vt:lpstr>'Natl American'!WA_FINANCIAL</vt:lpstr>
      <vt:lpstr>'New Jersey Life'!WA_FINANCIAL</vt:lpstr>
      <vt:lpstr>NNIC!WA_FINANCIAL</vt:lpstr>
      <vt:lpstr>'North Carolina Mutual'!WA_FINANCIAL</vt:lpstr>
      <vt:lpstr>'Old Colony Life'!WA_FINANCIAL</vt:lpstr>
      <vt:lpstr>'Old Faithful'!WA_FINANCIAL</vt:lpstr>
      <vt:lpstr>'Pacific Standard'!WA_FINANCIAL</vt:lpstr>
      <vt:lpstr>'Pavonia Life'!WA_FINANCIAL</vt:lpstr>
      <vt:lpstr>'Pen  Treaty'!WA_FINANCIAL</vt:lpstr>
      <vt:lpstr>'Red Rock'!WA_FINANCIAL</vt:lpstr>
      <vt:lpstr>Reliance!WA_FINANCIAL</vt:lpstr>
      <vt:lpstr>SeeChange!WA_FINANCIAL</vt:lpstr>
      <vt:lpstr>'Senior American'!WA_FINANCIAL</vt:lpstr>
      <vt:lpstr>Settlers!WA_FINANCIAL</vt:lpstr>
      <vt:lpstr>Shenandoah!WA_FINANCIAL</vt:lpstr>
      <vt:lpstr>'Southland National Life'!WA_FINANCIAL</vt:lpstr>
      <vt:lpstr>'Standard Life IN'!WA_FINANCIAL</vt:lpstr>
      <vt:lpstr>'States General'!WA_FINANCIAL</vt:lpstr>
      <vt:lpstr>Statesman!WA_FINANCIAL</vt:lpstr>
      <vt:lpstr>'Summit National'!WA_FINANCIAL</vt:lpstr>
      <vt:lpstr>Supreme!WA_FINANCIAL</vt:lpstr>
      <vt:lpstr>Time!WA_FINANCIAL</vt:lpstr>
      <vt:lpstr>'Total Summary'!WA_FINANCIAL</vt:lpstr>
      <vt:lpstr>Underwriters!WA_FINANCIAL</vt:lpstr>
      <vt:lpstr>Unison!WA_FINANCIAL</vt:lpstr>
      <vt:lpstr>'United Republic'!WA_FINANCIAL</vt:lpstr>
      <vt:lpstr>'Universal Health Care'!WA_FINANCIAL</vt:lpstr>
      <vt:lpstr>'Universal Life'!WA_FINANCIAL</vt:lpstr>
      <vt:lpstr>Universe!WA_FINANCIAL</vt:lpstr>
      <vt:lpstr>Villanova!WA_FINANCIAL</vt:lpstr>
      <vt:lpstr>'AF&amp;L'!WI_FINANCIAL</vt:lpstr>
      <vt:lpstr>'Alabama Life'!WI_FINANCIAL</vt:lpstr>
      <vt:lpstr>'Amer Life Asr'!WI_FINANCIAL</vt:lpstr>
      <vt:lpstr>'Amer Std Life Acc'!WI_FINANCIAL</vt:lpstr>
      <vt:lpstr>'American Chambers'!WI_FINANCIAL</vt:lpstr>
      <vt:lpstr>'American Community'!WI_FINANCIAL</vt:lpstr>
      <vt:lpstr>'American Educators'!WI_FINANCIAL</vt:lpstr>
      <vt:lpstr>'American Integrity'!WI_FINANCIAL</vt:lpstr>
      <vt:lpstr>'American Medical'!WI_FINANCIAL</vt:lpstr>
      <vt:lpstr>'American Network'!WI_FINANCIAL</vt:lpstr>
      <vt:lpstr>AmerWstrn!WI_FINANCIAL</vt:lpstr>
      <vt:lpstr>'AMS Life'!WI_FINANCIAL</vt:lpstr>
      <vt:lpstr>'Andrew Jackson'!WI_FINANCIAL</vt:lpstr>
      <vt:lpstr>'Bankers Commercial'!WI_FINANCIAL</vt:lpstr>
      <vt:lpstr>'Bankers Life'!WI_FINANCIAL</vt:lpstr>
      <vt:lpstr>Benicorp!WI_FINANCIAL</vt:lpstr>
      <vt:lpstr>'Booker T Washington'!WI_FINANCIAL</vt:lpstr>
      <vt:lpstr>Centennial!WI_FINANCIAL</vt:lpstr>
      <vt:lpstr>'CO Bankers'!WI_FINANCIAL</vt:lpstr>
      <vt:lpstr>'Coastal States'!WI_FINANCIAL</vt:lpstr>
      <vt:lpstr>'Colorado Health'!WI_FINANCIAL</vt:lpstr>
      <vt:lpstr>'Compass (dbs Meritus)'!WI_FINANCIAL</vt:lpstr>
      <vt:lpstr>'Confed Life &amp; Annty (CLIAC)'!WI_FINANCIAL</vt:lpstr>
      <vt:lpstr>'Confed Life (CLIC)'!WI_FINANCIAL</vt:lpstr>
      <vt:lpstr>'Consolidated National'!WI_FINANCIAL</vt:lpstr>
      <vt:lpstr>'Consumers Choice'!WI_FINANCIAL</vt:lpstr>
      <vt:lpstr>'Consumers Mutual'!WI_FINANCIAL</vt:lpstr>
      <vt:lpstr>'Consumers United'!WI_FINANCIAL</vt:lpstr>
      <vt:lpstr>CoOportunity!WI_FINANCIAL</vt:lpstr>
      <vt:lpstr>'Coordinated Hlth'!WI_FINANCIAL</vt:lpstr>
      <vt:lpstr>'Corporate Life'!WI_FINANCIAL</vt:lpstr>
      <vt:lpstr>'Diamond Benefits'!WI_FINANCIAL</vt:lpstr>
      <vt:lpstr>'EBL Life'!WI_FINANCIAL</vt:lpstr>
      <vt:lpstr>ELNY!WI_FINANCIAL</vt:lpstr>
      <vt:lpstr>'Executive Life'!WI_FINANCIAL</vt:lpstr>
      <vt:lpstr>'Family Guaranty'!WI_FINANCIAL</vt:lpstr>
      <vt:lpstr>'Fidelity Bankers'!WI_FINANCIAL</vt:lpstr>
      <vt:lpstr>'Fidelity Mutual'!WI_FINANCIAL</vt:lpstr>
      <vt:lpstr>'First Capital'!WI_FINANCIAL</vt:lpstr>
      <vt:lpstr>'First Natl'!WI_FINANCIAL</vt:lpstr>
      <vt:lpstr>'First Natl (Thrnr)'!WI_FINANCIAL</vt:lpstr>
      <vt:lpstr>'Franklin American'!WI_FINANCIAL</vt:lpstr>
      <vt:lpstr>'Franklin Protective'!WI_FINANCIAL</vt:lpstr>
      <vt:lpstr>'Freelancers CO-OP'!WI_FINANCIAL</vt:lpstr>
      <vt:lpstr>Freestone!WI_FINANCIAL</vt:lpstr>
      <vt:lpstr>'George Washington'!WI_FINANCIAL</vt:lpstr>
      <vt:lpstr>'Golden State'!WI_FINANCIAL</vt:lpstr>
      <vt:lpstr>'Guarantee Security'!WI_FINANCIAL</vt:lpstr>
      <vt:lpstr>HealthyCT!WI_FINANCIAL</vt:lpstr>
      <vt:lpstr>Imerica!WI_FINANCIAL</vt:lpstr>
      <vt:lpstr>'Inter-American'!WI_FINANCIAL</vt:lpstr>
      <vt:lpstr>'International Fin'!WI_FINANCIAL</vt:lpstr>
      <vt:lpstr>'Investment Life of America'!WI_FINANCIAL</vt:lpstr>
      <vt:lpstr>'Investors Equity'!WI_FINANCIAL</vt:lpstr>
      <vt:lpstr>'Kentucky Central'!WI_FINANCIAL</vt:lpstr>
      <vt:lpstr>'Land of Lincoln'!WI_FINANCIAL</vt:lpstr>
      <vt:lpstr>Legion!WI_FINANCIAL</vt:lpstr>
      <vt:lpstr>'Life Health America'!WI_FINANCIAL</vt:lpstr>
      <vt:lpstr>'Lincoln Memorial'!WI_FINANCIAL</vt:lpstr>
      <vt:lpstr>'London Pac'!WI_FINANCIAL</vt:lpstr>
      <vt:lpstr>Lumbermens!WI_FINANCIAL</vt:lpstr>
      <vt:lpstr>'Medical Savings'!WI_FINANCIAL</vt:lpstr>
      <vt:lpstr>'Memorial Service'!WI_FINANCIAL</vt:lpstr>
      <vt:lpstr>Midcontinent!WI_FINANCIAL</vt:lpstr>
      <vt:lpstr>'Midwest Life'!WI_FINANCIAL</vt:lpstr>
      <vt:lpstr>'Monarch Life'!WI_FINANCIAL</vt:lpstr>
      <vt:lpstr>'Mutual Benefit'!WI_FINANCIAL</vt:lpstr>
      <vt:lpstr>'Mutual Security'!WI_FINANCIAL</vt:lpstr>
      <vt:lpstr>'National Affiliated'!WI_FINANCIAL</vt:lpstr>
      <vt:lpstr>'National Heritage'!WI_FINANCIAL</vt:lpstr>
      <vt:lpstr>'National States'!WI_FINANCIAL</vt:lpstr>
      <vt:lpstr>'Natl American'!WI_FINANCIAL</vt:lpstr>
      <vt:lpstr>'New Jersey Life'!WI_FINANCIAL</vt:lpstr>
      <vt:lpstr>NNIC!WI_FINANCIAL</vt:lpstr>
      <vt:lpstr>'North Carolina Mutual'!WI_FINANCIAL</vt:lpstr>
      <vt:lpstr>'Old Colony Life'!WI_FINANCIAL</vt:lpstr>
      <vt:lpstr>'Old Faithful'!WI_FINANCIAL</vt:lpstr>
      <vt:lpstr>'Pacific Standard'!WI_FINANCIAL</vt:lpstr>
      <vt:lpstr>'Pavonia Life'!WI_FINANCIAL</vt:lpstr>
      <vt:lpstr>'Pen  Treaty'!WI_FINANCIAL</vt:lpstr>
      <vt:lpstr>'Red Rock'!WI_FINANCIAL</vt:lpstr>
      <vt:lpstr>Reliance!WI_FINANCIAL</vt:lpstr>
      <vt:lpstr>SeeChange!WI_FINANCIAL</vt:lpstr>
      <vt:lpstr>'Senior American'!WI_FINANCIAL</vt:lpstr>
      <vt:lpstr>Settlers!WI_FINANCIAL</vt:lpstr>
      <vt:lpstr>Shenandoah!WI_FINANCIAL</vt:lpstr>
      <vt:lpstr>'Southland National Life'!WI_FINANCIAL</vt:lpstr>
      <vt:lpstr>'Standard Life IN'!WI_FINANCIAL</vt:lpstr>
      <vt:lpstr>'States General'!WI_FINANCIAL</vt:lpstr>
      <vt:lpstr>Statesman!WI_FINANCIAL</vt:lpstr>
      <vt:lpstr>'Summit National'!WI_FINANCIAL</vt:lpstr>
      <vt:lpstr>Supreme!WI_FINANCIAL</vt:lpstr>
      <vt:lpstr>Time!WI_FINANCIAL</vt:lpstr>
      <vt:lpstr>'Total Summary'!WI_FINANCIAL</vt:lpstr>
      <vt:lpstr>Underwriters!WI_FINANCIAL</vt:lpstr>
      <vt:lpstr>Unison!WI_FINANCIAL</vt:lpstr>
      <vt:lpstr>'United Republic'!WI_FINANCIAL</vt:lpstr>
      <vt:lpstr>'Universal Health Care'!WI_FINANCIAL</vt:lpstr>
      <vt:lpstr>'Universal Life'!WI_FINANCIAL</vt:lpstr>
      <vt:lpstr>Universe!WI_FINANCIAL</vt:lpstr>
      <vt:lpstr>Villanova!WI_FINANCIAL</vt:lpstr>
      <vt:lpstr>'AF&amp;L'!WV_FINANCIAL</vt:lpstr>
      <vt:lpstr>'Alabama Life'!WV_FINANCIAL</vt:lpstr>
      <vt:lpstr>'Amer Life Asr'!WV_FINANCIAL</vt:lpstr>
      <vt:lpstr>'Amer Std Life Acc'!WV_FINANCIAL</vt:lpstr>
      <vt:lpstr>'American Chambers'!WV_FINANCIAL</vt:lpstr>
      <vt:lpstr>'American Community'!WV_FINANCIAL</vt:lpstr>
      <vt:lpstr>'American Educators'!WV_FINANCIAL</vt:lpstr>
      <vt:lpstr>'American Integrity'!WV_FINANCIAL</vt:lpstr>
      <vt:lpstr>'American Medical'!WV_FINANCIAL</vt:lpstr>
      <vt:lpstr>'American Network'!WV_FINANCIAL</vt:lpstr>
      <vt:lpstr>AmerWstrn!WV_FINANCIAL</vt:lpstr>
      <vt:lpstr>'AMS Life'!WV_FINANCIAL</vt:lpstr>
      <vt:lpstr>'Andrew Jackson'!WV_FINANCIAL</vt:lpstr>
      <vt:lpstr>'Bankers Commercial'!WV_FINANCIAL</vt:lpstr>
      <vt:lpstr>'Bankers Life'!WV_FINANCIAL</vt:lpstr>
      <vt:lpstr>Benicorp!WV_FINANCIAL</vt:lpstr>
      <vt:lpstr>'Booker T Washington'!WV_FINANCIAL</vt:lpstr>
      <vt:lpstr>Centennial!WV_FINANCIAL</vt:lpstr>
      <vt:lpstr>'CO Bankers'!WV_FINANCIAL</vt:lpstr>
      <vt:lpstr>'Coastal States'!WV_FINANCIAL</vt:lpstr>
      <vt:lpstr>'Colorado Health'!WV_FINANCIAL</vt:lpstr>
      <vt:lpstr>'Compass (dbs Meritus)'!WV_FINANCIAL</vt:lpstr>
      <vt:lpstr>'Confed Life &amp; Annty (CLIAC)'!WV_FINANCIAL</vt:lpstr>
      <vt:lpstr>'Confed Life (CLIC)'!WV_FINANCIAL</vt:lpstr>
      <vt:lpstr>'Consolidated National'!WV_FINANCIAL</vt:lpstr>
      <vt:lpstr>'Consumers Choice'!WV_FINANCIAL</vt:lpstr>
      <vt:lpstr>'Consumers Mutual'!WV_FINANCIAL</vt:lpstr>
      <vt:lpstr>'Consumers United'!WV_FINANCIAL</vt:lpstr>
      <vt:lpstr>CoOportunity!WV_FINANCIAL</vt:lpstr>
      <vt:lpstr>'Coordinated Hlth'!WV_FINANCIAL</vt:lpstr>
      <vt:lpstr>'Corporate Life'!WV_FINANCIAL</vt:lpstr>
      <vt:lpstr>'Diamond Benefits'!WV_FINANCIAL</vt:lpstr>
      <vt:lpstr>'EBL Life'!WV_FINANCIAL</vt:lpstr>
      <vt:lpstr>ELNY!WV_FINANCIAL</vt:lpstr>
      <vt:lpstr>'Executive Life'!WV_FINANCIAL</vt:lpstr>
      <vt:lpstr>'Family Guaranty'!WV_FINANCIAL</vt:lpstr>
      <vt:lpstr>'Fidelity Bankers'!WV_FINANCIAL</vt:lpstr>
      <vt:lpstr>'Fidelity Mutual'!WV_FINANCIAL</vt:lpstr>
      <vt:lpstr>'First Capital'!WV_FINANCIAL</vt:lpstr>
      <vt:lpstr>'First Natl'!WV_FINANCIAL</vt:lpstr>
      <vt:lpstr>'First Natl (Thrnr)'!WV_FINANCIAL</vt:lpstr>
      <vt:lpstr>'Franklin American'!WV_FINANCIAL</vt:lpstr>
      <vt:lpstr>'Franklin Protective'!WV_FINANCIAL</vt:lpstr>
      <vt:lpstr>'Freelancers CO-OP'!WV_FINANCIAL</vt:lpstr>
      <vt:lpstr>Freestone!WV_FINANCIAL</vt:lpstr>
      <vt:lpstr>'George Washington'!WV_FINANCIAL</vt:lpstr>
      <vt:lpstr>'Golden State'!WV_FINANCIAL</vt:lpstr>
      <vt:lpstr>'Guarantee Security'!WV_FINANCIAL</vt:lpstr>
      <vt:lpstr>HealthyCT!WV_FINANCIAL</vt:lpstr>
      <vt:lpstr>Imerica!WV_FINANCIAL</vt:lpstr>
      <vt:lpstr>'Inter-American'!WV_FINANCIAL</vt:lpstr>
      <vt:lpstr>'International Fin'!WV_FINANCIAL</vt:lpstr>
      <vt:lpstr>'Investment Life of America'!WV_FINANCIAL</vt:lpstr>
      <vt:lpstr>'Investors Equity'!WV_FINANCIAL</vt:lpstr>
      <vt:lpstr>'Kentucky Central'!WV_FINANCIAL</vt:lpstr>
      <vt:lpstr>'Land of Lincoln'!WV_FINANCIAL</vt:lpstr>
      <vt:lpstr>Legion!WV_FINANCIAL</vt:lpstr>
      <vt:lpstr>'Life Health America'!WV_FINANCIAL</vt:lpstr>
      <vt:lpstr>'Lincoln Memorial'!WV_FINANCIAL</vt:lpstr>
      <vt:lpstr>'London Pac'!WV_FINANCIAL</vt:lpstr>
      <vt:lpstr>Lumbermens!WV_FINANCIAL</vt:lpstr>
      <vt:lpstr>'Medical Savings'!WV_FINANCIAL</vt:lpstr>
      <vt:lpstr>'Memorial Service'!WV_FINANCIAL</vt:lpstr>
      <vt:lpstr>Midcontinent!WV_FINANCIAL</vt:lpstr>
      <vt:lpstr>'Midwest Life'!WV_FINANCIAL</vt:lpstr>
      <vt:lpstr>'Monarch Life'!WV_FINANCIAL</vt:lpstr>
      <vt:lpstr>'Mutual Benefit'!WV_FINANCIAL</vt:lpstr>
      <vt:lpstr>'Mutual Security'!WV_FINANCIAL</vt:lpstr>
      <vt:lpstr>'National Affiliated'!WV_FINANCIAL</vt:lpstr>
      <vt:lpstr>'National Heritage'!WV_FINANCIAL</vt:lpstr>
      <vt:lpstr>'National States'!WV_FINANCIAL</vt:lpstr>
      <vt:lpstr>'Natl American'!WV_FINANCIAL</vt:lpstr>
      <vt:lpstr>'New Jersey Life'!WV_FINANCIAL</vt:lpstr>
      <vt:lpstr>NNIC!WV_FINANCIAL</vt:lpstr>
      <vt:lpstr>'North Carolina Mutual'!WV_FINANCIAL</vt:lpstr>
      <vt:lpstr>'Old Colony Life'!WV_FINANCIAL</vt:lpstr>
      <vt:lpstr>'Old Faithful'!WV_FINANCIAL</vt:lpstr>
      <vt:lpstr>'Pacific Standard'!WV_FINANCIAL</vt:lpstr>
      <vt:lpstr>'Pavonia Life'!WV_FINANCIAL</vt:lpstr>
      <vt:lpstr>'Pen  Treaty'!WV_FINANCIAL</vt:lpstr>
      <vt:lpstr>'Red Rock'!WV_FINANCIAL</vt:lpstr>
      <vt:lpstr>Reliance!WV_FINANCIAL</vt:lpstr>
      <vt:lpstr>SeeChange!WV_FINANCIAL</vt:lpstr>
      <vt:lpstr>'Senior American'!WV_FINANCIAL</vt:lpstr>
      <vt:lpstr>Settlers!WV_FINANCIAL</vt:lpstr>
      <vt:lpstr>Shenandoah!WV_FINANCIAL</vt:lpstr>
      <vt:lpstr>'Southland National Life'!WV_FINANCIAL</vt:lpstr>
      <vt:lpstr>'Standard Life IN'!WV_FINANCIAL</vt:lpstr>
      <vt:lpstr>'States General'!WV_FINANCIAL</vt:lpstr>
      <vt:lpstr>Statesman!WV_FINANCIAL</vt:lpstr>
      <vt:lpstr>'Summit National'!WV_FINANCIAL</vt:lpstr>
      <vt:lpstr>Supreme!WV_FINANCIAL</vt:lpstr>
      <vt:lpstr>Time!WV_FINANCIAL</vt:lpstr>
      <vt:lpstr>'Total Summary'!WV_FINANCIAL</vt:lpstr>
      <vt:lpstr>Underwriters!WV_FINANCIAL</vt:lpstr>
      <vt:lpstr>Unison!WV_FINANCIAL</vt:lpstr>
      <vt:lpstr>'United Republic'!WV_FINANCIAL</vt:lpstr>
      <vt:lpstr>'Universal Health Care'!WV_FINANCIAL</vt:lpstr>
      <vt:lpstr>'Universal Life'!WV_FINANCIAL</vt:lpstr>
      <vt:lpstr>Universe!WV_FINANCIAL</vt:lpstr>
      <vt:lpstr>Villanova!WV_FINANCIAL</vt:lpstr>
      <vt:lpstr>'AF&amp;L'!WY_FINANCIAL</vt:lpstr>
      <vt:lpstr>'Alabama Life'!WY_FINANCIAL</vt:lpstr>
      <vt:lpstr>'Amer Life Asr'!WY_FINANCIAL</vt:lpstr>
      <vt:lpstr>'Amer Std Life Acc'!WY_FINANCIAL</vt:lpstr>
      <vt:lpstr>'American Chambers'!WY_FINANCIAL</vt:lpstr>
      <vt:lpstr>'American Community'!WY_FINANCIAL</vt:lpstr>
      <vt:lpstr>'American Educators'!WY_FINANCIAL</vt:lpstr>
      <vt:lpstr>'American Integrity'!WY_FINANCIAL</vt:lpstr>
      <vt:lpstr>'American Medical'!WY_FINANCIAL</vt:lpstr>
      <vt:lpstr>'American Network'!WY_FINANCIAL</vt:lpstr>
      <vt:lpstr>AmerWstrn!WY_FINANCIAL</vt:lpstr>
      <vt:lpstr>'AMS Life'!WY_FINANCIAL</vt:lpstr>
      <vt:lpstr>'Andrew Jackson'!WY_FINANCIAL</vt:lpstr>
      <vt:lpstr>'Bankers Commercial'!WY_FINANCIAL</vt:lpstr>
      <vt:lpstr>'Bankers Life'!WY_FINANCIAL</vt:lpstr>
      <vt:lpstr>Benicorp!WY_FINANCIAL</vt:lpstr>
      <vt:lpstr>'Booker T Washington'!WY_FINANCIAL</vt:lpstr>
      <vt:lpstr>Centennial!WY_FINANCIAL</vt:lpstr>
      <vt:lpstr>'CO Bankers'!WY_FINANCIAL</vt:lpstr>
      <vt:lpstr>'Coastal States'!WY_FINANCIAL</vt:lpstr>
      <vt:lpstr>'Colorado Health'!WY_FINANCIAL</vt:lpstr>
      <vt:lpstr>'Compass (dbs Meritus)'!WY_FINANCIAL</vt:lpstr>
      <vt:lpstr>'Confed Life &amp; Annty (CLIAC)'!WY_FINANCIAL</vt:lpstr>
      <vt:lpstr>'Confed Life (CLIC)'!WY_FINANCIAL</vt:lpstr>
      <vt:lpstr>'Consolidated National'!WY_FINANCIAL</vt:lpstr>
      <vt:lpstr>'Consumers Choice'!WY_FINANCIAL</vt:lpstr>
      <vt:lpstr>'Consumers Mutual'!WY_FINANCIAL</vt:lpstr>
      <vt:lpstr>'Consumers United'!WY_FINANCIAL</vt:lpstr>
      <vt:lpstr>CoOportunity!WY_FINANCIAL</vt:lpstr>
      <vt:lpstr>'Coordinated Hlth'!WY_FINANCIAL</vt:lpstr>
      <vt:lpstr>'Corporate Life'!WY_FINANCIAL</vt:lpstr>
      <vt:lpstr>'Diamond Benefits'!WY_FINANCIAL</vt:lpstr>
      <vt:lpstr>'EBL Life'!WY_FINANCIAL</vt:lpstr>
      <vt:lpstr>ELNY!WY_FINANCIAL</vt:lpstr>
      <vt:lpstr>'Executive Life'!WY_FINANCIAL</vt:lpstr>
      <vt:lpstr>'Family Guaranty'!WY_FINANCIAL</vt:lpstr>
      <vt:lpstr>'Fidelity Bankers'!WY_FINANCIAL</vt:lpstr>
      <vt:lpstr>'Fidelity Mutual'!WY_FINANCIAL</vt:lpstr>
      <vt:lpstr>'First Capital'!WY_FINANCIAL</vt:lpstr>
      <vt:lpstr>'First Natl'!WY_FINANCIAL</vt:lpstr>
      <vt:lpstr>'First Natl (Thrnr)'!WY_FINANCIAL</vt:lpstr>
      <vt:lpstr>'Franklin American'!WY_FINANCIAL</vt:lpstr>
      <vt:lpstr>'Franklin Protective'!WY_FINANCIAL</vt:lpstr>
      <vt:lpstr>'Freelancers CO-OP'!WY_FINANCIAL</vt:lpstr>
      <vt:lpstr>Freestone!WY_FINANCIAL</vt:lpstr>
      <vt:lpstr>'George Washington'!WY_FINANCIAL</vt:lpstr>
      <vt:lpstr>'Golden State'!WY_FINANCIAL</vt:lpstr>
      <vt:lpstr>'Guarantee Security'!WY_FINANCIAL</vt:lpstr>
      <vt:lpstr>HealthyCT!WY_FINANCIAL</vt:lpstr>
      <vt:lpstr>Imerica!WY_FINANCIAL</vt:lpstr>
      <vt:lpstr>'Inter-American'!WY_FINANCIAL</vt:lpstr>
      <vt:lpstr>'International Fin'!WY_FINANCIAL</vt:lpstr>
      <vt:lpstr>'Investment Life of America'!WY_FINANCIAL</vt:lpstr>
      <vt:lpstr>'Investors Equity'!WY_FINANCIAL</vt:lpstr>
      <vt:lpstr>'Kentucky Central'!WY_FINANCIAL</vt:lpstr>
      <vt:lpstr>'Land of Lincoln'!WY_FINANCIAL</vt:lpstr>
      <vt:lpstr>Legion!WY_FINANCIAL</vt:lpstr>
      <vt:lpstr>'Life Health America'!WY_FINANCIAL</vt:lpstr>
      <vt:lpstr>'Lincoln Memorial'!WY_FINANCIAL</vt:lpstr>
      <vt:lpstr>'London Pac'!WY_FINANCIAL</vt:lpstr>
      <vt:lpstr>Lumbermens!WY_FINANCIAL</vt:lpstr>
      <vt:lpstr>'Medical Savings'!WY_FINANCIAL</vt:lpstr>
      <vt:lpstr>'Memorial Service'!WY_FINANCIAL</vt:lpstr>
      <vt:lpstr>Midcontinent!WY_FINANCIAL</vt:lpstr>
      <vt:lpstr>'Midwest Life'!WY_FINANCIAL</vt:lpstr>
      <vt:lpstr>'Monarch Life'!WY_FINANCIAL</vt:lpstr>
      <vt:lpstr>'Mutual Benefit'!WY_FINANCIAL</vt:lpstr>
      <vt:lpstr>'Mutual Security'!WY_FINANCIAL</vt:lpstr>
      <vt:lpstr>'National Affiliated'!WY_FINANCIAL</vt:lpstr>
      <vt:lpstr>'National Heritage'!WY_FINANCIAL</vt:lpstr>
      <vt:lpstr>'National States'!WY_FINANCIAL</vt:lpstr>
      <vt:lpstr>'Natl American'!WY_FINANCIAL</vt:lpstr>
      <vt:lpstr>'New Jersey Life'!WY_FINANCIAL</vt:lpstr>
      <vt:lpstr>NNIC!WY_FINANCIAL</vt:lpstr>
      <vt:lpstr>'North Carolina Mutual'!WY_FINANCIAL</vt:lpstr>
      <vt:lpstr>'Old Colony Life'!WY_FINANCIAL</vt:lpstr>
      <vt:lpstr>'Old Faithful'!WY_FINANCIAL</vt:lpstr>
      <vt:lpstr>'Pacific Standard'!WY_FINANCIAL</vt:lpstr>
      <vt:lpstr>'Pavonia Life'!WY_FINANCIAL</vt:lpstr>
      <vt:lpstr>'Pen  Treaty'!WY_FINANCIAL</vt:lpstr>
      <vt:lpstr>'Red Rock'!WY_FINANCIAL</vt:lpstr>
      <vt:lpstr>Reliance!WY_FINANCIAL</vt:lpstr>
      <vt:lpstr>SeeChange!WY_FINANCIAL</vt:lpstr>
      <vt:lpstr>'Senior American'!WY_FINANCIAL</vt:lpstr>
      <vt:lpstr>Settlers!WY_FINANCIAL</vt:lpstr>
      <vt:lpstr>Shenandoah!WY_FINANCIAL</vt:lpstr>
      <vt:lpstr>'Southland National Life'!WY_FINANCIAL</vt:lpstr>
      <vt:lpstr>'Standard Life IN'!WY_FINANCIAL</vt:lpstr>
      <vt:lpstr>'States General'!WY_FINANCIAL</vt:lpstr>
      <vt:lpstr>Statesman!WY_FINANCIAL</vt:lpstr>
      <vt:lpstr>'Summit National'!WY_FINANCIAL</vt:lpstr>
      <vt:lpstr>Supreme!WY_FINANCIAL</vt:lpstr>
      <vt:lpstr>Time!WY_FINANCIAL</vt:lpstr>
      <vt:lpstr>'Total Summary'!WY_FINANCIAL</vt:lpstr>
      <vt:lpstr>Underwriters!WY_FINANCIAL</vt:lpstr>
      <vt:lpstr>Unison!WY_FINANCIAL</vt:lpstr>
      <vt:lpstr>'United Republic'!WY_FINANCIAL</vt:lpstr>
      <vt:lpstr>'Universal Health Care'!WY_FINANCIAL</vt:lpstr>
      <vt:lpstr>'Universal Life'!WY_FINANCIAL</vt:lpstr>
      <vt:lpstr>Universe!WY_FINANCIAL</vt:lpstr>
      <vt:lpstr>Villanova!WY_FINANCIAL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Keith Sheridan</dc:creator>
  <cp:keywords/>
  <dc:description/>
  <cp:lastModifiedBy>Keith Sheridan</cp:lastModifiedBy>
  <cp:revision/>
  <cp:lastPrinted>2025-12-15T21:49:36Z</cp:lastPrinted>
  <dcterms:created xsi:type="dcterms:W3CDTF">2025-12-12T17:35:55Z</dcterms:created>
  <dcterms:modified xsi:type="dcterms:W3CDTF">2025-12-16T17:11:43Z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0x01010013D771F4A956BD44A24C48D3F81E02BE</vt:lpwstr>
  </property>
  <property fmtid="{D5CDD505-2E9C-101B-9397-08002B2CF9AE}" pid="3" name="MediaServiceImageTags">
    <vt:lpwstr/>
  </property>
</Properties>
</file>